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3.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ifu-srv-3.ethz.ch\ESDstaff\Burg\5 Projekt Greenhouses\5 Papers\2024 Vanessa local vs imports\Hamid 2024 05 16\Heated greenhouses\"/>
    </mc:Choice>
  </mc:AlternateContent>
  <xr:revisionPtr revIDLastSave="0" documentId="13_ncr:1_{AECB9160-A2E7-47E5-83E7-A917557C115C}" xr6:coauthVersionLast="47" xr6:coauthVersionMax="47" xr10:uidLastSave="{00000000-0000-0000-0000-000000000000}"/>
  <bookViews>
    <workbookView xWindow="1515" yWindow="1515" windowWidth="21600" windowHeight="11145" tabRatio="704" firstSheet="12" activeTab="11" xr2:uid="{00000000-000D-0000-FFFF-FFFF00000000}"/>
  </bookViews>
  <sheets>
    <sheet name="NL_Tomato" sheetId="1" r:id="rId1"/>
    <sheet name="NL_Cucumber" sheetId="2" r:id="rId2"/>
    <sheet name="NL_Lettuce" sheetId="3" r:id="rId3"/>
    <sheet name="NL_Bell pepper" sheetId="4" r:id="rId4"/>
    <sheet name="NL_Strawberry" sheetId="5" r:id="rId5"/>
    <sheet name="BE_Tomato" sheetId="6" r:id="rId6"/>
    <sheet name="BE_Lettuce" sheetId="7" r:id="rId7"/>
    <sheet name="BE_Strawberry" sheetId="8" r:id="rId8"/>
    <sheet name="FR_Tomato" sheetId="9" r:id="rId9"/>
    <sheet name="FR_Lettuce" sheetId="10" r:id="rId10"/>
    <sheet name="CH_Tomato" sheetId="11" r:id="rId11"/>
    <sheet name="CH_Cucumber" sheetId="12" r:id="rId12"/>
    <sheet name="CH_Lettuce" sheetId="13" r:id="rId13"/>
    <sheet name="CH_Bell pepper" sheetId="14" r:id="rId14"/>
    <sheet name="CH_Strawberry" sheetId="15" r:id="rId15"/>
  </sheets>
  <definedNames>
    <definedName name="OLE_LINK7" localSheetId="10">CH_Tomato!$W$25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15" l="1"/>
  <c r="K33" i="15"/>
  <c r="J33" i="15"/>
  <c r="I33" i="15"/>
  <c r="T13" i="15"/>
  <c r="O33" i="15" s="1"/>
  <c r="O13" i="15"/>
  <c r="M13" i="15"/>
  <c r="L13" i="15"/>
  <c r="K13" i="15"/>
  <c r="H13" i="15"/>
  <c r="G13" i="15"/>
  <c r="T10" i="15"/>
  <c r="T13" i="14"/>
  <c r="J33" i="14" s="1"/>
  <c r="T10" i="14"/>
  <c r="T10" i="13"/>
  <c r="T13" i="13" s="1"/>
  <c r="T10" i="12"/>
  <c r="T13" i="12" s="1"/>
  <c r="J52" i="11"/>
  <c r="I52" i="11"/>
  <c r="H52" i="11"/>
  <c r="G52" i="11"/>
  <c r="F52" i="11"/>
  <c r="E52" i="11"/>
  <c r="M51" i="11"/>
  <c r="L51" i="11"/>
  <c r="K51" i="11"/>
  <c r="J51" i="11"/>
  <c r="I51" i="11"/>
  <c r="H51" i="11"/>
  <c r="L26" i="11"/>
  <c r="K26" i="11"/>
  <c r="D26" i="11"/>
  <c r="O25" i="11"/>
  <c r="K25" i="11"/>
  <c r="H25" i="11"/>
  <c r="G25" i="11"/>
  <c r="F25" i="11"/>
  <c r="E25" i="11"/>
  <c r="D25" i="11"/>
  <c r="N24" i="11"/>
  <c r="K24" i="11"/>
  <c r="J24" i="11"/>
  <c r="I24" i="11"/>
  <c r="H24" i="11"/>
  <c r="G24" i="11"/>
  <c r="F24" i="11"/>
  <c r="O19" i="11"/>
  <c r="N19" i="11"/>
  <c r="M19" i="11"/>
  <c r="L19" i="11"/>
  <c r="K19" i="11"/>
  <c r="J19" i="11"/>
  <c r="J26" i="11" s="1"/>
  <c r="I19" i="11"/>
  <c r="H19" i="11"/>
  <c r="G19" i="11"/>
  <c r="F19" i="11"/>
  <c r="E19" i="11"/>
  <c r="D19" i="11"/>
  <c r="O18" i="11"/>
  <c r="O26" i="11" s="1"/>
  <c r="N18" i="11"/>
  <c r="N26" i="11" s="1"/>
  <c r="M18" i="11"/>
  <c r="M26" i="11" s="1"/>
  <c r="L18" i="11"/>
  <c r="L53" i="11" s="1"/>
  <c r="K18" i="11"/>
  <c r="J18" i="11"/>
  <c r="I18" i="11"/>
  <c r="I53" i="11" s="1"/>
  <c r="H18" i="11"/>
  <c r="H53" i="11" s="1"/>
  <c r="G18" i="11"/>
  <c r="G26" i="11" s="1"/>
  <c r="F18" i="11"/>
  <c r="F53" i="11" s="1"/>
  <c r="E18" i="11"/>
  <c r="E26" i="11" s="1"/>
  <c r="D18" i="11"/>
  <c r="D53" i="11" s="1"/>
  <c r="T13" i="11"/>
  <c r="J53" i="11" s="1"/>
  <c r="T10" i="11"/>
  <c r="J34" i="10"/>
  <c r="O28" i="10"/>
  <c r="O34" i="10" s="1"/>
  <c r="N28" i="10"/>
  <c r="N34" i="10" s="1"/>
  <c r="M28" i="10"/>
  <c r="M34" i="10" s="1"/>
  <c r="J28" i="10"/>
  <c r="I28" i="10"/>
  <c r="I34" i="10" s="1"/>
  <c r="H28" i="10"/>
  <c r="H34" i="10" s="1"/>
  <c r="G28" i="10"/>
  <c r="G34" i="10" s="1"/>
  <c r="F28" i="10"/>
  <c r="F34" i="10" s="1"/>
  <c r="E28" i="10"/>
  <c r="E34" i="10" s="1"/>
  <c r="T13" i="10"/>
  <c r="K28" i="10" s="1"/>
  <c r="K34" i="10" s="1"/>
  <c r="T10" i="10"/>
  <c r="T10" i="9"/>
  <c r="T13" i="9" s="1"/>
  <c r="T13" i="8"/>
  <c r="L13" i="8" s="1"/>
  <c r="O13" i="8"/>
  <c r="G13" i="8"/>
  <c r="T10" i="8"/>
  <c r="T13" i="7"/>
  <c r="I28" i="7" s="1"/>
  <c r="I34" i="7" s="1"/>
  <c r="T10" i="7"/>
  <c r="O19" i="6"/>
  <c r="N19" i="6"/>
  <c r="M19" i="6"/>
  <c r="L19" i="6"/>
  <c r="K19" i="6"/>
  <c r="J19" i="6"/>
  <c r="I19" i="6"/>
  <c r="H19" i="6"/>
  <c r="G19" i="6"/>
  <c r="F19" i="6"/>
  <c r="E19" i="6"/>
  <c r="D19" i="6"/>
  <c r="O18" i="6"/>
  <c r="N18" i="6"/>
  <c r="M18" i="6"/>
  <c r="L18" i="6"/>
  <c r="K18" i="6"/>
  <c r="J18" i="6"/>
  <c r="I18" i="6"/>
  <c r="H18" i="6"/>
  <c r="G18" i="6"/>
  <c r="F18" i="6"/>
  <c r="E18" i="6"/>
  <c r="D18" i="6"/>
  <c r="T13" i="6"/>
  <c r="N26" i="6" s="1"/>
  <c r="T10" i="6"/>
  <c r="T10" i="5"/>
  <c r="T13" i="5" s="1"/>
  <c r="T10" i="4"/>
  <c r="T13" i="4" s="1"/>
  <c r="D34" i="3"/>
  <c r="T13" i="3"/>
  <c r="I28" i="3" s="1"/>
  <c r="I34" i="3" s="1"/>
  <c r="T10" i="3"/>
  <c r="T10" i="2"/>
  <c r="T13" i="2" s="1"/>
  <c r="K22" i="2" s="1"/>
  <c r="K28" i="2" s="1"/>
  <c r="O26" i="1"/>
  <c r="G26" i="1"/>
  <c r="H25" i="1"/>
  <c r="K24" i="1"/>
  <c r="O19" i="1"/>
  <c r="N19" i="1"/>
  <c r="M19" i="1"/>
  <c r="L19" i="1"/>
  <c r="K19" i="1"/>
  <c r="J19" i="1"/>
  <c r="I19" i="1"/>
  <c r="H19" i="1"/>
  <c r="G19" i="1"/>
  <c r="F19" i="1"/>
  <c r="E19" i="1"/>
  <c r="D19" i="1"/>
  <c r="O18" i="1"/>
  <c r="N18" i="1"/>
  <c r="M18" i="1"/>
  <c r="L18" i="1"/>
  <c r="K18" i="1"/>
  <c r="J18" i="1"/>
  <c r="I18" i="1"/>
  <c r="H18" i="1"/>
  <c r="G18" i="1"/>
  <c r="F18" i="1"/>
  <c r="E18" i="1"/>
  <c r="D18" i="1"/>
  <c r="T10" i="1"/>
  <c r="T13" i="1" s="1"/>
  <c r="O54" i="13" l="1"/>
  <c r="G54" i="13"/>
  <c r="M28" i="13"/>
  <c r="M34" i="13" s="1"/>
  <c r="E28" i="13"/>
  <c r="E34" i="13" s="1"/>
  <c r="E54" i="13"/>
  <c r="K54" i="13"/>
  <c r="N54" i="13"/>
  <c r="F54" i="13"/>
  <c r="L28" i="13"/>
  <c r="L34" i="13" s="1"/>
  <c r="M54" i="13"/>
  <c r="K28" i="13"/>
  <c r="K34" i="13" s="1"/>
  <c r="L54" i="13"/>
  <c r="J28" i="13"/>
  <c r="J34" i="13" s="1"/>
  <c r="J54" i="13"/>
  <c r="I54" i="13"/>
  <c r="O28" i="13"/>
  <c r="O34" i="13" s="1"/>
  <c r="G28" i="13"/>
  <c r="G34" i="13" s="1"/>
  <c r="H28" i="13"/>
  <c r="H34" i="13" s="1"/>
  <c r="H54" i="13"/>
  <c r="N28" i="13"/>
  <c r="N34" i="13" s="1"/>
  <c r="F28" i="13"/>
  <c r="F34" i="13" s="1"/>
  <c r="I28" i="13"/>
  <c r="I34" i="13" s="1"/>
  <c r="J48" i="12"/>
  <c r="N22" i="12"/>
  <c r="N28" i="12" s="1"/>
  <c r="F22" i="12"/>
  <c r="F28" i="12" s="1"/>
  <c r="N48" i="12"/>
  <c r="J22" i="12"/>
  <c r="J28" i="12" s="1"/>
  <c r="I48" i="12"/>
  <c r="M22" i="12"/>
  <c r="M28" i="12" s="1"/>
  <c r="H48" i="12"/>
  <c r="L22" i="12"/>
  <c r="L28" i="12" s="1"/>
  <c r="M48" i="12"/>
  <c r="O48" i="12"/>
  <c r="G48" i="12"/>
  <c r="K22" i="12"/>
  <c r="K28" i="12" s="1"/>
  <c r="L48" i="12"/>
  <c r="H22" i="12"/>
  <c r="H28" i="12" s="1"/>
  <c r="K48" i="12"/>
  <c r="O22" i="12"/>
  <c r="O28" i="12" s="1"/>
  <c r="G22" i="12"/>
  <c r="G28" i="12" s="1"/>
  <c r="F48" i="12"/>
  <c r="I22" i="12"/>
  <c r="I28" i="12" s="1"/>
  <c r="H13" i="5"/>
  <c r="G13" i="5"/>
  <c r="L13" i="5"/>
  <c r="O13" i="5"/>
  <c r="N13" i="5"/>
  <c r="M13" i="5"/>
  <c r="K13" i="5"/>
  <c r="J13" i="5"/>
  <c r="I13" i="5"/>
  <c r="H12" i="9"/>
  <c r="N12" i="9"/>
  <c r="F12" i="9"/>
  <c r="G12" i="9"/>
  <c r="M12" i="9"/>
  <c r="L12" i="9"/>
  <c r="J12" i="9"/>
  <c r="K12" i="9"/>
  <c r="I12" i="9"/>
  <c r="J13" i="4"/>
  <c r="F13" i="4"/>
  <c r="I13" i="4"/>
  <c r="H13" i="4"/>
  <c r="M13" i="4"/>
  <c r="G13" i="4"/>
  <c r="L13" i="4"/>
  <c r="N13" i="4"/>
  <c r="K13" i="4"/>
  <c r="H22" i="2"/>
  <c r="H28" i="2" s="1"/>
  <c r="O22" i="2"/>
  <c r="O28" i="2" s="1"/>
  <c r="G22" i="2"/>
  <c r="G28" i="2" s="1"/>
  <c r="F22" i="2"/>
  <c r="F28" i="2" s="1"/>
  <c r="N22" i="2"/>
  <c r="N28" i="2" s="1"/>
  <c r="M22" i="2"/>
  <c r="M28" i="2" s="1"/>
  <c r="J22" i="2"/>
  <c r="J28" i="2" s="1"/>
  <c r="L22" i="2"/>
  <c r="L28" i="2" s="1"/>
  <c r="I22" i="2"/>
  <c r="I28" i="2" s="1"/>
  <c r="L26" i="1"/>
  <c r="D26" i="1"/>
  <c r="E25" i="1"/>
  <c r="H24" i="1"/>
  <c r="K26" i="1"/>
  <c r="O25" i="1"/>
  <c r="D25" i="1"/>
  <c r="G24" i="1"/>
  <c r="F24" i="1"/>
  <c r="K25" i="1"/>
  <c r="I26" i="1"/>
  <c r="J25" i="1"/>
  <c r="M24" i="1"/>
  <c r="N26" i="1"/>
  <c r="F26" i="1"/>
  <c r="G25" i="1"/>
  <c r="J24" i="1"/>
  <c r="I25" i="1"/>
  <c r="M26" i="1"/>
  <c r="E26" i="1"/>
  <c r="F25" i="1"/>
  <c r="I24" i="1"/>
  <c r="J26" i="1"/>
  <c r="N24" i="1"/>
  <c r="H26" i="1"/>
  <c r="L24" i="1"/>
  <c r="L28" i="3"/>
  <c r="L34" i="3" s="1"/>
  <c r="L28" i="7"/>
  <c r="L34" i="7" s="1"/>
  <c r="E53" i="11"/>
  <c r="M33" i="14"/>
  <c r="E28" i="3"/>
  <c r="E34" i="3" s="1"/>
  <c r="F24" i="6"/>
  <c r="E28" i="7"/>
  <c r="E34" i="7" s="1"/>
  <c r="H13" i="8"/>
  <c r="N53" i="11"/>
  <c r="H13" i="14"/>
  <c r="J28" i="3"/>
  <c r="J34" i="3" s="1"/>
  <c r="K24" i="6"/>
  <c r="H25" i="6"/>
  <c r="G26" i="6"/>
  <c r="O26" i="6"/>
  <c r="J28" i="7"/>
  <c r="J34" i="7" s="1"/>
  <c r="M13" i="8"/>
  <c r="L28" i="10"/>
  <c r="L34" i="10" s="1"/>
  <c r="M24" i="11"/>
  <c r="J25" i="11"/>
  <c r="I26" i="11"/>
  <c r="G51" i="11"/>
  <c r="D52" i="11"/>
  <c r="O52" i="11"/>
  <c r="K53" i="11"/>
  <c r="M13" i="14"/>
  <c r="K33" i="14"/>
  <c r="J13" i="15"/>
  <c r="H33" i="15"/>
  <c r="J25" i="6"/>
  <c r="M53" i="11"/>
  <c r="K28" i="3"/>
  <c r="K34" i="3" s="1"/>
  <c r="L24" i="6"/>
  <c r="I25" i="6"/>
  <c r="H26" i="6"/>
  <c r="K28" i="7"/>
  <c r="K34" i="7" s="1"/>
  <c r="N13" i="8"/>
  <c r="F13" i="14"/>
  <c r="N13" i="14"/>
  <c r="L33" i="14"/>
  <c r="M24" i="6"/>
  <c r="J26" i="6"/>
  <c r="M28" i="7"/>
  <c r="M34" i="7" s="1"/>
  <c r="F28" i="3"/>
  <c r="F34" i="3" s="1"/>
  <c r="N28" i="3"/>
  <c r="N34" i="3" s="1"/>
  <c r="G24" i="6"/>
  <c r="D25" i="6"/>
  <c r="O25" i="6"/>
  <c r="K26" i="6"/>
  <c r="F28" i="7"/>
  <c r="F34" i="7" s="1"/>
  <c r="N28" i="7"/>
  <c r="N34" i="7" s="1"/>
  <c r="I13" i="8"/>
  <c r="G53" i="11"/>
  <c r="O53" i="11"/>
  <c r="I13" i="14"/>
  <c r="G33" i="14"/>
  <c r="N13" i="15"/>
  <c r="L33" i="15"/>
  <c r="G13" i="14"/>
  <c r="N24" i="6"/>
  <c r="N33" i="14"/>
  <c r="G28" i="3"/>
  <c r="G34" i="3" s="1"/>
  <c r="H24" i="6"/>
  <c r="L26" i="6"/>
  <c r="G28" i="7"/>
  <c r="G34" i="7" s="1"/>
  <c r="F26" i="11"/>
  <c r="J13" i="14"/>
  <c r="H33" i="14"/>
  <c r="E26" i="6"/>
  <c r="K13" i="8"/>
  <c r="K13" i="14"/>
  <c r="I33" i="14"/>
  <c r="N33" i="15"/>
  <c r="I26" i="6"/>
  <c r="M28" i="3"/>
  <c r="M34" i="3" s="1"/>
  <c r="K25" i="6"/>
  <c r="F33" i="14"/>
  <c r="O28" i="3"/>
  <c r="O34" i="3" s="1"/>
  <c r="E25" i="6"/>
  <c r="D26" i="6"/>
  <c r="O28" i="7"/>
  <c r="O34" i="7" s="1"/>
  <c r="J13" i="8"/>
  <c r="H28" i="3"/>
  <c r="H34" i="3" s="1"/>
  <c r="I24" i="6"/>
  <c r="F25" i="6"/>
  <c r="M26" i="6"/>
  <c r="H28" i="7"/>
  <c r="H34" i="7" s="1"/>
  <c r="J24" i="6"/>
  <c r="G25" i="6"/>
  <c r="F26" i="6"/>
  <c r="L24" i="11"/>
  <c r="I25" i="11"/>
  <c r="H26" i="11"/>
  <c r="F51" i="11"/>
  <c r="N51" i="11"/>
  <c r="K52" i="11"/>
  <c r="L13" i="14"/>
  <c r="I13" i="15"/>
  <c r="G33" i="15"/>
  <c r="N24" i="5" l="1"/>
</calcChain>
</file>

<file path=xl/sharedStrings.xml><?xml version="1.0" encoding="utf-8"?>
<sst xmlns="http://schemas.openxmlformats.org/spreadsheetml/2006/main" count="2542" uniqueCount="212">
  <si>
    <t>NETHERLANDS, TOMATOES</t>
  </si>
  <si>
    <t>Components</t>
  </si>
  <si>
    <t>Value</t>
  </si>
  <si>
    <t>Unit</t>
  </si>
  <si>
    <t>Discription</t>
  </si>
  <si>
    <t>Ref.</t>
  </si>
  <si>
    <t>Structure</t>
  </si>
  <si>
    <t>kg CO2 eq./m2.year</t>
  </si>
  <si>
    <t xml:space="preserve">Include: Aluminium, concreat, steel, glass, polyester </t>
  </si>
  <si>
    <t>EUPHOROS: Montero, J. I.; Antón, A.; Torrellas, M.; Ruijs, M.; Vermeulen, P. Environmental and economic profile of present greenhouse production systems in Europe-EUPHOROS deliverable n 5 Final Report; European Commission: 2011.</t>
  </si>
  <si>
    <t>Aux. equipment</t>
  </si>
  <si>
    <t>Include: LDPE, Polyester, Polystyrene, PVC, Steel.</t>
  </si>
  <si>
    <t>Cultivation period1</t>
  </si>
  <si>
    <t>Energy demand</t>
  </si>
  <si>
    <t>Jan</t>
  </si>
  <si>
    <t>Feb</t>
  </si>
  <si>
    <t>Mar</t>
  </si>
  <si>
    <t>Apr</t>
  </si>
  <si>
    <t>May</t>
  </si>
  <si>
    <t>Jun</t>
  </si>
  <si>
    <t>Jul</t>
  </si>
  <si>
    <t>Aug</t>
  </si>
  <si>
    <t>Sep</t>
  </si>
  <si>
    <t>Oct</t>
  </si>
  <si>
    <t>Nov</t>
  </si>
  <si>
    <t>Dec</t>
  </si>
  <si>
    <t>Climate control system</t>
  </si>
  <si>
    <t>Aluminium, paint, PE, Polyester, PVC, Steel (CHP, pumps, …)</t>
  </si>
  <si>
    <t>Greenhouse heating demand(MJ/ha)</t>
  </si>
  <si>
    <t>Grow</t>
  </si>
  <si>
    <t>Close</t>
  </si>
  <si>
    <t>Seedling</t>
  </si>
  <si>
    <t>kg CO2 eq./m2 GH</t>
  </si>
  <si>
    <t>seedling: 1.25 plants/m2</t>
  </si>
  <si>
    <t>[1] Torrellas, M.; Antón, A.; Ruijs, M.; Victoria, N. G.; Stanghellini, C.; Montero, J. I., Environmental and economic assessment of protected crops in four European scenarios. Journal of Cleaner Production 2012, 28, 45-55.  / [2] EUPHOROS
[3] Torrellas, M.; Antón, A.; Montero, J. I., An environmental impact calculator for greenhouse production systems. Journal of Environmental Management 2013, 118, 186-195.</t>
  </si>
  <si>
    <t>Greenhouse lighting demand(kWh/ha)</t>
  </si>
  <si>
    <t>Irrigation</t>
  </si>
  <si>
    <t>kg CO2 eq./kg crop</t>
  </si>
  <si>
    <t xml:space="preserve">Irrigation: 794.4 L/m2 </t>
  </si>
  <si>
    <t>Fertilizer</t>
  </si>
  <si>
    <t xml:space="preserve">Include: N= 1688 kg/ha  , P2O5= 406 kg/ha , K2O= 1855 kg/ha </t>
  </si>
  <si>
    <t>Pestiside</t>
  </si>
  <si>
    <t>Pesticide = 1.77E-05 kg/ kg crop</t>
  </si>
  <si>
    <t>CO2 enrichment</t>
  </si>
  <si>
    <t>CO2 enrichment = 16 kg /m2.year</t>
  </si>
  <si>
    <t>[1] Marchi, B., S. Zanoni, and M. Pasetti. 2018. “Industrial Symbiosis for Greener Horticulture Practices: The CO2 Enrichment from Energy Intensive Industrial Processes.” Procedia CIRP 69 (May): 562–67. https://doi.org/10.1016/j.procir.2017.11.117.</t>
  </si>
  <si>
    <t>Cultivation period2</t>
  </si>
  <si>
    <t>Packaging</t>
  </si>
  <si>
    <t>Packaging= 0.091 kg CO2 eq/kg crop</t>
  </si>
  <si>
    <t>[1] Payen, S., et al., LCA of local and imported tomato: an energy andwater trade-off, Journal of Cleaner Production (2014), http://dx.doi.org/10.1016/j.jclepro.2014.10.007.</t>
  </si>
  <si>
    <t>Tansportation</t>
  </si>
  <si>
    <t>Transportation from Westland, Nrtherland to Basel, Switzerland (730 km)</t>
  </si>
  <si>
    <t>Calculation +  with assumptions from: Stoessel, Franziska, Ronnie Juraske, Stephan Pfister, and Stefanie Hellweg. 2012. “Life Cycle Inventory and Carbon and Water Foodprint of Fruits and Vegetables: Application to a Swiss Retailer.” Environmental Science and Technology 46 (6): 3253–62. https://doi.org/10.1021/es2030577.</t>
  </si>
  <si>
    <t>Total</t>
  </si>
  <si>
    <t>Infrastructure &amp; Plant growth &amp; Packaging &amp; Transporation</t>
  </si>
  <si>
    <t>Assumptions</t>
  </si>
  <si>
    <t>Yield</t>
  </si>
  <si>
    <t>kg/m2</t>
  </si>
  <si>
    <t>[1] Van der Velden, N.; Suay, R.; Urbaneja, A.; Giorgini, M.; Ruocco, M.; Poncet, C.; Lefèvre, A., Recent developments and market opportunities for IPM in greenhouse tomatoes in southern Europe; consequences for advanced IPM toolboxes and greenhouse engineering. 2012.</t>
  </si>
  <si>
    <t>Average greenhouse energy demand in cultivation period 1 &amp; 2</t>
  </si>
  <si>
    <t>CF electricity grid</t>
  </si>
  <si>
    <t>kg CO2 eq./kWh</t>
  </si>
  <si>
    <t>from ecoinvent database V. 3.9.1</t>
  </si>
  <si>
    <t>CF burning natural gas</t>
  </si>
  <si>
    <t>kg CO2 eq./m3</t>
  </si>
  <si>
    <t>[1] Blom, T., A. Jenkins, R. M. Pulselli, and A. A.J.F. van den Dobbelsteen. 2022. “The Embodied Carbon Emissions of Lettuce Production in Vertical Farming, Greenhouse Horticulture, and Open-Field Farming in the Netherlands.” Journal of Cleaner Production 377 (April): 134443. https://doi.org/10.1016/j.jclepro.2022.134443.</t>
  </si>
  <si>
    <t>Natural gas heating value</t>
  </si>
  <si>
    <t>MJ/m3</t>
  </si>
  <si>
    <t>Heat efficiency @CHP</t>
  </si>
  <si>
    <t>*</t>
  </si>
  <si>
    <t>Electricity efficiency @CHP</t>
  </si>
  <si>
    <t>Heating technology</t>
  </si>
  <si>
    <t>CHP</t>
  </si>
  <si>
    <t>Month of year</t>
  </si>
  <si>
    <t>Greenhouse area</t>
  </si>
  <si>
    <t>m2</t>
  </si>
  <si>
    <t>1 ha</t>
  </si>
  <si>
    <t>Cultivation period1 (CP1)</t>
  </si>
  <si>
    <t xml:space="preserve">Monthly Carbon footprint </t>
  </si>
  <si>
    <t>Temperature setpoint (day - night)</t>
  </si>
  <si>
    <t>19 - 16</t>
  </si>
  <si>
    <t>oC</t>
  </si>
  <si>
    <t>day: 19 &amp; Night: 16 oC</t>
  </si>
  <si>
    <t>Esmaeli, H.; Roshandel, R., Optimal design for solar greenhouses based on climate conditions. Renewable energy 2020, 145, 1255-1265.</t>
  </si>
  <si>
    <t>Cultivation period2 (CP2)</t>
  </si>
  <si>
    <t>LED efficacy</t>
  </si>
  <si>
    <t>mol/kWh</t>
  </si>
  <si>
    <t>Efficacy =  3 micromol/J  = 10.8 mol/kWh</t>
  </si>
  <si>
    <t>Kuijpers, Wouter J.P., David Katzin, Simon van Mourik, Duarte J. Antunes, Silke Hemming, and Marinus J.G. van de Molengraft. 2021. “Lighting Systems and Strategies Compared in an Optimally Controlled Greenhouse.” Biosystems Engineering 202: 195–216. https://doi.org/10.1016/j.biosystemseng.2020.12.006.</t>
  </si>
  <si>
    <t>Avg. cultivation period 1 &amp; 2</t>
  </si>
  <si>
    <t>Photoperiod</t>
  </si>
  <si>
    <t xml:space="preserve">hour </t>
  </si>
  <si>
    <t>From 5 AM  to  7PM.</t>
  </si>
  <si>
    <t>Assumed</t>
  </si>
  <si>
    <t xml:space="preserve">Minimun natural light (solar radiation) </t>
  </si>
  <si>
    <t>W/m2</t>
  </si>
  <si>
    <t>Minimun natural light * 4.6 *PAR*cover_Tranprency &gt;= PPFD</t>
  </si>
  <si>
    <t>Calculated</t>
  </si>
  <si>
    <t>Photosynthetic Photon Flux Density (PPFD)</t>
  </si>
  <si>
    <t>miromol/m2.s</t>
  </si>
  <si>
    <t>Dorais, M. In The use of supplemental lighting for vegetable crop production: light intensity, crop response, nutrition, crop management, cultural practices, Canadian Greenhouse Conference, 2003; 2003.</t>
  </si>
  <si>
    <t>Daily Light Integral (DLI)</t>
  </si>
  <si>
    <t>mol/day</t>
  </si>
  <si>
    <t>[1] https://hortamericas.com/blog/science/daily-light-integral-how-much-light-do-i-need/
[2] Gagne, Charles. 2019. “The Effects of Daily Light Integral on the Growth And,” no. August. https://ecommons.cornell.edu/server/api/core/bitstreams/fba7b9e9-2060-4665-b677-831c567a6fc8/content.
[3] Heliospectra. n.d. “Global Daily Light Integral Guide for Greenhouses,” 5–15. https://assets-global.website-files.com/5ef8b3d80f5e290ff3354f5f/619bf5bceb912a0d3ba2c321_Heliospectra Global Daily Light Integral Guide for Greenhouses eBook_ver02-komprimerad.pdf.
[4] Soussi, Meriem, Mohamed Thameur Chaibi, Martin Buchholz, and Zahia Saghrouni. 2022. “Comprehensive Review on Climate Control and Cooling Systems in Greenhouses under Hot and Arid Conditions.” Agronomy 12 (3). https://doi.org/10.3390/agronomy12030626.</t>
  </si>
  <si>
    <t>NETHERLAND, CUCUMBERS</t>
  </si>
  <si>
    <t>Cultivation periods</t>
  </si>
  <si>
    <t>Heat(MJ/ha)</t>
  </si>
  <si>
    <t>seedling: 3.3 plants/m2</t>
  </si>
  <si>
    <t>[1] Wilfried, B.; Womdim, R. N.; Nebambi, L.; Alison, H.; Nicolás, C.; Cherubino, L.; De Pascale, S.; Muien, Q., Good agricultural practices for greenhouse vegetable crops: principles for mediterranean climate areas. 2013.
[2] Marttila, M. P.; Uusitalo, V.; Linnanen, L.; Mikkilä, M. H., Agro-industrial symbiosis and alternative heating systems for decreasing the global warming potential of greenhouse production. Sustainability 2021, 13, (16), 9040.</t>
  </si>
  <si>
    <t>Lighting(kWh/ha)</t>
  </si>
  <si>
    <t>Irrigation: 16 m3/ton</t>
  </si>
  <si>
    <t>[1] Marttila, M. P.; Uusitalo, V.; Linnanen, L.; Mikkilä, M. H., Agro-industrial symbiosis and alternative heating systems for decreasing the global warming potential of greenhouse production. Sustainability 2021, 13, (16), 9040.</t>
  </si>
  <si>
    <t xml:space="preserve">Include: N= 2.1 kg/ton  , P2O5= 1.2 kg/ton , K2O= 3.1 kg/ton </t>
  </si>
  <si>
    <t>[1] Wilfried, B.; Womdim, R. N.; Nebambi, L.; Alison, H.; Nicolás, C.; Cherubino, L.; De Pascale, S.; Muien, Q., Good agricultural practices for greenhouse vegetable crops: principles for mediterranean climate areas. 2013.</t>
  </si>
  <si>
    <t>Pesticide = 1.77E-05 kg/ kg crop  //   assumption equal to tomato</t>
  </si>
  <si>
    <t>[1] Torrellas, M.; Antón, A.; Montero, J. I., An environmental impact calculator for greenhouse production systems. Journal of Environmental Management 2013, 118, 186-195.</t>
  </si>
  <si>
    <t>Cultivation period3</t>
  </si>
  <si>
    <t>CO2 enrichment = 20 kg /m2.year</t>
  </si>
  <si>
    <t>Cultivation period4</t>
  </si>
  <si>
    <t>Cultivation period5</t>
  </si>
  <si>
    <t>Cultivation period6</t>
  </si>
  <si>
    <t>Cultivation period7</t>
  </si>
  <si>
    <t>Cultivation period8</t>
  </si>
  <si>
    <t>Average Carbn footprint (kg CO2 eq./kg crop)</t>
  </si>
  <si>
    <t>20 - 13</t>
  </si>
  <si>
    <t>day: 20 &amp; Night: 13 oC</t>
  </si>
  <si>
    <t>Average carbon footprint cucumber production (kg CO2 eq./kg crop)</t>
  </si>
  <si>
    <t>NETHERLAND, LETTUCE</t>
  </si>
  <si>
    <t>Seedling: 4.72 plants/m2</t>
  </si>
  <si>
    <t>Irrigation: 1.54 L/kg</t>
  </si>
  <si>
    <t xml:space="preserve">Include: N= 1.33E-03 kg/kg  , P2O5= 8.60E-04 kg/kg , K2O= 1.84E-03 kg/kg </t>
  </si>
  <si>
    <t>Pesticide = 5.92E-05 kg/ kg</t>
  </si>
  <si>
    <t>CO2 enrichment = 18.7 kg /m2.year</t>
  </si>
  <si>
    <t>Cultivation period9</t>
  </si>
  <si>
    <t>Cultivation period10</t>
  </si>
  <si>
    <t>Cultivation period11</t>
  </si>
  <si>
    <t>Average carbon footprint lettuce production (kg CO2 eq./kg crop)</t>
  </si>
  <si>
    <t>Irrigation: 8750 m3/ha</t>
  </si>
  <si>
    <t>[1] García García, J.; García García, B. Sustainability Assessment of Greenhouse Pepper Production Scenarios in Southeastern Spain. Agronomy 2022, 12, 1254. https://doi.org/10.3390/agronomy12061254.</t>
  </si>
  <si>
    <t>Include: N= 4.5 kg/ton , P2O5= 1.3 kg/ton , K2O= 6.5 kg/ton</t>
  </si>
  <si>
    <t>CO2 enrichment = 16 kg /m2.year  /// assumption equal to Tomato</t>
  </si>
  <si>
    <t>NETHERLANDS, STRAWBERRY</t>
  </si>
  <si>
    <t>Cultivation period</t>
  </si>
  <si>
    <t>23.5 plant / m2</t>
  </si>
  <si>
    <t>Visiting</t>
  </si>
  <si>
    <t>Irrigation: 1400 m3/ha</t>
  </si>
  <si>
    <t>[1] Soode-Schimonsky, E.; Richter, K.; Weber-Blaschke, G., Product environmental footprint of strawberries: Case studies in Estonia and Germany. Journal of environmental management 2017, 203, 564-577.</t>
  </si>
  <si>
    <t xml:space="preserve">Include: N= 4.7 kg/ton  , P2O5= 2.0 kg/ton , K2O= 8.9 kg/ton </t>
  </si>
  <si>
    <t>Pesticide = 35.5 l/ha</t>
  </si>
  <si>
    <t>CO2 enrichment = 15 kg /m2.year</t>
  </si>
  <si>
    <t>Packaging= LDPE</t>
  </si>
  <si>
    <t>[1] Stoessel, Franziska, Ronnie Juraske, Stephan Pfister, and Stefanie Hellweg. 2012. “Life Cycle Inventory and Carbon and Water Foodprint of Fruits and Vegetables: Application to a Swiss Retailer.” Environmental Science and Technology 46 (6): 3253–62. https://doi.org/10.1021/es2030577.</t>
  </si>
  <si>
    <t>Interview with grower= 17 kg /m2  
for greenhouse crops, 1% light increase results in 1% increase in production
* In Netherlands 12 % light increase --&gt; ~ 2 kg increase in yield (calculation).</t>
  </si>
  <si>
    <t>[1] Interview 
[2] Hodge, C., Rogers, M., Handeen, D., &amp; Schweser, G. (2018). Yield of leafy greens and microclimate in deep winter greenhouse production in minnesota. Sustainability, 11(1), 28. https://doi.org/10.3390/su11010028.</t>
  </si>
  <si>
    <t>Calculation</t>
  </si>
  <si>
    <t>kg/ kg Strawberry</t>
  </si>
  <si>
    <t>15 - 5</t>
  </si>
  <si>
    <t>Day: 15 - 25  &amp;  Night: 5 -10 oC</t>
  </si>
  <si>
    <t>Park, D. H., B. J. Kang, K. R. Cho, C. S. Shin, S. E. Cho, J. W. Park, and W. M. Yang. 2011. A study on greenhouse automatic control system based on wireless sensor network. Wireless Personal Communications. 56(1):117-130.</t>
  </si>
  <si>
    <t>Van Delm, T.; Melis, P.; Stoffels, K.; Vanderbruggen, R.; Baets, W. In Advancing the strawberry season in Belgian glasshouses with supplemental assimilation lighting, VIII International Symposium on Light in Horticulture 1134, 2016; 2016; pp 147-154.</t>
  </si>
  <si>
    <t>BELGIUM, TOMATOES</t>
  </si>
  <si>
    <t>Transportation from West Flanders, Belgium to Basel, Switzerland (670 km)</t>
  </si>
  <si>
    <t>Interview with grower= 17 kg /m2  
for greenhouse crops, 1% light increase results in 1% increase in production
* In Belgium 11.2 % light increase --&gt; ~ 2 kg increase in yield (calculation).</t>
  </si>
  <si>
    <t>FRANCE, TOMATO</t>
  </si>
  <si>
    <t>Seedling: 1.2 plants/m2</t>
  </si>
  <si>
    <t>[1] Boulard, T.; Raeppel, C.; Brun, R.; Lecompte, F.; Hayer, F.; Carmassi, G.; Gaillard, G., Environmental impact of greenhouse tomato production in France. Agronomy for Sustainable Development 2011, 31, 757-777.</t>
  </si>
  <si>
    <t xml:space="preserve">Irrigation: 1250 L/m2 </t>
  </si>
  <si>
    <t xml:space="preserve">Include: N= 2561 kg/ha  , P2O5= 1401 kg/ha , K2O= 5378 kg/ha </t>
  </si>
  <si>
    <t>Monthly Carbon footprint (kg CO2 eq./kg crop)</t>
  </si>
  <si>
    <t>Transportation from Brittany, France to E25, 1258 Bardonnex, Switzerland (1000km)</t>
  </si>
  <si>
    <t>Seedling: 3 plants/m2</t>
  </si>
  <si>
    <t xml:space="preserve">Irrigation: 19 L/kg </t>
  </si>
  <si>
    <t xml:space="preserve">Include: N= 3.14E-03 kg/kg  , P2O5= 2.00E-03 kg/kg , K2O= 4.29E-03 kg/kg </t>
  </si>
  <si>
    <t>Pesticide = 1.44E-04 kg/ kg</t>
  </si>
  <si>
    <t>CO2 enrichment = 10 kg /m2.year</t>
  </si>
  <si>
    <t>SWITZERLAND, TOMATO</t>
  </si>
  <si>
    <t>Irrigation: 2 m3/ton</t>
  </si>
  <si>
    <t xml:space="preserve">Include: N= 1.23 kg/ton  , P2O5= 0.67 kg/ton , K2O= 3.33 kg/ton </t>
  </si>
  <si>
    <t>Pesticide = 2.88E-05 kg/ kg crop</t>
  </si>
  <si>
    <t>Transportation in Switzerland (100 km)</t>
  </si>
  <si>
    <t>Calculation (Physical flow)</t>
  </si>
  <si>
    <t>Heating Tech. : CHP</t>
  </si>
  <si>
    <t>Waste heat for greenhouse heating</t>
  </si>
  <si>
    <t>Electricity demand for heat transfer</t>
  </si>
  <si>
    <t>kWhel/MWhth.km</t>
  </si>
  <si>
    <t>for water pump for transfer hot water from industry to greenhouse</t>
  </si>
  <si>
    <t>Rezaei et al., 2024.</t>
  </si>
  <si>
    <t xml:space="preserve">Distance </t>
  </si>
  <si>
    <t>km (1000 m)</t>
  </si>
  <si>
    <t>Distance between industry and greenhouse</t>
  </si>
  <si>
    <t>assumption</t>
  </si>
  <si>
    <t>Carbon footprint of pipeline</t>
  </si>
  <si>
    <t>kg CO2 eq./m. year</t>
  </si>
  <si>
    <t>*2</t>
  </si>
  <si>
    <t>Greenhouse and pipline lifespan</t>
  </si>
  <si>
    <t>year</t>
  </si>
  <si>
    <t>equal to greenhouse lifespan</t>
  </si>
  <si>
    <t>Heating Tech. : Waste heat</t>
  </si>
  <si>
    <t>SWITZERLAND, CUCUMBERS</t>
  </si>
  <si>
    <t>Irrigation: 3.0E-02 m3/kg</t>
  </si>
  <si>
    <t xml:space="preserve">Include: N= 1.2E-03 kg/kg  , P2O5= 3.0E-04 , K2O= 1.8E-03 kg/ha </t>
  </si>
  <si>
    <t>Pesticide =7.81E-6 kg/ m2</t>
  </si>
  <si>
    <t>Heating Tech. : Waste Heat</t>
  </si>
  <si>
    <t xml:space="preserve">Irrigation: 1.59E-02 m3/kg </t>
  </si>
  <si>
    <t xml:space="preserve">Include: N= 1.57E-03 kg/kg  , P2O5= 4.58E-04 kg/kg , K2O= 2.35E-03 kg/kg </t>
  </si>
  <si>
    <t>Pesticide = 6.37E-05 kg/ kg</t>
  </si>
  <si>
    <t>Irrigation: 3.75E-02</t>
  </si>
  <si>
    <t>Include: N= 1.62E-03 kg/kg  , P2O5= 1.32E-03 kg/kg , K2O= 3.96E-03 kg/kg</t>
  </si>
  <si>
    <t>Pesticide = 2.06E-07 kg/ kg</t>
  </si>
  <si>
    <t>SWITZERLAND, STRAWBERRY</t>
  </si>
  <si>
    <t>Growth</t>
  </si>
  <si>
    <t>Interview with grower= 17 kg /m2  
for greenhouse crops, 1% light increase results in 1% increase in production
* In Switzweland 8.1 % light increase --&gt; ~ 1.5 kg increase in yield(calculation)..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</si>
</sst>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rgb="FFFF0000"/>
      <name val="Calibri"/>
      <family val="2"/>
      <scheme val="minor"/>
    </font>
    <font>
      <b/>
      <sz val="12"/>
      <color rgb="FFFF0000"/>
      <name val="Calibri"/>
      <family val="2"/>
      <scheme val="minor"/>
    </font>
    <font>
      <b/>
      <sz val="11"/>
      <color rgb="FFFF0000"/>
      <name val="Calibri"/>
      <family val="2"/>
      <scheme val="minor"/>
    </font>
    <font>
      <sz val="11"/>
      <name val="Calibri"/>
      <family val="2"/>
      <scheme val="minor"/>
    </font>
  </fonts>
  <fills count="15">
    <fill>
      <patternFill patternType="none"/>
    </fill>
    <fill>
      <patternFill patternType="gray125"/>
    </fill>
    <fill>
      <patternFill patternType="solid">
        <fgColor theme="6"/>
        <bgColor indexed="64"/>
      </patternFill>
    </fill>
    <fill>
      <patternFill patternType="solid">
        <fgColor rgb="FFFF0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bgColor indexed="64"/>
      </patternFill>
    </fill>
    <fill>
      <patternFill patternType="solid">
        <fgColor rgb="FFFF3399"/>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104">
    <xf numFmtId="0" fontId="0" fillId="0" borderId="0" xfId="0"/>
    <xf numFmtId="0" fontId="0" fillId="0" borderId="0" xfId="0" applyAlignment="1">
      <alignment vertical="center"/>
    </xf>
    <xf numFmtId="0" fontId="1" fillId="0" borderId="1" xfId="0" applyFont="1" applyBorder="1"/>
    <xf numFmtId="0" fontId="0" fillId="0" borderId="1" xfId="0" applyBorder="1"/>
    <xf numFmtId="0" fontId="0" fillId="0" borderId="1" xfId="0" applyBorder="1" applyAlignment="1">
      <alignment horizontal="center" vertical="center"/>
    </xf>
    <xf numFmtId="0" fontId="0" fillId="5" borderId="1" xfId="0" applyFill="1" applyBorder="1"/>
    <xf numFmtId="0" fontId="0" fillId="0" borderId="1" xfId="0" applyBorder="1" applyAlignment="1">
      <alignment horizontal="left" vertical="center"/>
    </xf>
    <xf numFmtId="0" fontId="0" fillId="5" borderId="1" xfId="0" applyFill="1" applyBorder="1" applyAlignment="1">
      <alignment horizontal="center" vertical="center"/>
    </xf>
    <xf numFmtId="0" fontId="0" fillId="2" borderId="1" xfId="0" applyFill="1" applyBorder="1"/>
    <xf numFmtId="0" fontId="0" fillId="3" borderId="1" xfId="0" applyFill="1" applyBorder="1"/>
    <xf numFmtId="0" fontId="0" fillId="4" borderId="1" xfId="0" applyFill="1" applyBorder="1"/>
    <xf numFmtId="0" fontId="0" fillId="8" borderId="1" xfId="0" applyFill="1" applyBorder="1"/>
    <xf numFmtId="0" fontId="0" fillId="9" borderId="1" xfId="0" applyFill="1" applyBorder="1"/>
    <xf numFmtId="0" fontId="0" fillId="10" borderId="1" xfId="0" applyFill="1" applyBorder="1"/>
    <xf numFmtId="0" fontId="2" fillId="0" borderId="0" xfId="0" applyFont="1"/>
    <xf numFmtId="0" fontId="0" fillId="0" borderId="0" xfId="0" applyAlignment="1">
      <alignment horizontal="center" vertical="center"/>
    </xf>
    <xf numFmtId="0" fontId="0" fillId="11" borderId="1" xfId="0" applyFill="1" applyBorder="1"/>
    <xf numFmtId="9" fontId="0" fillId="0" borderId="1" xfId="0" applyNumberFormat="1" applyBorder="1" applyAlignment="1">
      <alignment horizontal="center" vertical="center"/>
    </xf>
    <xf numFmtId="9" fontId="0" fillId="0" borderId="1" xfId="0" applyNumberFormat="1" applyBorder="1" applyAlignment="1">
      <alignment horizontal="center"/>
    </xf>
    <xf numFmtId="0" fontId="0" fillId="0" borderId="1" xfId="0" applyBorder="1" applyAlignment="1">
      <alignment vertical="center"/>
    </xf>
    <xf numFmtId="0" fontId="0" fillId="6" borderId="0" xfId="0" applyFill="1"/>
    <xf numFmtId="11" fontId="0" fillId="0" borderId="1" xfId="0" applyNumberFormat="1" applyBorder="1" applyAlignment="1">
      <alignment horizontal="center" vertical="center"/>
    </xf>
    <xf numFmtId="11" fontId="0" fillId="6" borderId="0" xfId="0" applyNumberFormat="1" applyFill="1"/>
    <xf numFmtId="0" fontId="0" fillId="0" borderId="3" xfId="0" applyBorder="1"/>
    <xf numFmtId="0" fontId="3" fillId="0" borderId="0" xfId="0" applyFont="1" applyAlignment="1">
      <alignment horizontal="left"/>
    </xf>
    <xf numFmtId="0" fontId="1" fillId="0" borderId="1" xfId="0" applyFont="1" applyBorder="1" applyAlignment="1">
      <alignment horizontal="center" vertical="center"/>
    </xf>
    <xf numFmtId="0" fontId="1" fillId="6" borderId="1" xfId="0" applyFont="1" applyFill="1" applyBorder="1" applyAlignment="1">
      <alignment vertical="center"/>
    </xf>
    <xf numFmtId="11" fontId="0" fillId="6" borderId="1" xfId="0" applyNumberFormat="1" applyFill="1" applyBorder="1"/>
    <xf numFmtId="0" fontId="4" fillId="0" borderId="0" xfId="0" applyFont="1"/>
    <xf numFmtId="0" fontId="1" fillId="5" borderId="1" xfId="0" applyFont="1" applyFill="1" applyBorder="1"/>
    <xf numFmtId="11" fontId="0" fillId="11" borderId="1" xfId="0" applyNumberFormat="1" applyFill="1" applyBorder="1"/>
    <xf numFmtId="0" fontId="4" fillId="6" borderId="1" xfId="0" applyFont="1" applyFill="1" applyBorder="1" applyAlignment="1">
      <alignment vertical="center"/>
    </xf>
    <xf numFmtId="0" fontId="4" fillId="0" borderId="0" xfId="0" applyFont="1" applyAlignment="1">
      <alignment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xf>
    <xf numFmtId="0" fontId="3" fillId="0" borderId="1" xfId="0" applyFont="1" applyBorder="1" applyAlignment="1">
      <alignment vertical="center"/>
    </xf>
    <xf numFmtId="0" fontId="0" fillId="2" borderId="1" xfId="0" applyFill="1" applyBorder="1" applyAlignment="1">
      <alignment horizontal="center" vertical="center"/>
    </xf>
    <xf numFmtId="0" fontId="0" fillId="6" borderId="0" xfId="0" applyFill="1" applyAlignment="1">
      <alignment horizontal="center" vertical="center"/>
    </xf>
    <xf numFmtId="11" fontId="0" fillId="6" borderId="0" xfId="0" applyNumberFormat="1" applyFill="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xf numFmtId="0" fontId="0" fillId="2" borderId="6"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8" xfId="0" applyBorder="1"/>
    <xf numFmtId="0" fontId="0" fillId="0" borderId="8" xfId="0" applyBorder="1" applyAlignment="1">
      <alignment horizontal="center" vertical="center"/>
    </xf>
    <xf numFmtId="0" fontId="0" fillId="2" borderId="8" xfId="0"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xf>
    <xf numFmtId="0" fontId="0" fillId="4" borderId="1" xfId="0" applyFill="1" applyBorder="1" applyAlignment="1">
      <alignment horizontal="center" vertical="center"/>
    </xf>
    <xf numFmtId="0" fontId="0" fillId="12" borderId="1" xfId="0" applyFill="1" applyBorder="1"/>
    <xf numFmtId="11" fontId="0" fillId="12" borderId="1" xfId="0" applyNumberFormat="1" applyFill="1" applyBorder="1" applyAlignment="1">
      <alignment horizontal="center" vertical="center"/>
    </xf>
    <xf numFmtId="0" fontId="0" fillId="12" borderId="0" xfId="0" applyFill="1"/>
    <xf numFmtId="0" fontId="1" fillId="13" borderId="1" xfId="0" applyFont="1" applyFill="1" applyBorder="1"/>
    <xf numFmtId="11" fontId="1" fillId="13" borderId="1" xfId="0" applyNumberFormat="1" applyFont="1" applyFill="1" applyBorder="1" applyAlignment="1">
      <alignment horizontal="center" vertical="center"/>
    </xf>
    <xf numFmtId="0" fontId="1" fillId="12" borderId="1" xfId="0" applyFont="1" applyFill="1" applyBorder="1" applyAlignment="1">
      <alignment horizontal="center" vertical="center"/>
    </xf>
    <xf numFmtId="0" fontId="0" fillId="0" borderId="2" xfId="0" applyBorder="1"/>
    <xf numFmtId="0" fontId="0" fillId="13" borderId="1" xfId="0" applyFill="1" applyBorder="1"/>
    <xf numFmtId="11" fontId="0" fillId="11" borderId="1" xfId="0" applyNumberFormat="1" applyFill="1" applyBorder="1" applyAlignment="1">
      <alignment horizontal="center" vertical="center"/>
    </xf>
    <xf numFmtId="11" fontId="0" fillId="13" borderId="1" xfId="0" applyNumberFormat="1" applyFill="1" applyBorder="1" applyAlignment="1">
      <alignment horizontal="center" vertical="center"/>
    </xf>
    <xf numFmtId="0" fontId="0" fillId="0" borderId="5" xfId="0" applyBorder="1"/>
    <xf numFmtId="0" fontId="0" fillId="12" borderId="9" xfId="0" applyFill="1" applyBorder="1"/>
    <xf numFmtId="0" fontId="0" fillId="11" borderId="9" xfId="0" applyFill="1" applyBorder="1"/>
    <xf numFmtId="0" fontId="0" fillId="0" borderId="9" xfId="0" applyBorder="1"/>
    <xf numFmtId="0" fontId="1" fillId="12" borderId="1" xfId="0" applyFont="1" applyFill="1" applyBorder="1"/>
    <xf numFmtId="0" fontId="1" fillId="0" borderId="0" xfId="0" applyFont="1"/>
    <xf numFmtId="0" fontId="0" fillId="11" borderId="0" xfId="0" applyFill="1"/>
    <xf numFmtId="11" fontId="0" fillId="0" borderId="0" xfId="0" applyNumberFormat="1"/>
    <xf numFmtId="0" fontId="0" fillId="11" borderId="1" xfId="0" applyFill="1" applyBorder="1" applyAlignment="1">
      <alignment horizontal="center" vertical="center"/>
    </xf>
    <xf numFmtId="0" fontId="5" fillId="11" borderId="1" xfId="0" applyFont="1" applyFill="1" applyBorder="1"/>
    <xf numFmtId="11" fontId="0" fillId="14" borderId="0" xfId="0" applyNumberFormat="1" applyFill="1"/>
    <xf numFmtId="0" fontId="0" fillId="14" borderId="0" xfId="0" applyFill="1"/>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vertical="center" indent="3"/>
    </xf>
    <xf numFmtId="0" fontId="0" fillId="0" borderId="0" xfId="0" applyAlignment="1">
      <alignment horizontal="left" vertical="center"/>
    </xf>
    <xf numFmtId="0" fontId="0" fillId="12" borderId="1" xfId="0" applyFill="1" applyBorder="1" applyAlignment="1">
      <alignment horizontal="center" vertical="center"/>
    </xf>
    <xf numFmtId="0" fontId="0" fillId="12" borderId="1" xfId="0" applyFill="1" applyBorder="1" applyAlignment="1">
      <alignment vertical="center"/>
    </xf>
    <xf numFmtId="0" fontId="0" fillId="12" borderId="1" xfId="0" applyFill="1" applyBorder="1" applyAlignment="1">
      <alignment vertical="center" wrapText="1"/>
    </xf>
    <xf numFmtId="0" fontId="1" fillId="12" borderId="1" xfId="0" applyFont="1" applyFill="1" applyBorder="1" applyAlignment="1">
      <alignment wrapText="1"/>
    </xf>
    <xf numFmtId="0" fontId="1" fillId="0" borderId="1" xfId="0" applyFont="1" applyBorder="1" applyAlignment="1">
      <alignment horizontal="center" vertical="center" wrapText="1"/>
    </xf>
    <xf numFmtId="0" fontId="0" fillId="0" borderId="2" xfId="0" applyBorder="1"/>
    <xf numFmtId="0" fontId="0" fillId="0" borderId="3" xfId="0" applyBorder="1"/>
    <xf numFmtId="0" fontId="0" fillId="0" borderId="1" xfId="0" applyBorder="1" applyAlignment="1">
      <alignment horizontal="left" vertical="center" wrapText="1"/>
    </xf>
    <xf numFmtId="0" fontId="0" fillId="12" borderId="1" xfId="0" applyFill="1" applyBorder="1" applyAlignment="1">
      <alignment horizontal="left" vertical="center" wrapText="1"/>
    </xf>
    <xf numFmtId="0" fontId="0" fillId="0" borderId="10" xfId="0" applyBorder="1" applyAlignment="1">
      <alignment horizontal="center" vertical="center"/>
    </xf>
    <xf numFmtId="0" fontId="0" fillId="0" borderId="7" xfId="0" applyBorder="1"/>
    <xf numFmtId="0" fontId="0" fillId="6" borderId="0" xfId="0" applyFill="1" applyAlignment="1">
      <alignment horizontal="center"/>
    </xf>
    <xf numFmtId="0" fontId="0" fillId="0" borderId="0" xfId="0"/>
    <xf numFmtId="0" fontId="1" fillId="6" borderId="0" xfId="0" applyFont="1" applyFill="1" applyAlignment="1">
      <alignment horizont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6" borderId="4" xfId="0" applyFont="1" applyFill="1" applyBorder="1" applyAlignment="1">
      <alignment horizontal="center"/>
    </xf>
    <xf numFmtId="0" fontId="0" fillId="0" borderId="4" xfId="0" applyBorder="1"/>
    <xf numFmtId="0" fontId="0" fillId="0" borderId="0" xfId="0" applyAlignment="1">
      <alignment horizontal="left"/>
    </xf>
    <xf numFmtId="0" fontId="1" fillId="0" borderId="1" xfId="0" applyFont="1" applyBorder="1" applyAlignment="1">
      <alignment horizontal="center" vertical="center"/>
    </xf>
    <xf numFmtId="0" fontId="2" fillId="0" borderId="0" xfId="0" applyFont="1" applyAlignment="1">
      <alignment horizontal="left"/>
    </xf>
    <xf numFmtId="0" fontId="0" fillId="0" borderId="1" xfId="0" applyBorder="1" applyAlignment="1">
      <alignment horizontal="left" vertical="center"/>
    </xf>
    <xf numFmtId="0" fontId="4" fillId="0" borderId="5" xfId="0" applyFont="1" applyBorder="1" applyAlignment="1">
      <alignment horizontal="center" vertical="center"/>
    </xf>
    <xf numFmtId="0" fontId="0" fillId="0" borderId="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Avg.</a:t>
            </a:r>
            <a:r>
              <a:rPr lang="en-US" baseline="0"/>
              <a:t> </a:t>
            </a:r>
            <a:r>
              <a:rPr lang="en-US"/>
              <a:t>Monthly Carbon Footprint </a:t>
            </a:r>
          </a:p>
        </c:rich>
      </c:tx>
      <c:overlay val="0"/>
      <c:spPr>
        <a:noFill/>
        <a:ln>
          <a:noFill/>
          <a:prstDash val="solid"/>
        </a:ln>
      </c:spPr>
    </c:title>
    <c:autoTitleDeleted val="0"/>
    <c:plotArea>
      <c:layout/>
      <c:barChart>
        <c:barDir val="col"/>
        <c:grouping val="clustered"/>
        <c:varyColors val="0"/>
        <c:ser>
          <c:idx val="0"/>
          <c:order val="0"/>
          <c:tx>
            <c:strRef>
              <c:f>NL_Tomato!$C$26</c:f>
              <c:strCache>
                <c:ptCount val="1"/>
                <c:pt idx="0">
                  <c:v>Monthly Carbon footprint </c:v>
                </c:pt>
              </c:strCache>
            </c:strRef>
          </c:tx>
          <c:spPr>
            <a:solidFill>
              <a:schemeClr val="accent2"/>
            </a:solidFill>
            <a:ln>
              <a:noFill/>
              <a:prstDash val="solid"/>
            </a:ln>
          </c:spPr>
          <c:invertIfNegative val="0"/>
          <c:cat>
            <c:strRef>
              <c:f>NL_Tomato!$D$23:$O$23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NL_Tomato!$D$26:$O$26</c:f>
              <c:numCache>
                <c:formatCode>0.00E+00</c:formatCode>
                <c:ptCount val="12"/>
                <c:pt idx="0">
                  <c:v>3.0371172865833334</c:v>
                </c:pt>
                <c:pt idx="1">
                  <c:v>2.8979116369666666</c:v>
                </c:pt>
                <c:pt idx="2">
                  <c:v>3.527007755083333</c:v>
                </c:pt>
                <c:pt idx="3">
                  <c:v>2.1457036203583328</c:v>
                </c:pt>
                <c:pt idx="4">
                  <c:v>1.4762960699999998</c:v>
                </c:pt>
                <c:pt idx="5">
                  <c:v>1.0431920099499998</c:v>
                </c:pt>
                <c:pt idx="6">
                  <c:v>0.80602284000000002</c:v>
                </c:pt>
                <c:pt idx="7">
                  <c:v>0.77627134026666655</c:v>
                </c:pt>
                <c:pt idx="8">
                  <c:v>0.82176337011666667</c:v>
                </c:pt>
                <c:pt idx="9">
                  <c:v>1.3628456712499999</c:v>
                </c:pt>
                <c:pt idx="10">
                  <c:v>3.1209410332999994</c:v>
                </c:pt>
                <c:pt idx="11">
                  <c:v>3.4789267925499994</c:v>
                </c:pt>
              </c:numCache>
            </c:numRef>
          </c:val>
          <c:extLst>
            <c:ext xmlns:c16="http://schemas.microsoft.com/office/drawing/2014/chart" uri="{C3380CC4-5D6E-409C-BE32-E72D297353CC}">
              <c16:uniqueId val="{00000000-C7FD-48CA-A838-DBC9886A1628}"/>
            </c:ext>
          </c:extLst>
        </c:ser>
        <c:dLbls>
          <c:showLegendKey val="0"/>
          <c:showVal val="0"/>
          <c:showCatName val="0"/>
          <c:showSerName val="0"/>
          <c:showPercent val="0"/>
          <c:showBubbleSize val="0"/>
        </c:dLbls>
        <c:gapWidth val="219"/>
        <c:overlap val="-27"/>
        <c:axId val="1499623023"/>
        <c:axId val="1499622543"/>
      </c:barChart>
      <c:catAx>
        <c:axId val="1499623023"/>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499622543"/>
        <c:crosses val="autoZero"/>
        <c:auto val="1"/>
        <c:lblAlgn val="ctr"/>
        <c:lblOffset val="100"/>
        <c:noMultiLvlLbl val="0"/>
      </c:catAx>
      <c:valAx>
        <c:axId val="149962254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 </a:t>
                </a:r>
                <a:r>
                  <a:rPr lang="en-US" sz="1000" b="0" i="0" strike="noStrike" baseline="0"/>
                  <a:t>Carbon footprint (kg CO</a:t>
                </a:r>
                <a:r>
                  <a:rPr lang="en-US" sz="1000" b="0" i="0" strike="noStrike" baseline="-25000"/>
                  <a:t>2</a:t>
                </a:r>
                <a:r>
                  <a:rPr lang="en-US" sz="1000" b="0" i="0" strike="noStrike" baseline="0"/>
                  <a:t> eq./kg crop) </a:t>
                </a:r>
                <a:endParaRPr lang="en-US"/>
              </a:p>
            </c:rich>
          </c:tx>
          <c:layout>
            <c:manualLayout>
              <c:xMode val="edge"/>
              <c:yMode val="edge"/>
              <c:x val="1.666666666666667E-2"/>
              <c:y val="0.12078703703703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499623023"/>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(CP2)</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BE_Tomato!$D$23:$O$23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BE_Tomato!$D$25:$O$25</c:f>
              <c:numCache>
                <c:formatCode>0.00E+00</c:formatCode>
                <c:ptCount val="12"/>
                <c:pt idx="0">
                  <c:v>2.2828155303833335</c:v>
                </c:pt>
                <c:pt idx="1">
                  <c:v>2.1615295894666668</c:v>
                </c:pt>
                <c:pt idx="2">
                  <c:v>1.9571583220499997</c:v>
                </c:pt>
                <c:pt idx="3">
                  <c:v>1.6180776061166666</c:v>
                </c:pt>
                <c:pt idx="4">
                  <c:v>1.31591332025</c:v>
                </c:pt>
                <c:pt idx="5">
                  <c:v>1.0052231556166666</c:v>
                </c:pt>
                <c:pt idx="6">
                  <c:v>0.79672806253333328</c:v>
                </c:pt>
                <c:pt idx="7">
                  <c:v>0.82178316946666663</c:v>
                </c:pt>
                <c:pt idx="11">
                  <c:v>2.5218811620333335</c:v>
                </c:pt>
              </c:numCache>
            </c:numRef>
          </c:val>
          <c:extLst>
            <c:ext xmlns:c16="http://schemas.microsoft.com/office/drawing/2014/chart" uri="{C3380CC4-5D6E-409C-BE32-E72D297353CC}">
              <c16:uniqueId val="{00000000-975F-4583-96D4-80CC695BAC8E}"/>
            </c:ext>
          </c:extLst>
        </c:ser>
        <c:dLbls>
          <c:showLegendKey val="0"/>
          <c:showVal val="0"/>
          <c:showCatName val="0"/>
          <c:showSerName val="0"/>
          <c:showPercent val="0"/>
          <c:showBubbleSize val="0"/>
        </c:dLbls>
        <c:gapWidth val="219"/>
        <c:overlap val="-27"/>
        <c:axId val="1179473632"/>
        <c:axId val="1179471712"/>
      </c:barChart>
      <c:catAx>
        <c:axId val="1179473632"/>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79471712"/>
        <c:crosses val="autoZero"/>
        <c:auto val="1"/>
        <c:lblAlgn val="ctr"/>
        <c:lblOffset val="100"/>
        <c:noMultiLvlLbl val="0"/>
      </c:catAx>
      <c:valAx>
        <c:axId val="1179471712"/>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79473632"/>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tx>
            <c:strRef>
              <c:f>BE_Lettuce!$B$34:$C$34</c:f>
              <c:strCache>
                <c:ptCount val="2"/>
                <c:pt idx="0">
                  <c:v>Average carbon footprint lettuce production (kg CO2 eq./kg crop)</c:v>
                </c:pt>
              </c:strCache>
            </c:strRef>
          </c:tx>
          <c:spPr>
            <a:solidFill>
              <a:srgbClr val="92D050"/>
            </a:solidFill>
            <a:ln>
              <a:noFill/>
              <a:prstDash val="solid"/>
            </a:ln>
          </c:spPr>
          <c:invertIfNegative val="0"/>
          <c:cat>
            <c:strRef>
              <c:f>BE_Lettuce!$D$33:$O$33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BE_Lettuce!$D$34:$O$34</c:f>
              <c:numCache>
                <c:formatCode>0.00E+00</c:formatCode>
                <c:ptCount val="12"/>
                <c:pt idx="1">
                  <c:v>3.2113269817314114</c:v>
                </c:pt>
                <c:pt idx="2">
                  <c:v>2.4659542869089384</c:v>
                </c:pt>
                <c:pt idx="3">
                  <c:v>1.9166029290413533</c:v>
                </c:pt>
                <c:pt idx="4">
                  <c:v>1.3855251644674182</c:v>
                </c:pt>
                <c:pt idx="5">
                  <c:v>0.85383911294277348</c:v>
                </c:pt>
                <c:pt idx="6">
                  <c:v>0.67232363225772751</c:v>
                </c:pt>
                <c:pt idx="7">
                  <c:v>0.68283187096282361</c:v>
                </c:pt>
                <c:pt idx="8">
                  <c:v>0.76003002445279855</c:v>
                </c:pt>
                <c:pt idx="9">
                  <c:v>1.1137514960568087</c:v>
                </c:pt>
                <c:pt idx="10">
                  <c:v>1.8672853943441936</c:v>
                </c:pt>
                <c:pt idx="11">
                  <c:v>2.7229583056328317</c:v>
                </c:pt>
              </c:numCache>
            </c:numRef>
          </c:val>
          <c:extLst>
            <c:ext xmlns:c16="http://schemas.microsoft.com/office/drawing/2014/chart" uri="{C3380CC4-5D6E-409C-BE32-E72D297353CC}">
              <c16:uniqueId val="{00000000-CA8E-41FB-A0D7-DA135B11FD03}"/>
            </c:ext>
          </c:extLst>
        </c:ser>
        <c:dLbls>
          <c:showLegendKey val="0"/>
          <c:showVal val="0"/>
          <c:showCatName val="0"/>
          <c:showSerName val="0"/>
          <c:showPercent val="0"/>
          <c:showBubbleSize val="0"/>
        </c:dLbls>
        <c:gapWidth val="219"/>
        <c:overlap val="-27"/>
        <c:axId val="1157860767"/>
        <c:axId val="1157872287"/>
      </c:barChart>
      <c:catAx>
        <c:axId val="115786076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72287"/>
        <c:crosses val="autoZero"/>
        <c:auto val="1"/>
        <c:lblAlgn val="ctr"/>
        <c:lblOffset val="100"/>
        <c:noMultiLvlLbl val="0"/>
      </c:catAx>
      <c:valAx>
        <c:axId val="115787228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a:t>
                </a:r>
                <a:r>
                  <a:rPr lang="en-US" baseline="-25000"/>
                  <a:t>2</a:t>
                </a:r>
                <a:r>
                  <a:rPr lang="en-US"/>
                  <a:t> eq./kg crop)</a:t>
                </a:r>
              </a:p>
            </c:rich>
          </c:tx>
          <c:layout>
            <c:manualLayout>
              <c:xMode val="edge"/>
              <c:yMode val="edge"/>
              <c:x val="5.5555555555555558E-3"/>
              <c:y val="0.1212037037037037"/>
            </c:manualLayout>
          </c:layout>
          <c:overlay val="0"/>
          <c:spPr>
            <a:noFill/>
            <a:ln>
              <a:noFill/>
              <a:prstDash val="solid"/>
            </a:ln>
          </c:spPr>
        </c:title>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60767"/>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tx>
            <c:strRef>
              <c:f>BE_Strawberry!$C$13</c:f>
              <c:strCache>
                <c:ptCount val="1"/>
                <c:pt idx="0">
                  <c:v>Monthly Carbon footprint </c:v>
                </c:pt>
              </c:strCache>
            </c:strRef>
          </c:tx>
          <c:spPr>
            <a:solidFill>
              <a:srgbClr val="FF33CC"/>
            </a:solidFill>
            <a:ln>
              <a:noFill/>
              <a:prstDash val="solid"/>
            </a:ln>
          </c:spPr>
          <c:invertIfNegative val="0"/>
          <c:cat>
            <c:strRef>
              <c:f>BE_Strawberry!$D$12:$O$12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BE_Strawberry!$D$13:$O$13</c:f>
              <c:numCache>
                <c:formatCode>0.00E+00</c:formatCode>
                <c:ptCount val="12"/>
                <c:pt idx="3">
                  <c:v>5.4177322465614033</c:v>
                </c:pt>
                <c:pt idx="4">
                  <c:v>2.7198842178771931</c:v>
                </c:pt>
                <c:pt idx="5">
                  <c:v>1.6892865472456138</c:v>
                </c:pt>
                <c:pt idx="6">
                  <c:v>1.3397845021929824</c:v>
                </c:pt>
                <c:pt idx="7">
                  <c:v>1.1917699492982456</c:v>
                </c:pt>
                <c:pt idx="8">
                  <c:v>1.1826891606140351</c:v>
                </c:pt>
                <c:pt idx="9">
                  <c:v>1.4758138712982456</c:v>
                </c:pt>
                <c:pt idx="10">
                  <c:v>2.2783994152456142</c:v>
                </c:pt>
                <c:pt idx="11">
                  <c:v>4.7554734594561392</c:v>
                </c:pt>
              </c:numCache>
            </c:numRef>
          </c:val>
          <c:extLst>
            <c:ext xmlns:c16="http://schemas.microsoft.com/office/drawing/2014/chart" uri="{C3380CC4-5D6E-409C-BE32-E72D297353CC}">
              <c16:uniqueId val="{00000000-073A-4BF6-8507-AA26C86E68E2}"/>
            </c:ext>
          </c:extLst>
        </c:ser>
        <c:dLbls>
          <c:showLegendKey val="0"/>
          <c:showVal val="0"/>
          <c:showCatName val="0"/>
          <c:showSerName val="0"/>
          <c:showPercent val="0"/>
          <c:showBubbleSize val="0"/>
        </c:dLbls>
        <c:gapWidth val="219"/>
        <c:overlap val="-27"/>
        <c:axId val="1085822864"/>
        <c:axId val="1085823824"/>
      </c:barChart>
      <c:catAx>
        <c:axId val="1085822864"/>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085823824"/>
        <c:crosses val="autoZero"/>
        <c:auto val="1"/>
        <c:lblAlgn val="ctr"/>
        <c:lblOffset val="100"/>
        <c:noMultiLvlLbl val="0"/>
      </c:catAx>
      <c:valAx>
        <c:axId val="1085823824"/>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1.388888888888889E-2"/>
              <c:y val="0.1393055555555556"/>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08582286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a:t>
            </a:r>
          </a:p>
        </c:rich>
      </c:tx>
      <c:overlay val="0"/>
      <c:spPr>
        <a:noFill/>
        <a:ln>
          <a:noFill/>
          <a:prstDash val="solid"/>
        </a:ln>
      </c:spPr>
    </c:title>
    <c:autoTitleDeleted val="0"/>
    <c:plotArea>
      <c:layout/>
      <c:barChart>
        <c:barDir val="col"/>
        <c:grouping val="clustered"/>
        <c:varyColors val="0"/>
        <c:ser>
          <c:idx val="0"/>
          <c:order val="0"/>
          <c:tx>
            <c:strRef>
              <c:f>FR_Tomato!$C$12</c:f>
              <c:strCache>
                <c:ptCount val="1"/>
                <c:pt idx="0">
                  <c:v>Monthly Carbon footprint (kg CO2 eq./kg crop)</c:v>
                </c:pt>
              </c:strCache>
            </c:strRef>
          </c:tx>
          <c:spPr>
            <a:solidFill>
              <a:schemeClr val="accent1"/>
            </a:solidFill>
            <a:ln>
              <a:noFill/>
              <a:prstDash val="solid"/>
            </a:ln>
          </c:spPr>
          <c:invertIfNegative val="0"/>
          <c:cat>
            <c:strRef>
              <c:f>FR_Tomato!$D$11:$O$11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FR_Tomato!$D$12:$O$12</c:f>
              <c:numCache>
                <c:formatCode>0.00E+00</c:formatCode>
                <c:ptCount val="12"/>
                <c:pt idx="2">
                  <c:v>3.2480145437554166</c:v>
                </c:pt>
                <c:pt idx="3">
                  <c:v>1.9315617370054166</c:v>
                </c:pt>
                <c:pt idx="4">
                  <c:v>1.4937846274166664</c:v>
                </c:pt>
                <c:pt idx="5">
                  <c:v>1.2219270909529167</c:v>
                </c:pt>
                <c:pt idx="6">
                  <c:v>0.99606046788041658</c:v>
                </c:pt>
                <c:pt idx="7">
                  <c:v>0.86100918432791662</c:v>
                </c:pt>
                <c:pt idx="8">
                  <c:v>0.84983005057791661</c:v>
                </c:pt>
                <c:pt idx="9">
                  <c:v>1.0525713449166665</c:v>
                </c:pt>
                <c:pt idx="10">
                  <c:v>1.9962838640416665</c:v>
                </c:pt>
              </c:numCache>
            </c:numRef>
          </c:val>
          <c:extLst>
            <c:ext xmlns:c16="http://schemas.microsoft.com/office/drawing/2014/chart" uri="{C3380CC4-5D6E-409C-BE32-E72D297353CC}">
              <c16:uniqueId val="{00000000-461C-4E54-A930-EE454AE476B3}"/>
            </c:ext>
          </c:extLst>
        </c:ser>
        <c:dLbls>
          <c:showLegendKey val="0"/>
          <c:showVal val="0"/>
          <c:showCatName val="0"/>
          <c:showSerName val="0"/>
          <c:showPercent val="0"/>
          <c:showBubbleSize val="0"/>
        </c:dLbls>
        <c:gapWidth val="219"/>
        <c:overlap val="-27"/>
        <c:axId val="1514373231"/>
        <c:axId val="1514374191"/>
      </c:barChart>
      <c:catAx>
        <c:axId val="1514373231"/>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14374191"/>
        <c:crosses val="autoZero"/>
        <c:auto val="1"/>
        <c:lblAlgn val="ctr"/>
        <c:lblOffset val="100"/>
        <c:noMultiLvlLbl val="0"/>
      </c:catAx>
      <c:valAx>
        <c:axId val="15143741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r>
                  <a:rPr lang="en-US" sz="1050" b="0" i="0" strike="noStrike" kern="1200" baseline="0">
                    <a:solidFill>
                      <a:sysClr val="windowText" lastClr="000000">
                        <a:lumOff val="35000"/>
                        <a:lumMod val="65000"/>
                      </a:sysClr>
                    </a:solidFill>
                  </a:rPr>
                  <a:t>Carbon footprint (kg CO</a:t>
                </a:r>
                <a:r>
                  <a:rPr lang="en-US" sz="1050" b="0" i="0" strike="noStrike" kern="1200" baseline="-25000">
                    <a:solidFill>
                      <a:sysClr val="windowText" lastClr="000000">
                        <a:lumOff val="35000"/>
                        <a:lumMod val="65000"/>
                      </a:sysClr>
                    </a:solidFill>
                  </a:rPr>
                  <a:t>2</a:t>
                </a:r>
                <a:r>
                  <a:rPr lang="en-US" sz="1050" b="0" i="0" strike="noStrike" kern="1200" baseline="0">
                    <a:solidFill>
                      <a:sysClr val="windowText" lastClr="000000">
                        <a:lumOff val="35000"/>
                        <a:lumMod val="65000"/>
                      </a:sysClr>
                    </a:solidFill>
                  </a:rPr>
                  <a:t> eq./kg crop)</a:t>
                </a:r>
                <a:endParaRPr lang="en-US" sz="1050"/>
              </a:p>
            </c:rich>
          </c:tx>
          <c:layout>
            <c:manualLayout>
              <c:xMode val="edge"/>
              <c:yMode val="edge"/>
              <c:x val="1.111111111111111E-2"/>
              <c:y val="0.1393055555555556"/>
            </c:manualLayout>
          </c:layout>
          <c:overlay val="0"/>
          <c:spPr>
            <a:noFill/>
            <a:ln>
              <a:noFill/>
              <a:prstDash val="solid"/>
            </a:ln>
          </c:spPr>
        </c:title>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14373231"/>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tx>
            <c:strRef>
              <c:f>FR_Lettuce!$B$34:$C$34</c:f>
              <c:strCache>
                <c:ptCount val="2"/>
                <c:pt idx="0">
                  <c:v>Average carbon footprint lettuce production (kg CO2 eq./kg crop)</c:v>
                </c:pt>
              </c:strCache>
            </c:strRef>
          </c:tx>
          <c:spPr>
            <a:solidFill>
              <a:srgbClr val="92D050"/>
            </a:solidFill>
            <a:ln>
              <a:noFill/>
              <a:prstDash val="solid"/>
            </a:ln>
          </c:spPr>
          <c:invertIfNegative val="0"/>
          <c:cat>
            <c:strRef>
              <c:f>FR_Lettuce!$D$33:$O$33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FR_Lettuce!$D$34:$O$34</c:f>
              <c:numCache>
                <c:formatCode>0.00E+00</c:formatCode>
                <c:ptCount val="12"/>
                <c:pt idx="1">
                  <c:v>2.6436104307861918</c:v>
                </c:pt>
                <c:pt idx="2">
                  <c:v>2.1146866338496841</c:v>
                </c:pt>
                <c:pt idx="3">
                  <c:v>1.7255759394685408</c:v>
                </c:pt>
                <c:pt idx="4">
                  <c:v>1.2825899509885255</c:v>
                </c:pt>
                <c:pt idx="5">
                  <c:v>0.82821088604302917</c:v>
                </c:pt>
                <c:pt idx="6">
                  <c:v>0.69093734518665129</c:v>
                </c:pt>
                <c:pt idx="7">
                  <c:v>0.70174676489175747</c:v>
                </c:pt>
                <c:pt idx="8">
                  <c:v>0.7508415878561866</c:v>
                </c:pt>
                <c:pt idx="9">
                  <c:v>0.88753889736450553</c:v>
                </c:pt>
                <c:pt idx="10">
                  <c:v>1.277913857387837</c:v>
                </c:pt>
                <c:pt idx="11">
                  <c:v>1.871736764031172</c:v>
                </c:pt>
              </c:numCache>
            </c:numRef>
          </c:val>
          <c:extLst>
            <c:ext xmlns:c16="http://schemas.microsoft.com/office/drawing/2014/chart" uri="{C3380CC4-5D6E-409C-BE32-E72D297353CC}">
              <c16:uniqueId val="{00000000-CF94-4379-8291-EFF45437D254}"/>
            </c:ext>
          </c:extLst>
        </c:ser>
        <c:dLbls>
          <c:showLegendKey val="0"/>
          <c:showVal val="0"/>
          <c:showCatName val="0"/>
          <c:showSerName val="0"/>
          <c:showPercent val="0"/>
          <c:showBubbleSize val="0"/>
        </c:dLbls>
        <c:gapWidth val="219"/>
        <c:overlap val="-27"/>
        <c:axId val="1157860767"/>
        <c:axId val="1157872287"/>
      </c:barChart>
      <c:catAx>
        <c:axId val="115786076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72287"/>
        <c:crosses val="autoZero"/>
        <c:auto val="1"/>
        <c:lblAlgn val="ctr"/>
        <c:lblOffset val="100"/>
        <c:noMultiLvlLbl val="0"/>
      </c:catAx>
      <c:valAx>
        <c:axId val="115787228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a:t>
                </a:r>
                <a:r>
                  <a:rPr lang="en-US" baseline="-25000"/>
                  <a:t>2</a:t>
                </a:r>
                <a:r>
                  <a:rPr lang="en-US"/>
                  <a:t> eq./kg crop)</a:t>
                </a:r>
              </a:p>
            </c:rich>
          </c:tx>
          <c:layout>
            <c:manualLayout>
              <c:xMode val="edge"/>
              <c:yMode val="edge"/>
              <c:x val="5.5555555555555558E-3"/>
              <c:y val="0.1212037037037037"/>
            </c:manualLayout>
          </c:layout>
          <c:overlay val="0"/>
          <c:spPr>
            <a:noFill/>
            <a:ln>
              <a:noFill/>
              <a:prstDash val="solid"/>
            </a:ln>
          </c:spPr>
        </c:title>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60767"/>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Avg. Monthly Carbon Footprint [CHP] </a:t>
            </a:r>
          </a:p>
        </c:rich>
      </c:tx>
      <c:overlay val="0"/>
      <c:spPr>
        <a:noFill/>
        <a:ln>
          <a:noFill/>
          <a:prstDash val="solid"/>
        </a:ln>
      </c:spPr>
    </c:title>
    <c:autoTitleDeleted val="0"/>
    <c:plotArea>
      <c:layout/>
      <c:barChart>
        <c:barDir val="col"/>
        <c:grouping val="clustered"/>
        <c:varyColors val="0"/>
        <c:ser>
          <c:idx val="0"/>
          <c:order val="0"/>
          <c:tx>
            <c:strRef>
              <c:f>CH_Tomato!$C$26</c:f>
              <c:strCache>
                <c:ptCount val="1"/>
                <c:pt idx="0">
                  <c:v>Monthly Carbon footprint </c:v>
                </c:pt>
              </c:strCache>
            </c:strRef>
          </c:tx>
          <c:spPr>
            <a:solidFill>
              <a:schemeClr val="accent2"/>
            </a:solidFill>
            <a:ln>
              <a:noFill/>
              <a:prstDash val="solid"/>
            </a:ln>
          </c:spPr>
          <c:invertIfNegative val="0"/>
          <c:cat>
            <c:strRef>
              <c:f>CH_Tomato!$D$23:$O$23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CH_Tomato!$D$26:$O$26</c:f>
              <c:numCache>
                <c:formatCode>0.00E+00</c:formatCode>
                <c:ptCount val="12"/>
                <c:pt idx="0">
                  <c:v>2.4187842514</c:v>
                </c:pt>
                <c:pt idx="1">
                  <c:v>2.1416283439333332</c:v>
                </c:pt>
                <c:pt idx="2">
                  <c:v>2.6950163377083336</c:v>
                </c:pt>
                <c:pt idx="3">
                  <c:v>1.6317424388833333</c:v>
                </c:pt>
                <c:pt idx="4">
                  <c:v>1.2819353594333331</c:v>
                </c:pt>
                <c:pt idx="5">
                  <c:v>0.94346302806666671</c:v>
                </c:pt>
                <c:pt idx="6">
                  <c:v>0.72227800286666666</c:v>
                </c:pt>
                <c:pt idx="7">
                  <c:v>0.67479577298333326</c:v>
                </c:pt>
                <c:pt idx="8">
                  <c:v>0.65943509693333335</c:v>
                </c:pt>
                <c:pt idx="9">
                  <c:v>1.0570327411666667</c:v>
                </c:pt>
                <c:pt idx="10">
                  <c:v>2.4474703563499998</c:v>
                </c:pt>
                <c:pt idx="11">
                  <c:v>2.6598831017499998</c:v>
                </c:pt>
              </c:numCache>
            </c:numRef>
          </c:val>
          <c:extLst>
            <c:ext xmlns:c16="http://schemas.microsoft.com/office/drawing/2014/chart" uri="{C3380CC4-5D6E-409C-BE32-E72D297353CC}">
              <c16:uniqueId val="{00000000-E9BE-4EC9-930E-DA88A6FABB38}"/>
            </c:ext>
          </c:extLst>
        </c:ser>
        <c:dLbls>
          <c:showLegendKey val="0"/>
          <c:showVal val="0"/>
          <c:showCatName val="0"/>
          <c:showSerName val="0"/>
          <c:showPercent val="0"/>
          <c:showBubbleSize val="0"/>
        </c:dLbls>
        <c:gapWidth val="219"/>
        <c:overlap val="-27"/>
        <c:axId val="1512240447"/>
        <c:axId val="1512240927"/>
      </c:barChart>
      <c:catAx>
        <c:axId val="15122404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a:t>
                </a:r>
                <a:r>
                  <a:rPr lang="en-US" baseline="0"/>
                  <a:t> of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12240927"/>
        <c:crosses val="autoZero"/>
        <c:auto val="1"/>
        <c:lblAlgn val="ctr"/>
        <c:lblOffset val="100"/>
        <c:noMultiLvlLbl val="0"/>
      </c:catAx>
      <c:valAx>
        <c:axId val="1512240927"/>
        <c:scaling>
          <c:orientation val="minMax"/>
          <c:max val="4"/>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r>
                  <a:rPr lang="en-US" sz="1100" b="0" i="0" strike="noStrike" kern="1200" baseline="0">
                    <a:solidFill>
                      <a:sysClr val="windowText" lastClr="000000">
                        <a:lumOff val="35000"/>
                        <a:lumMod val="65000"/>
                      </a:sysClr>
                    </a:solidFill>
                  </a:rPr>
                  <a:t>Carbon footprint ( kg CO</a:t>
                </a:r>
                <a:r>
                  <a:rPr lang="en-US" sz="1100" b="0" i="0" strike="noStrike" kern="1200" baseline="-25000">
                    <a:solidFill>
                      <a:sysClr val="windowText" lastClr="000000">
                        <a:lumOff val="35000"/>
                        <a:lumMod val="65000"/>
                      </a:sysClr>
                    </a:solidFill>
                  </a:rPr>
                  <a:t>2</a:t>
                </a:r>
                <a:r>
                  <a:rPr lang="en-US" sz="1100" b="0" i="0" strike="noStrike" kern="1200" baseline="0">
                    <a:solidFill>
                      <a:sysClr val="windowText" lastClr="000000">
                        <a:lumOff val="35000"/>
                        <a:lumMod val="65000"/>
                      </a:sysClr>
                    </a:solidFill>
                  </a:rPr>
                  <a:t> eq./kg crop)</a:t>
                </a:r>
                <a:endParaRPr lang="en-US" sz="1100"/>
              </a:p>
            </c:rich>
          </c:tx>
          <c:layout>
            <c:manualLayout>
              <c:xMode val="edge"/>
              <c:yMode val="edge"/>
              <c:x val="1.388888888888889E-2"/>
              <c:y val="0.12511827956989249"/>
            </c:manualLayout>
          </c:layout>
          <c:overlay val="0"/>
          <c:spPr>
            <a:noFill/>
            <a:ln>
              <a:noFill/>
              <a:prstDash val="solid"/>
            </a:ln>
          </c:spPr>
        </c:title>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12240447"/>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(CP1) [CHP]</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CH_Tomato!$D$24:$O$24</c:f>
              <c:numCache>
                <c:formatCode>0.00E+00</c:formatCode>
                <c:ptCount val="12"/>
                <c:pt idx="2">
                  <c:v>3.4727901129333327</c:v>
                </c:pt>
                <c:pt idx="3">
                  <c:v>1.7385717393499998</c:v>
                </c:pt>
                <c:pt idx="4">
                  <c:v>1.2819353594333331</c:v>
                </c:pt>
                <c:pt idx="5">
                  <c:v>0.94346302806666671</c:v>
                </c:pt>
                <c:pt idx="6">
                  <c:v>0.71079199274999993</c:v>
                </c:pt>
                <c:pt idx="7">
                  <c:v>0.59488116156666659</c:v>
                </c:pt>
                <c:pt idx="8">
                  <c:v>0.65943509693333335</c:v>
                </c:pt>
                <c:pt idx="9">
                  <c:v>1.0570327411666667</c:v>
                </c:pt>
                <c:pt idx="10">
                  <c:v>2.4474703563499998</c:v>
                </c:pt>
              </c:numCache>
            </c:numRef>
          </c:val>
          <c:extLst>
            <c:ext xmlns:c16="http://schemas.microsoft.com/office/drawing/2014/chart" uri="{C3380CC4-5D6E-409C-BE32-E72D297353CC}">
              <c16:uniqueId val="{00000000-9829-49A0-A768-1E94F9FED4B5}"/>
            </c:ext>
          </c:extLst>
        </c:ser>
        <c:dLbls>
          <c:showLegendKey val="0"/>
          <c:showVal val="0"/>
          <c:showCatName val="0"/>
          <c:showSerName val="0"/>
          <c:showPercent val="0"/>
          <c:showBubbleSize val="0"/>
        </c:dLbls>
        <c:gapWidth val="219"/>
        <c:overlap val="-27"/>
        <c:axId val="1263440400"/>
        <c:axId val="1263438000"/>
      </c:barChart>
      <c:catAx>
        <c:axId val="1263440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63438000"/>
        <c:crosses val="autoZero"/>
        <c:auto val="1"/>
        <c:lblAlgn val="ctr"/>
        <c:lblOffset val="100"/>
        <c:noMultiLvlLbl val="0"/>
      </c:catAx>
      <c:valAx>
        <c:axId val="126343800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63440400"/>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(CP2) [CHP]</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CH_Tomato!$D$25:$O$25</c:f>
              <c:numCache>
                <c:formatCode>0.00E+00</c:formatCode>
                <c:ptCount val="12"/>
                <c:pt idx="0">
                  <c:v>2.4187842514</c:v>
                </c:pt>
                <c:pt idx="1">
                  <c:v>2.1416283439333332</c:v>
                </c:pt>
                <c:pt idx="2">
                  <c:v>1.9172425624833331</c:v>
                </c:pt>
                <c:pt idx="3">
                  <c:v>1.5249131384166668</c:v>
                </c:pt>
                <c:pt idx="4">
                  <c:v>1.2819353594333331</c:v>
                </c:pt>
                <c:pt idx="5">
                  <c:v>0.94346302806666671</c:v>
                </c:pt>
                <c:pt idx="6">
                  <c:v>0.73376401298333327</c:v>
                </c:pt>
                <c:pt idx="7">
                  <c:v>0.75471038439999993</c:v>
                </c:pt>
                <c:pt idx="11">
                  <c:v>2.6598831017499998</c:v>
                </c:pt>
              </c:numCache>
            </c:numRef>
          </c:val>
          <c:extLst>
            <c:ext xmlns:c16="http://schemas.microsoft.com/office/drawing/2014/chart" uri="{C3380CC4-5D6E-409C-BE32-E72D297353CC}">
              <c16:uniqueId val="{00000000-38DF-4AFB-899D-73E621D9CE5F}"/>
            </c:ext>
          </c:extLst>
        </c:ser>
        <c:dLbls>
          <c:showLegendKey val="0"/>
          <c:showVal val="0"/>
          <c:showCatName val="0"/>
          <c:showSerName val="0"/>
          <c:showPercent val="0"/>
          <c:showBubbleSize val="0"/>
        </c:dLbls>
        <c:gapWidth val="219"/>
        <c:overlap val="-27"/>
        <c:axId val="1082738704"/>
        <c:axId val="1259764080"/>
      </c:barChart>
      <c:catAx>
        <c:axId val="1082738704"/>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59764080"/>
        <c:crosses val="autoZero"/>
        <c:auto val="1"/>
        <c:lblAlgn val="ctr"/>
        <c:lblOffset val="100"/>
        <c:noMultiLvlLbl val="0"/>
      </c:catAx>
      <c:valAx>
        <c:axId val="1259764080"/>
        <c:scaling>
          <c:orientation val="minMax"/>
          <c:max val="4"/>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08273870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CH_Tomato!$D$50:$O$50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CH_Tomato!$D$51:$O$51</c:f>
              <c:numCache>
                <c:formatCode>0.00E+00</c:formatCode>
                <c:ptCount val="12"/>
                <c:pt idx="2">
                  <c:v>0.89077595233693863</c:v>
                </c:pt>
                <c:pt idx="3">
                  <c:v>0.6181075747253707</c:v>
                </c:pt>
                <c:pt idx="4">
                  <c:v>0.53218037699610665</c:v>
                </c:pt>
                <c:pt idx="5">
                  <c:v>0.49153460716362662</c:v>
                </c:pt>
                <c:pt idx="6">
                  <c:v>0.48353023861151462</c:v>
                </c:pt>
                <c:pt idx="7">
                  <c:v>0.48096804422221862</c:v>
                </c:pt>
                <c:pt idx="8">
                  <c:v>0.50528881259370662</c:v>
                </c:pt>
                <c:pt idx="9">
                  <c:v>0.59201485491009065</c:v>
                </c:pt>
                <c:pt idx="10">
                  <c:v>0.83171719130975463</c:v>
                </c:pt>
              </c:numCache>
            </c:numRef>
          </c:val>
          <c:extLst>
            <c:ext xmlns:c16="http://schemas.microsoft.com/office/drawing/2014/chart" uri="{C3380CC4-5D6E-409C-BE32-E72D297353CC}">
              <c16:uniqueId val="{00000000-7EBA-48D7-8B2A-EB06B3B9A57E}"/>
            </c:ext>
          </c:extLst>
        </c:ser>
        <c:dLbls>
          <c:showLegendKey val="0"/>
          <c:showVal val="0"/>
          <c:showCatName val="0"/>
          <c:showSerName val="0"/>
          <c:showPercent val="0"/>
          <c:showBubbleSize val="0"/>
        </c:dLbls>
        <c:gapWidth val="219"/>
        <c:overlap val="-27"/>
        <c:axId val="2035397136"/>
        <c:axId val="2035405776"/>
      </c:barChart>
      <c:catAx>
        <c:axId val="20353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405776"/>
        <c:crosses val="autoZero"/>
        <c:auto val="1"/>
        <c:lblAlgn val="ctr"/>
        <c:lblOffset val="100"/>
        <c:noMultiLvlLbl val="0"/>
      </c:catAx>
      <c:valAx>
        <c:axId val="2035405776"/>
        <c:scaling>
          <c:orientation val="minMax"/>
          <c:max val="4"/>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397136"/>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sz="1400" b="0" i="0" strike="noStrike" kern="1200" spc="0" baseline="0">
                <a:solidFill>
                  <a:sysClr val="windowText" lastClr="000000">
                    <a:lumOff val="35000"/>
                    <a:lumMod val="65000"/>
                  </a:sysClr>
                </a:solidFill>
              </a:rPr>
              <a:t>Monthly Carbon Footprint (CP2) [WH]</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CH_Tomato!$D$50:$O$50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CH_Tomato!$D$52:$O$52</c:f>
              <c:numCache>
                <c:formatCode>0.00E+00</c:formatCode>
                <c:ptCount val="12"/>
                <c:pt idx="0">
                  <c:v>0.75027822836490676</c:v>
                </c:pt>
                <c:pt idx="1">
                  <c:v>0.71651348985585062</c:v>
                </c:pt>
                <c:pt idx="2">
                  <c:v>0.66243019604447462</c:v>
                </c:pt>
                <c:pt idx="3">
                  <c:v>0.5843440882625226</c:v>
                </c:pt>
                <c:pt idx="4">
                  <c:v>0.53218037699610665</c:v>
                </c:pt>
                <c:pt idx="5">
                  <c:v>0.49153460716362662</c:v>
                </c:pt>
                <c:pt idx="6">
                  <c:v>0.48913058230185064</c:v>
                </c:pt>
                <c:pt idx="7">
                  <c:v>0.51217054165252263</c:v>
                </c:pt>
                <c:pt idx="11">
                  <c:v>0.87380050484428262</c:v>
                </c:pt>
              </c:numCache>
            </c:numRef>
          </c:val>
          <c:extLst>
            <c:ext xmlns:c16="http://schemas.microsoft.com/office/drawing/2014/chart" uri="{C3380CC4-5D6E-409C-BE32-E72D297353CC}">
              <c16:uniqueId val="{00000000-8CB9-4C6E-8D96-BE969E873654}"/>
            </c:ext>
          </c:extLst>
        </c:ser>
        <c:dLbls>
          <c:showLegendKey val="0"/>
          <c:showVal val="0"/>
          <c:showCatName val="0"/>
          <c:showSerName val="0"/>
          <c:showPercent val="0"/>
          <c:showBubbleSize val="0"/>
        </c:dLbls>
        <c:gapWidth val="219"/>
        <c:overlap val="-27"/>
        <c:axId val="2034617968"/>
        <c:axId val="97634112"/>
      </c:barChart>
      <c:catAx>
        <c:axId val="20346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7634112"/>
        <c:crosses val="autoZero"/>
        <c:auto val="1"/>
        <c:lblAlgn val="ctr"/>
        <c:lblOffset val="100"/>
        <c:noMultiLvlLbl val="0"/>
      </c:catAx>
      <c:valAx>
        <c:axId val="97634112"/>
        <c:scaling>
          <c:orientation val="minMax"/>
          <c:max val="4"/>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4617968"/>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(CP1) </a:t>
            </a:r>
          </a:p>
        </c:rich>
      </c:tx>
      <c:overlay val="0"/>
      <c:spPr>
        <a:noFill/>
        <a:ln>
          <a:noFill/>
          <a:prstDash val="solid"/>
        </a:ln>
      </c:spPr>
    </c:title>
    <c:autoTitleDeleted val="0"/>
    <c:plotArea>
      <c:layout/>
      <c:barChart>
        <c:barDir val="col"/>
        <c:grouping val="clustered"/>
        <c:varyColors val="0"/>
        <c:ser>
          <c:idx val="0"/>
          <c:order val="0"/>
          <c:tx>
            <c:strRef>
              <c:f>NL_Tomato!$C$24</c:f>
              <c:strCache>
                <c:ptCount val="1"/>
                <c:pt idx="0">
                  <c:v>Monthly Carbon footprint </c:v>
                </c:pt>
              </c:strCache>
            </c:strRef>
          </c:tx>
          <c:spPr>
            <a:solidFill>
              <a:schemeClr val="accent1"/>
            </a:solidFill>
            <a:ln>
              <a:noFill/>
              <a:prstDash val="solid"/>
            </a:ln>
          </c:spPr>
          <c:invertIfNegative val="0"/>
          <c:cat>
            <c:strRef>
              <c:f>NL_Tomato!$D$23:$O$23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NL_Tomato!$D$24:$O$24</c:f>
              <c:numCache>
                <c:formatCode>0.00E+00</c:formatCode>
                <c:ptCount val="12"/>
                <c:pt idx="2">
                  <c:v>4.5356260791666667</c:v>
                </c:pt>
                <c:pt idx="3">
                  <c:v>2.3143521495833332</c:v>
                </c:pt>
                <c:pt idx="4">
                  <c:v>1.4762960699999998</c:v>
                </c:pt>
                <c:pt idx="5">
                  <c:v>1.0431920099499998</c:v>
                </c:pt>
                <c:pt idx="6">
                  <c:v>0.79372962129999991</c:v>
                </c:pt>
                <c:pt idx="7">
                  <c:v>0.69193627016666659</c:v>
                </c:pt>
                <c:pt idx="8">
                  <c:v>0.82176337011666667</c:v>
                </c:pt>
                <c:pt idx="9">
                  <c:v>1.3628456712499999</c:v>
                </c:pt>
                <c:pt idx="10">
                  <c:v>3.1209410332999994</c:v>
                </c:pt>
              </c:numCache>
            </c:numRef>
          </c:val>
          <c:extLst>
            <c:ext xmlns:c16="http://schemas.microsoft.com/office/drawing/2014/chart" uri="{C3380CC4-5D6E-409C-BE32-E72D297353CC}">
              <c16:uniqueId val="{00000000-95BC-41FE-9156-810719CC1C4C}"/>
            </c:ext>
          </c:extLst>
        </c:ser>
        <c:dLbls>
          <c:showLegendKey val="0"/>
          <c:showVal val="0"/>
          <c:showCatName val="0"/>
          <c:showSerName val="0"/>
          <c:showPercent val="0"/>
          <c:showBubbleSize val="0"/>
        </c:dLbls>
        <c:gapWidth val="219"/>
        <c:overlap val="-27"/>
        <c:axId val="959053855"/>
        <c:axId val="959055775"/>
      </c:barChart>
      <c:catAx>
        <c:axId val="959053855"/>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59055775"/>
        <c:crosses val="autoZero"/>
        <c:auto val="1"/>
        <c:lblAlgn val="ctr"/>
        <c:lblOffset val="100"/>
        <c:noMultiLvlLbl val="0"/>
      </c:catAx>
      <c:valAx>
        <c:axId val="959055775"/>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8.3333333333333332E-3"/>
              <c:y val="0.125416666666666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59053855"/>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defRPr sz="1400" b="0" i="0" strike="noStrike" kern="1200" spc="0" baseline="0">
                <a:solidFill>
                  <a:sysClr val="windowText" lastClr="000000">
                    <a:lumOff val="35000"/>
                    <a:lumMod val="65000"/>
                  </a:sysClr>
                </a:solidFill>
                <a:latin typeface="+mn-lt"/>
                <a:ea typeface="+mn-ea"/>
                <a:cs typeface="+mn-cs"/>
              </a:defRPr>
            </a:pPr>
            <a:r>
              <a:rPr lang="en-US" sz="1400" b="0" i="0" strike="noStrike" kern="1200" spc="0" baseline="0">
                <a:solidFill>
                  <a:sysClr val="windowText" lastClr="000000">
                    <a:lumOff val="35000"/>
                    <a:lumMod val="65000"/>
                  </a:sysClr>
                </a:solidFill>
              </a:rPr>
              <a:t>Avg. Monthly Carbon Footprint [WH] </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CH_Tomato!$D$50:$O$50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CH_Tomato!$D$53:$O$53</c:f>
              <c:numCache>
                <c:formatCode>0.00E+00</c:formatCode>
                <c:ptCount val="12"/>
                <c:pt idx="0">
                  <c:v>0.75027822836490676</c:v>
                </c:pt>
                <c:pt idx="1">
                  <c:v>0.71651348985585062</c:v>
                </c:pt>
                <c:pt idx="2">
                  <c:v>0.77660307419070662</c:v>
                </c:pt>
                <c:pt idx="3">
                  <c:v>0.60122583149394671</c:v>
                </c:pt>
                <c:pt idx="4">
                  <c:v>0.53218037699610665</c:v>
                </c:pt>
                <c:pt idx="5">
                  <c:v>0.49153460716362662</c:v>
                </c:pt>
                <c:pt idx="6">
                  <c:v>0.48633041045668263</c:v>
                </c:pt>
                <c:pt idx="7">
                  <c:v>0.49656929293737062</c:v>
                </c:pt>
                <c:pt idx="8">
                  <c:v>0.50528881259370662</c:v>
                </c:pt>
                <c:pt idx="9">
                  <c:v>0.59201485491009065</c:v>
                </c:pt>
                <c:pt idx="10">
                  <c:v>0.83171719130975463</c:v>
                </c:pt>
                <c:pt idx="11">
                  <c:v>0.87380050484428262</c:v>
                </c:pt>
              </c:numCache>
            </c:numRef>
          </c:val>
          <c:extLst>
            <c:ext xmlns:c16="http://schemas.microsoft.com/office/drawing/2014/chart" uri="{C3380CC4-5D6E-409C-BE32-E72D297353CC}">
              <c16:uniqueId val="{00000000-3D95-42D5-8C85-F93EDA49C378}"/>
            </c:ext>
          </c:extLst>
        </c:ser>
        <c:dLbls>
          <c:showLegendKey val="0"/>
          <c:showVal val="0"/>
          <c:showCatName val="0"/>
          <c:showSerName val="0"/>
          <c:showPercent val="0"/>
          <c:showBubbleSize val="0"/>
        </c:dLbls>
        <c:gapWidth val="219"/>
        <c:overlap val="-27"/>
        <c:axId val="2035405296"/>
        <c:axId val="2035408656"/>
      </c:barChart>
      <c:catAx>
        <c:axId val="203540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408656"/>
        <c:crosses val="autoZero"/>
        <c:auto val="1"/>
        <c:lblAlgn val="ctr"/>
        <c:lblOffset val="100"/>
        <c:noMultiLvlLbl val="0"/>
      </c:catAx>
      <c:valAx>
        <c:axId val="2035408656"/>
        <c:scaling>
          <c:orientation val="minMax"/>
          <c:max val="4"/>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405296"/>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t>Avg.</a:t>
            </a:r>
            <a:r>
              <a:rPr lang="en-US" sz="1400" baseline="0"/>
              <a:t> Monthly Carbon footprint [CHP]</a:t>
            </a:r>
            <a:endParaRPr lang="en-US" sz="1400"/>
          </a:p>
        </c:rich>
      </c:tx>
      <c:overlay val="0"/>
      <c:spPr>
        <a:noFill/>
        <a:ln>
          <a:noFill/>
          <a:prstDash val="solid"/>
        </a:ln>
      </c:spPr>
    </c:title>
    <c:autoTitleDeleted val="0"/>
    <c:plotArea>
      <c:layout/>
      <c:barChart>
        <c:barDir val="col"/>
        <c:grouping val="clustered"/>
        <c:varyColors val="0"/>
        <c:ser>
          <c:idx val="0"/>
          <c:order val="0"/>
          <c:tx>
            <c:strRef>
              <c:f>CH_Cucumber!$B$28:$C$28</c:f>
              <c:strCache>
                <c:ptCount val="2"/>
                <c:pt idx="0">
                  <c:v>Average carbon footprint cucumber production (kg CO2 eq./kg crop)</c:v>
                </c:pt>
              </c:strCache>
            </c:strRef>
          </c:tx>
          <c:spPr>
            <a:solidFill>
              <a:srgbClr val="00B050"/>
            </a:solidFill>
            <a:ln>
              <a:noFill/>
              <a:prstDash val="solid"/>
            </a:ln>
          </c:spPr>
          <c:invertIfNegative val="0"/>
          <c:cat>
            <c:strRef>
              <c:f>CH_Cucumber!$D$27:$O$27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CH_Cucumber!$D$28:$O$28</c:f>
              <c:numCache>
                <c:formatCode>General</c:formatCode>
                <c:ptCount val="12"/>
                <c:pt idx="2">
                  <c:v>2.8236042634293552</c:v>
                </c:pt>
                <c:pt idx="3">
                  <c:v>1.7862137899039783</c:v>
                </c:pt>
                <c:pt idx="4">
                  <c:v>1.4647842176131687</c:v>
                </c:pt>
                <c:pt idx="5">
                  <c:v>1.0283333072930956</c:v>
                </c:pt>
                <c:pt idx="6">
                  <c:v>0.76413119830361231</c:v>
                </c:pt>
                <c:pt idx="7">
                  <c:v>0.59676140335619565</c:v>
                </c:pt>
                <c:pt idx="8">
                  <c:v>0.67231549428440784</c:v>
                </c:pt>
                <c:pt idx="9">
                  <c:v>1.0068132489300412</c:v>
                </c:pt>
                <c:pt idx="10">
                  <c:v>1.6597173235596707</c:v>
                </c:pt>
                <c:pt idx="11">
                  <c:v>2.6701504977914952</c:v>
                </c:pt>
              </c:numCache>
            </c:numRef>
          </c:val>
          <c:extLst>
            <c:ext xmlns:c16="http://schemas.microsoft.com/office/drawing/2014/chart" uri="{C3380CC4-5D6E-409C-BE32-E72D297353CC}">
              <c16:uniqueId val="{00000000-C8C0-4408-815D-13AB75D7CA61}"/>
            </c:ext>
          </c:extLst>
        </c:ser>
        <c:dLbls>
          <c:showLegendKey val="0"/>
          <c:showVal val="0"/>
          <c:showCatName val="0"/>
          <c:showSerName val="0"/>
          <c:showPercent val="0"/>
          <c:showBubbleSize val="0"/>
        </c:dLbls>
        <c:gapWidth val="219"/>
        <c:overlap val="-27"/>
        <c:axId val="94670224"/>
        <c:axId val="94666864"/>
      </c:barChart>
      <c:catAx>
        <c:axId val="94670224"/>
        <c:scaling>
          <c:orientation val="minMax"/>
        </c:scaling>
        <c:delete val="0"/>
        <c:axPos val="b"/>
        <c:title>
          <c:tx>
            <c:rich>
              <a:bodyPr/>
              <a:lstStyle/>
              <a:p>
                <a:pPr>
                  <a:defRPr b="0"/>
                </a:pPr>
                <a:r>
                  <a:rPr lang="en-US" b="0"/>
                  <a:t>Month of year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4666864"/>
        <c:crosses val="autoZero"/>
        <c:auto val="1"/>
        <c:lblAlgn val="ctr"/>
        <c:lblOffset val="100"/>
        <c:noMultiLvlLbl val="0"/>
      </c:catAx>
      <c:valAx>
        <c:axId val="94666864"/>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b="0"/>
                </a:pPr>
                <a:r>
                  <a:rPr lang="en-US" b="0"/>
                  <a:t>Carbon footprint (kg CO2 eq./kg crop)</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467022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Avg. Monthly Carbon footprint [WH]</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CH_Cucumber!$D$47:$O$47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CH_Cucumber!$D$48:$O$48</c:f>
              <c:numCache>
                <c:formatCode>General</c:formatCode>
                <c:ptCount val="12"/>
                <c:pt idx="2" formatCode="0.00E+00">
                  <c:v>0.95347546153971352</c:v>
                </c:pt>
                <c:pt idx="3" formatCode="0.00E+00">
                  <c:v>0.7065026431007605</c:v>
                </c:pt>
                <c:pt idx="4" formatCode="0.00E+00">
                  <c:v>0.60100233866076713</c:v>
                </c:pt>
                <c:pt idx="5" formatCode="0.00E+00">
                  <c:v>0.5229780045970831</c:v>
                </c:pt>
                <c:pt idx="6" formatCode="0.00E+00">
                  <c:v>0.47872373471219093</c:v>
                </c:pt>
                <c:pt idx="7" formatCode="0.00E+00">
                  <c:v>0.50494345086706838</c:v>
                </c:pt>
                <c:pt idx="8" formatCode="0.00E+00">
                  <c:v>0.55094676635649054</c:v>
                </c:pt>
                <c:pt idx="9" formatCode="0.00E+00">
                  <c:v>0.65829091276240326</c:v>
                </c:pt>
                <c:pt idx="10" formatCode="0.00E+00">
                  <c:v>0.80456138237204933</c:v>
                </c:pt>
                <c:pt idx="11" formatCode="0.00E+00">
                  <c:v>1.0340635099513285</c:v>
                </c:pt>
              </c:numCache>
            </c:numRef>
          </c:val>
          <c:extLst>
            <c:ext xmlns:c16="http://schemas.microsoft.com/office/drawing/2014/chart" uri="{C3380CC4-5D6E-409C-BE32-E72D297353CC}">
              <c16:uniqueId val="{00000000-BF73-4594-AB04-D34A29E0E678}"/>
            </c:ext>
          </c:extLst>
        </c:ser>
        <c:dLbls>
          <c:showLegendKey val="0"/>
          <c:showVal val="0"/>
          <c:showCatName val="0"/>
          <c:showSerName val="0"/>
          <c:showPercent val="0"/>
          <c:showBubbleSize val="0"/>
        </c:dLbls>
        <c:gapWidth val="219"/>
        <c:overlap val="-27"/>
        <c:axId val="2035392336"/>
        <c:axId val="2035416816"/>
      </c:barChart>
      <c:catAx>
        <c:axId val="20353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416816"/>
        <c:crosses val="autoZero"/>
        <c:auto val="1"/>
        <c:lblAlgn val="ctr"/>
        <c:lblOffset val="100"/>
        <c:noMultiLvlLbl val="0"/>
      </c:catAx>
      <c:valAx>
        <c:axId val="2035416816"/>
        <c:scaling>
          <c:orientation val="minMax"/>
          <c:max val="3"/>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2035392336"/>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latin typeface="+mn-lt"/>
              </a:rPr>
              <a:t>Carbon Footprint [CHP]</a:t>
            </a:r>
            <a:r>
              <a:rPr lang="en-US" sz="1400" baseline="0">
                <a:latin typeface="+mn-lt"/>
              </a:rPr>
              <a:t> </a:t>
            </a:r>
            <a:endParaRPr lang="en-US" sz="1400">
              <a:latin typeface="+mn-lt"/>
            </a:endParaRPr>
          </a:p>
        </c:rich>
      </c:tx>
      <c:overlay val="0"/>
      <c:spPr>
        <a:noFill/>
        <a:ln>
          <a:noFill/>
          <a:prstDash val="solid"/>
        </a:ln>
      </c:spPr>
    </c:title>
    <c:autoTitleDeleted val="0"/>
    <c:plotArea>
      <c:layout/>
      <c:barChart>
        <c:barDir val="col"/>
        <c:grouping val="clustered"/>
        <c:varyColors val="0"/>
        <c:ser>
          <c:idx val="0"/>
          <c:order val="0"/>
          <c:tx>
            <c:strRef>
              <c:f>CH_Lettuce!$B$34:$C$34</c:f>
              <c:strCache>
                <c:ptCount val="2"/>
                <c:pt idx="0">
                  <c:v>Average carbon footprint lettuce production (kg CO2 eq./kg crop)</c:v>
                </c:pt>
              </c:strCache>
            </c:strRef>
          </c:tx>
          <c:spPr>
            <a:solidFill>
              <a:srgbClr val="92D050"/>
            </a:solidFill>
            <a:ln>
              <a:noFill/>
              <a:prstDash val="solid"/>
            </a:ln>
          </c:spPr>
          <c:invertIfNegative val="0"/>
          <c:cat>
            <c:strRef>
              <c:f>CH_Lettuce!$D$33:$O$33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CH_Lettuce!$D$34:$O$34</c:f>
              <c:numCache>
                <c:formatCode>0.00E+00</c:formatCode>
                <c:ptCount val="12"/>
                <c:pt idx="1">
                  <c:v>3.4479766066186288</c:v>
                </c:pt>
                <c:pt idx="2">
                  <c:v>2.4618441651503753</c:v>
                </c:pt>
                <c:pt idx="3">
                  <c:v>2.0340178197765244</c:v>
                </c:pt>
                <c:pt idx="4">
                  <c:v>1.452230501336675</c:v>
                </c:pt>
                <c:pt idx="5">
                  <c:v>0.84334800352756889</c:v>
                </c:pt>
                <c:pt idx="6">
                  <c:v>0.56344532215956555</c:v>
                </c:pt>
                <c:pt idx="7">
                  <c:v>0.58449352260025056</c:v>
                </c:pt>
                <c:pt idx="8">
                  <c:v>0.66821688635964904</c:v>
                </c:pt>
                <c:pt idx="9">
                  <c:v>1.1461960687761068</c:v>
                </c:pt>
                <c:pt idx="10">
                  <c:v>2.2574798978613195</c:v>
                </c:pt>
                <c:pt idx="11">
                  <c:v>3.3096329199436081</c:v>
                </c:pt>
              </c:numCache>
            </c:numRef>
          </c:val>
          <c:extLst>
            <c:ext xmlns:c16="http://schemas.microsoft.com/office/drawing/2014/chart" uri="{C3380CC4-5D6E-409C-BE32-E72D297353CC}">
              <c16:uniqueId val="{00000000-34BD-441B-B213-EFB8FC8348FA}"/>
            </c:ext>
          </c:extLst>
        </c:ser>
        <c:dLbls>
          <c:showLegendKey val="0"/>
          <c:showVal val="0"/>
          <c:showCatName val="0"/>
          <c:showSerName val="0"/>
          <c:showPercent val="0"/>
          <c:showBubbleSize val="0"/>
        </c:dLbls>
        <c:gapWidth val="219"/>
        <c:overlap val="-27"/>
        <c:axId val="1157860767"/>
        <c:axId val="1157872287"/>
      </c:barChart>
      <c:catAx>
        <c:axId val="115786076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72287"/>
        <c:crosses val="autoZero"/>
        <c:auto val="1"/>
        <c:lblAlgn val="ctr"/>
        <c:lblOffset val="100"/>
        <c:noMultiLvlLbl val="0"/>
      </c:catAx>
      <c:valAx>
        <c:axId val="115787228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a:t>
                </a:r>
                <a:r>
                  <a:rPr lang="en-US" baseline="-25000"/>
                  <a:t>2</a:t>
                </a:r>
                <a:r>
                  <a:rPr lang="en-US"/>
                  <a:t> eq./kg crop)</a:t>
                </a:r>
              </a:p>
            </c:rich>
          </c:tx>
          <c:layout>
            <c:manualLayout>
              <c:xMode val="edge"/>
              <c:yMode val="edge"/>
              <c:x val="5.5555555555555558E-3"/>
              <c:y val="0.1212037037037037"/>
            </c:manualLayout>
          </c:layout>
          <c:overlay val="0"/>
          <c:spPr>
            <a:noFill/>
            <a:ln>
              <a:noFill/>
              <a:prstDash val="solid"/>
            </a:ln>
          </c:spPr>
        </c:title>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60767"/>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Carbon Footprint [WH]</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CH_Lettuce!$D$53:$O$53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CH_Lettuce!$D$54:$O$54</c:f>
              <c:numCache>
                <c:formatCode>0.00E+00</c:formatCode>
                <c:ptCount val="12"/>
                <c:pt idx="1">
                  <c:v>0.96195233972299743</c:v>
                </c:pt>
                <c:pt idx="2">
                  <c:v>0.77667363236621545</c:v>
                </c:pt>
                <c:pt idx="3">
                  <c:v>0.644337068037247</c:v>
                </c:pt>
                <c:pt idx="4">
                  <c:v>0.58698351835686813</c:v>
                </c:pt>
                <c:pt idx="5">
                  <c:v>0.56756356080772519</c:v>
                </c:pt>
                <c:pt idx="6">
                  <c:v>0.55520748007917786</c:v>
                </c:pt>
                <c:pt idx="7">
                  <c:v>0.57196945924075981</c:v>
                </c:pt>
                <c:pt idx="8">
                  <c:v>0.62049146361638685</c:v>
                </c:pt>
                <c:pt idx="9">
                  <c:v>0.72195239939822753</c:v>
                </c:pt>
                <c:pt idx="10">
                  <c:v>0.89223632529167696</c:v>
                </c:pt>
                <c:pt idx="11">
                  <c:v>1.0492863038061733</c:v>
                </c:pt>
              </c:numCache>
            </c:numRef>
          </c:val>
          <c:extLst>
            <c:ext xmlns:c16="http://schemas.microsoft.com/office/drawing/2014/chart" uri="{C3380CC4-5D6E-409C-BE32-E72D297353CC}">
              <c16:uniqueId val="{00000000-0F6C-438C-A60E-6031AAB94AE4}"/>
            </c:ext>
          </c:extLst>
        </c:ser>
        <c:dLbls>
          <c:showLegendKey val="0"/>
          <c:showVal val="0"/>
          <c:showCatName val="0"/>
          <c:showSerName val="0"/>
          <c:showPercent val="0"/>
          <c:showBubbleSize val="0"/>
        </c:dLbls>
        <c:gapWidth val="219"/>
        <c:overlap val="-27"/>
        <c:axId val="1937836032"/>
        <c:axId val="1937633552"/>
      </c:barChart>
      <c:catAx>
        <c:axId val="193783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937633552"/>
        <c:crosses val="autoZero"/>
        <c:auto val="1"/>
        <c:lblAlgn val="ctr"/>
        <c:lblOffset val="100"/>
        <c:noMultiLvlLbl val="0"/>
      </c:catAx>
      <c:valAx>
        <c:axId val="1937633552"/>
        <c:scaling>
          <c:orientation val="minMax"/>
          <c:max val="4"/>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937836032"/>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latin typeface="+mn-lt"/>
              </a:rPr>
              <a:t>Carbon Footprint [CHP]</a:t>
            </a:r>
          </a:p>
        </c:rich>
      </c:tx>
      <c:overlay val="0"/>
      <c:spPr>
        <a:noFill/>
        <a:ln>
          <a:noFill/>
          <a:prstDash val="solid"/>
        </a:ln>
      </c:spPr>
    </c:title>
    <c:autoTitleDeleted val="0"/>
    <c:plotArea>
      <c:layout/>
      <c:barChart>
        <c:barDir val="col"/>
        <c:grouping val="clustered"/>
        <c:varyColors val="0"/>
        <c:ser>
          <c:idx val="0"/>
          <c:order val="0"/>
          <c:tx>
            <c:strRef>
              <c:f>'CH_Bell pepper'!$B$13</c:f>
              <c:strCache>
                <c:ptCount val="1"/>
                <c:pt idx="0">
                  <c:v>Monthly Carbon footprint </c:v>
                </c:pt>
              </c:strCache>
            </c:strRef>
          </c:tx>
          <c:spPr>
            <a:solidFill>
              <a:srgbClr val="FFFF00"/>
            </a:solidFill>
            <a:ln>
              <a:noFill/>
              <a:prstDash val="solid"/>
            </a:ln>
          </c:spPr>
          <c:invertIfNegative val="0"/>
          <c:cat>
            <c:strRef>
              <c:f>'CH_Bell pepper'!$D$12:$O$12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'CH_Bell pepper'!$D$13:$O$13</c:f>
              <c:numCache>
                <c:formatCode>0.00E+00</c:formatCode>
                <c:ptCount val="12"/>
                <c:pt idx="2">
                  <c:v>7.0326389224000003</c:v>
                </c:pt>
                <c:pt idx="3">
                  <c:v>3.4539088120333332</c:v>
                </c:pt>
                <c:pt idx="4">
                  <c:v>2.5063960777999998</c:v>
                </c:pt>
                <c:pt idx="5">
                  <c:v>1.8188913766666666</c:v>
                </c:pt>
                <c:pt idx="6">
                  <c:v>1.3501359684333332</c:v>
                </c:pt>
                <c:pt idx="7">
                  <c:v>1.1159676436666666</c:v>
                </c:pt>
                <c:pt idx="8">
                  <c:v>1.2509421895999999</c:v>
                </c:pt>
                <c:pt idx="9">
                  <c:v>2.0817641532666666</c:v>
                </c:pt>
                <c:pt idx="10">
                  <c:v>4.9552260460333333</c:v>
                </c:pt>
              </c:numCache>
            </c:numRef>
          </c:val>
          <c:extLst>
            <c:ext xmlns:c16="http://schemas.microsoft.com/office/drawing/2014/chart" uri="{C3380CC4-5D6E-409C-BE32-E72D297353CC}">
              <c16:uniqueId val="{00000000-80B5-4ACD-AFD3-B45EEC696498}"/>
            </c:ext>
          </c:extLst>
        </c:ser>
        <c:dLbls>
          <c:showLegendKey val="0"/>
          <c:showVal val="0"/>
          <c:showCatName val="0"/>
          <c:showSerName val="0"/>
          <c:showPercent val="0"/>
          <c:showBubbleSize val="0"/>
        </c:dLbls>
        <c:gapWidth val="219"/>
        <c:overlap val="-27"/>
        <c:axId val="1259761200"/>
        <c:axId val="1259765040"/>
      </c:barChart>
      <c:catAx>
        <c:axId val="12597612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59765040"/>
        <c:crosses val="autoZero"/>
        <c:auto val="1"/>
        <c:lblAlgn val="ctr"/>
        <c:lblOffset val="100"/>
        <c:noMultiLvlLbl val="0"/>
      </c:catAx>
      <c:valAx>
        <c:axId val="12597650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1.9444444444444441E-2"/>
              <c:y val="0.1300462962962963"/>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59761200"/>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Carbon Footprint [WH]</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'CH_Bell pepper'!$D$32:$O$32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'CH_Bell pepper'!$D$33:$O$33</c:f>
              <c:numCache>
                <c:formatCode>0.00E+00</c:formatCode>
                <c:ptCount val="12"/>
                <c:pt idx="2">
                  <c:v>1.8686106012072108</c:v>
                </c:pt>
                <c:pt idx="3">
                  <c:v>1.2129804827840747</c:v>
                </c:pt>
                <c:pt idx="4">
                  <c:v>1.0068861129255466</c:v>
                </c:pt>
                <c:pt idx="5">
                  <c:v>0.91503453486058661</c:v>
                </c:pt>
                <c:pt idx="6">
                  <c:v>0.89561246015636264</c:v>
                </c:pt>
                <c:pt idx="7">
                  <c:v>0.88814140897777061</c:v>
                </c:pt>
                <c:pt idx="8">
                  <c:v>0.94264962092074667</c:v>
                </c:pt>
                <c:pt idx="9">
                  <c:v>1.1517283807535148</c:v>
                </c:pt>
                <c:pt idx="10">
                  <c:v>1.7237197159528428</c:v>
                </c:pt>
              </c:numCache>
            </c:numRef>
          </c:val>
          <c:extLst>
            <c:ext xmlns:c16="http://schemas.microsoft.com/office/drawing/2014/chart" uri="{C3380CC4-5D6E-409C-BE32-E72D297353CC}">
              <c16:uniqueId val="{00000000-3482-4F53-B662-FF0903D95813}"/>
            </c:ext>
          </c:extLst>
        </c:ser>
        <c:dLbls>
          <c:showLegendKey val="0"/>
          <c:showVal val="0"/>
          <c:showCatName val="0"/>
          <c:showSerName val="0"/>
          <c:showPercent val="0"/>
          <c:showBubbleSize val="0"/>
        </c:dLbls>
        <c:gapWidth val="219"/>
        <c:overlap val="-27"/>
        <c:axId val="50574784"/>
        <c:axId val="50581024"/>
      </c:barChart>
      <c:catAx>
        <c:axId val="505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50581024"/>
        <c:crosses val="autoZero"/>
        <c:auto val="1"/>
        <c:lblAlgn val="ctr"/>
        <c:lblOffset val="100"/>
        <c:noMultiLvlLbl val="0"/>
      </c:catAx>
      <c:valAx>
        <c:axId val="50581024"/>
        <c:scaling>
          <c:orientation val="minMax"/>
          <c:max val="8"/>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5057478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latin typeface="+mn-lt"/>
              </a:rPr>
              <a:t>Carbon Footprint [CHP]</a:t>
            </a:r>
          </a:p>
        </c:rich>
      </c:tx>
      <c:overlay val="0"/>
      <c:spPr>
        <a:noFill/>
        <a:ln>
          <a:noFill/>
          <a:prstDash val="solid"/>
        </a:ln>
      </c:spPr>
    </c:title>
    <c:autoTitleDeleted val="0"/>
    <c:plotArea>
      <c:layout/>
      <c:barChart>
        <c:barDir val="col"/>
        <c:grouping val="clustered"/>
        <c:varyColors val="0"/>
        <c:ser>
          <c:idx val="0"/>
          <c:order val="0"/>
          <c:tx>
            <c:strRef>
              <c:f>CH_Strawberry!$C$13</c:f>
              <c:strCache>
                <c:ptCount val="1"/>
                <c:pt idx="0">
                  <c:v>Monthly Carbon footprint </c:v>
                </c:pt>
              </c:strCache>
            </c:strRef>
          </c:tx>
          <c:spPr>
            <a:solidFill>
              <a:srgbClr val="FF33CC"/>
            </a:solidFill>
            <a:ln>
              <a:noFill/>
              <a:prstDash val="solid"/>
            </a:ln>
          </c:spPr>
          <c:invertIfNegative val="0"/>
          <c:cat>
            <c:strRef>
              <c:f>CH_Strawberry!$D$12:$O$12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CH_Strawberry!$D$13:$O$13</c:f>
              <c:numCache>
                <c:formatCode>0.00E+00</c:formatCode>
                <c:ptCount val="12"/>
                <c:pt idx="3">
                  <c:v>6.0349902419639658</c:v>
                </c:pt>
                <c:pt idx="4">
                  <c:v>2.6176659693153157</c:v>
                </c:pt>
                <c:pt idx="5">
                  <c:v>1.7552887802882886</c:v>
                </c:pt>
                <c:pt idx="6">
                  <c:v>1.3123636371531533</c:v>
                </c:pt>
                <c:pt idx="7">
                  <c:v>1.1097872312612613</c:v>
                </c:pt>
                <c:pt idx="8">
                  <c:v>1.073219026936937</c:v>
                </c:pt>
                <c:pt idx="9">
                  <c:v>1.2864319063963965</c:v>
                </c:pt>
                <c:pt idx="10">
                  <c:v>2.2871888567207206</c:v>
                </c:pt>
                <c:pt idx="11">
                  <c:v>5.0537771123423427</c:v>
                </c:pt>
              </c:numCache>
            </c:numRef>
          </c:val>
          <c:extLst>
            <c:ext xmlns:c16="http://schemas.microsoft.com/office/drawing/2014/chart" uri="{C3380CC4-5D6E-409C-BE32-E72D297353CC}">
              <c16:uniqueId val="{00000000-9182-4056-B81E-40666AC33834}"/>
            </c:ext>
          </c:extLst>
        </c:ser>
        <c:dLbls>
          <c:showLegendKey val="0"/>
          <c:showVal val="0"/>
          <c:showCatName val="0"/>
          <c:showSerName val="0"/>
          <c:showPercent val="0"/>
          <c:showBubbleSize val="0"/>
        </c:dLbls>
        <c:gapWidth val="219"/>
        <c:overlap val="-27"/>
        <c:axId val="1259758800"/>
        <c:axId val="1259759280"/>
      </c:barChart>
      <c:catAx>
        <c:axId val="12597588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59759280"/>
        <c:crosses val="autoZero"/>
        <c:auto val="1"/>
        <c:lblAlgn val="ctr"/>
        <c:lblOffset val="100"/>
        <c:noMultiLvlLbl val="0"/>
      </c:catAx>
      <c:valAx>
        <c:axId val="12597592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59758800"/>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Carbon Footprint [WH]</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CH_Strawberry!$D$32:$O$32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CH_Strawberry!$D$33:$O$33</c:f>
              <c:numCache>
                <c:formatCode>0.00E+00</c:formatCode>
                <c:ptCount val="12"/>
                <c:pt idx="3">
                  <c:v>2.1394135348114975</c:v>
                </c:pt>
                <c:pt idx="4">
                  <c:v>1.3386189274501825</c:v>
                </c:pt>
                <c:pt idx="5">
                  <c:v>1.1065461903642755</c:v>
                </c:pt>
                <c:pt idx="6">
                  <c:v>1.0339076425697327</c:v>
                </c:pt>
                <c:pt idx="7">
                  <c:v>1.0325545256508137</c:v>
                </c:pt>
                <c:pt idx="8">
                  <c:v>1.0588624940294862</c:v>
                </c:pt>
                <c:pt idx="9">
                  <c:v>1.1762438141647855</c:v>
                </c:pt>
                <c:pt idx="10">
                  <c:v>1.5209743687247683</c:v>
                </c:pt>
                <c:pt idx="11">
                  <c:v>2.3622312313819278</c:v>
                </c:pt>
              </c:numCache>
            </c:numRef>
          </c:val>
          <c:extLst>
            <c:ext xmlns:c16="http://schemas.microsoft.com/office/drawing/2014/chart" uri="{C3380CC4-5D6E-409C-BE32-E72D297353CC}">
              <c16:uniqueId val="{00000000-3F6A-4A63-8143-7D87700E65ED}"/>
            </c:ext>
          </c:extLst>
        </c:ser>
        <c:dLbls>
          <c:showLegendKey val="0"/>
          <c:showVal val="0"/>
          <c:showCatName val="0"/>
          <c:showSerName val="0"/>
          <c:showPercent val="0"/>
          <c:showBubbleSize val="0"/>
        </c:dLbls>
        <c:gapWidth val="219"/>
        <c:overlap val="-27"/>
        <c:axId val="50572864"/>
        <c:axId val="50573824"/>
      </c:barChart>
      <c:catAx>
        <c:axId val="505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50573824"/>
        <c:crosses val="autoZero"/>
        <c:auto val="1"/>
        <c:lblAlgn val="ctr"/>
        <c:lblOffset val="100"/>
        <c:noMultiLvlLbl val="0"/>
      </c:catAx>
      <c:valAx>
        <c:axId val="50573824"/>
        <c:scaling>
          <c:orientation val="minMax"/>
          <c:max val="9"/>
        </c:scaling>
        <c:delete val="0"/>
        <c:axPos val="l"/>
        <c:majorGridlines>
          <c:spPr>
            <a:ln w="9525" cap="flat" cmpd="sng" algn="ctr">
              <a:solidFill>
                <a:schemeClr val="tx1">
                  <a:lumMod val="15000"/>
                  <a:lumOff val="85000"/>
                </a:schemeClr>
              </a:solidFill>
              <a:prstDash val="solid"/>
              <a:round/>
            </a:ln>
          </c:spPr>
        </c:majorGridlines>
        <c:numFmt formatCode="#,##0.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5057286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sz="1400" b="0" i="0" strike="noStrike" kern="1200" spc="0" baseline="0">
                <a:solidFill>
                  <a:sysClr val="windowText" lastClr="000000">
                    <a:lumOff val="35000"/>
                    <a:lumMod val="65000"/>
                  </a:sysClr>
                </a:solidFill>
              </a:rPr>
              <a:t>Monthly Carbon Footprint  (CP2) </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NL_Tomato!$D$23:$O$23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NL_Tomato!$D$25:$O$25</c:f>
              <c:numCache>
                <c:formatCode>0.00E+00</c:formatCode>
                <c:ptCount val="12"/>
                <c:pt idx="0">
                  <c:v>3.0371172865833334</c:v>
                </c:pt>
                <c:pt idx="1">
                  <c:v>2.8979116369666666</c:v>
                </c:pt>
                <c:pt idx="2">
                  <c:v>2.5183894310000001</c:v>
                </c:pt>
                <c:pt idx="3">
                  <c:v>1.9770550911333331</c:v>
                </c:pt>
                <c:pt idx="4">
                  <c:v>1.4762960699999998</c:v>
                </c:pt>
                <c:pt idx="5">
                  <c:v>1.0431920099499998</c:v>
                </c:pt>
                <c:pt idx="6">
                  <c:v>0.8183160586999999</c:v>
                </c:pt>
                <c:pt idx="7">
                  <c:v>0.86060641036666663</c:v>
                </c:pt>
                <c:pt idx="11">
                  <c:v>3.4789267925499994</c:v>
                </c:pt>
              </c:numCache>
            </c:numRef>
          </c:val>
          <c:extLst>
            <c:ext xmlns:c16="http://schemas.microsoft.com/office/drawing/2014/chart" uri="{C3380CC4-5D6E-409C-BE32-E72D297353CC}">
              <c16:uniqueId val="{00000000-4771-428C-8744-E83D0451DDDB}"/>
            </c:ext>
          </c:extLst>
        </c:ser>
        <c:dLbls>
          <c:showLegendKey val="0"/>
          <c:showVal val="0"/>
          <c:showCatName val="0"/>
          <c:showSerName val="0"/>
          <c:showPercent val="0"/>
          <c:showBubbleSize val="0"/>
        </c:dLbls>
        <c:gapWidth val="219"/>
        <c:overlap val="-27"/>
        <c:axId val="1263425520"/>
        <c:axId val="1179475072"/>
      </c:barChart>
      <c:catAx>
        <c:axId val="126342552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79475072"/>
        <c:crosses val="autoZero"/>
        <c:auto val="1"/>
        <c:lblAlgn val="ctr"/>
        <c:lblOffset val="100"/>
        <c:noMultiLvlLbl val="0"/>
      </c:catAx>
      <c:valAx>
        <c:axId val="1179475072"/>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1.388888888888889E-2"/>
              <c:y val="0.1300462962962963"/>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63425520"/>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t>Avg. Monthly Carbon Footprint</a:t>
            </a:r>
          </a:p>
        </c:rich>
      </c:tx>
      <c:overlay val="0"/>
      <c:spPr>
        <a:noFill/>
        <a:ln>
          <a:noFill/>
          <a:prstDash val="solid"/>
        </a:ln>
      </c:spPr>
    </c:title>
    <c:autoTitleDeleted val="0"/>
    <c:plotArea>
      <c:layout/>
      <c:barChart>
        <c:barDir val="col"/>
        <c:grouping val="clustered"/>
        <c:varyColors val="0"/>
        <c:ser>
          <c:idx val="0"/>
          <c:order val="0"/>
          <c:tx>
            <c:strRef>
              <c:f>NL_Cucumber!$B$28:$C$28</c:f>
              <c:strCache>
                <c:ptCount val="2"/>
                <c:pt idx="0">
                  <c:v>Average carbon footprint cucumber production (kg CO2 eq./kg crop)</c:v>
                </c:pt>
              </c:strCache>
            </c:strRef>
          </c:tx>
          <c:spPr>
            <a:solidFill>
              <a:srgbClr val="00B050"/>
            </a:solidFill>
            <a:ln>
              <a:noFill/>
              <a:prstDash val="solid"/>
            </a:ln>
          </c:spPr>
          <c:invertIfNegative val="0"/>
          <c:cat>
            <c:strRef>
              <c:f>NL_Cucumber!$D$27:$O$27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NL_Cucumber!$D$28:$O$28</c:f>
              <c:numCache>
                <c:formatCode>General</c:formatCode>
                <c:ptCount val="12"/>
                <c:pt idx="2">
                  <c:v>4.2992512386282584</c:v>
                </c:pt>
                <c:pt idx="3">
                  <c:v>2.8127797560493826</c:v>
                </c:pt>
                <c:pt idx="4">
                  <c:v>1.9383223102834934</c:v>
                </c:pt>
                <c:pt idx="5">
                  <c:v>1.2564714855189758</c:v>
                </c:pt>
                <c:pt idx="6">
                  <c:v>0.96843529502972103</c:v>
                </c:pt>
                <c:pt idx="7">
                  <c:v>0.83482395598536807</c:v>
                </c:pt>
                <c:pt idx="8">
                  <c:v>1.104969412944673</c:v>
                </c:pt>
                <c:pt idx="9">
                  <c:v>1.663098550740741</c:v>
                </c:pt>
                <c:pt idx="10">
                  <c:v>2.5945976108093278</c:v>
                </c:pt>
                <c:pt idx="11">
                  <c:v>4.2695306950205767</c:v>
                </c:pt>
              </c:numCache>
            </c:numRef>
          </c:val>
          <c:extLst>
            <c:ext xmlns:c16="http://schemas.microsoft.com/office/drawing/2014/chart" uri="{C3380CC4-5D6E-409C-BE32-E72D297353CC}">
              <c16:uniqueId val="{00000000-E929-450E-AB64-85996679F80C}"/>
            </c:ext>
          </c:extLst>
        </c:ser>
        <c:dLbls>
          <c:showLegendKey val="0"/>
          <c:showVal val="0"/>
          <c:showCatName val="0"/>
          <c:showSerName val="0"/>
          <c:showPercent val="0"/>
          <c:showBubbleSize val="0"/>
        </c:dLbls>
        <c:gapWidth val="219"/>
        <c:overlap val="-27"/>
        <c:axId val="94670224"/>
        <c:axId val="94666864"/>
      </c:barChart>
      <c:catAx>
        <c:axId val="94670224"/>
        <c:scaling>
          <c:orientation val="minMax"/>
        </c:scaling>
        <c:delete val="0"/>
        <c:axPos val="b"/>
        <c:title>
          <c:tx>
            <c:rich>
              <a:bodyPr/>
              <a:lstStyle/>
              <a:p>
                <a:pPr>
                  <a:defRPr b="0"/>
                </a:pPr>
                <a:r>
                  <a:rPr lang="en-US" b="0"/>
                  <a:t>Month of year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4666864"/>
        <c:crosses val="autoZero"/>
        <c:auto val="1"/>
        <c:lblAlgn val="ctr"/>
        <c:lblOffset val="100"/>
        <c:noMultiLvlLbl val="0"/>
      </c:catAx>
      <c:valAx>
        <c:axId val="94666864"/>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b="0"/>
                </a:pPr>
                <a:r>
                  <a:rPr lang="en-US" b="0"/>
                  <a:t>Carbon footprint (kg CO2 eq./kg crop)</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9467022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sz="1400"/>
              <a:t>Avg. Monthly Carbon Footprint</a:t>
            </a:r>
          </a:p>
        </c:rich>
      </c:tx>
      <c:overlay val="0"/>
      <c:spPr>
        <a:noFill/>
        <a:ln>
          <a:noFill/>
          <a:prstDash val="solid"/>
        </a:ln>
      </c:spPr>
    </c:title>
    <c:autoTitleDeleted val="0"/>
    <c:plotArea>
      <c:layout/>
      <c:barChart>
        <c:barDir val="col"/>
        <c:grouping val="clustered"/>
        <c:varyColors val="0"/>
        <c:ser>
          <c:idx val="0"/>
          <c:order val="0"/>
          <c:tx>
            <c:strRef>
              <c:f>NL_Lettuce!$B$34:$C$34</c:f>
              <c:strCache>
                <c:ptCount val="2"/>
                <c:pt idx="0">
                  <c:v>Average carbon footprint lettuce production (kg CO2 eq./kg crop)</c:v>
                </c:pt>
              </c:strCache>
            </c:strRef>
          </c:tx>
          <c:spPr>
            <a:solidFill>
              <a:srgbClr val="92D050"/>
            </a:solidFill>
            <a:ln>
              <a:noFill/>
              <a:prstDash val="solid"/>
            </a:ln>
          </c:spPr>
          <c:invertIfNegative val="0"/>
          <c:cat>
            <c:strRef>
              <c:f>NL_Lettuce!$D$33:$O$33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NL_Lettuce!$D$34:$O$34</c:f>
              <c:numCache>
                <c:formatCode>0.00E+00</c:formatCode>
                <c:ptCount val="12"/>
                <c:pt idx="0">
                  <c:v>0</c:v>
                </c:pt>
                <c:pt idx="1">
                  <c:v>4.3384506958855473</c:v>
                </c:pt>
                <c:pt idx="2">
                  <c:v>3.2481908800605686</c:v>
                </c:pt>
                <c:pt idx="3">
                  <c:v>2.1297186850522136</c:v>
                </c:pt>
                <c:pt idx="4">
                  <c:v>1.3623735788178779</c:v>
                </c:pt>
                <c:pt idx="5">
                  <c:v>0.84163003713032569</c:v>
                </c:pt>
                <c:pt idx="6">
                  <c:v>0.67540094259607342</c:v>
                </c:pt>
                <c:pt idx="7">
                  <c:v>0.73906548873851285</c:v>
                </c:pt>
                <c:pt idx="8">
                  <c:v>0.94657373049289872</c:v>
                </c:pt>
                <c:pt idx="9">
                  <c:v>1.6504700210776939</c:v>
                </c:pt>
                <c:pt idx="10">
                  <c:v>2.7141083315476191</c:v>
                </c:pt>
                <c:pt idx="11">
                  <c:v>3.9420560966165414</c:v>
                </c:pt>
              </c:numCache>
            </c:numRef>
          </c:val>
          <c:extLst>
            <c:ext xmlns:c16="http://schemas.microsoft.com/office/drawing/2014/chart" uri="{C3380CC4-5D6E-409C-BE32-E72D297353CC}">
              <c16:uniqueId val="{00000000-8D29-4461-B2B1-C3268BA1BC96}"/>
            </c:ext>
          </c:extLst>
        </c:ser>
        <c:dLbls>
          <c:showLegendKey val="0"/>
          <c:showVal val="0"/>
          <c:showCatName val="0"/>
          <c:showSerName val="0"/>
          <c:showPercent val="0"/>
          <c:showBubbleSize val="0"/>
        </c:dLbls>
        <c:gapWidth val="219"/>
        <c:overlap val="-27"/>
        <c:axId val="1157860767"/>
        <c:axId val="1157872287"/>
      </c:barChart>
      <c:catAx>
        <c:axId val="115786076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72287"/>
        <c:crosses val="autoZero"/>
        <c:auto val="1"/>
        <c:lblAlgn val="ctr"/>
        <c:lblOffset val="100"/>
        <c:noMultiLvlLbl val="0"/>
      </c:catAx>
      <c:valAx>
        <c:axId val="115787228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a:t>
                </a:r>
                <a:r>
                  <a:rPr lang="en-US" baseline="-25000"/>
                  <a:t>2</a:t>
                </a:r>
                <a:r>
                  <a:rPr lang="en-US"/>
                  <a:t> eq./kg crop)</a:t>
                </a:r>
              </a:p>
            </c:rich>
          </c:tx>
          <c:layout>
            <c:manualLayout>
              <c:xMode val="edge"/>
              <c:yMode val="edge"/>
              <c:x val="5.5555555555555558E-3"/>
              <c:y val="0.121203703703703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57860767"/>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tx>
            <c:strRef>
              <c:f>'NL_Bell pepper'!$C$13</c:f>
              <c:strCache>
                <c:ptCount val="1"/>
                <c:pt idx="0">
                  <c:v>Monthly Carbon footprint </c:v>
                </c:pt>
              </c:strCache>
            </c:strRef>
          </c:tx>
          <c:spPr>
            <a:solidFill>
              <a:srgbClr val="FFFF00"/>
            </a:solidFill>
            <a:ln>
              <a:noFill/>
              <a:prstDash val="solid"/>
            </a:ln>
          </c:spPr>
          <c:invertIfNegative val="0"/>
          <c:cat>
            <c:strRef>
              <c:f>'NL_Bell pepper'!$D$12:$O$12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'NL_Bell pepper'!$D$13:$O$13</c:f>
              <c:numCache>
                <c:formatCode>0.00E+00</c:formatCode>
                <c:ptCount val="12"/>
                <c:pt idx="2">
                  <c:v>6.0264863292666657</c:v>
                </c:pt>
                <c:pt idx="3">
                  <c:v>3.2966734572999998</c:v>
                </c:pt>
                <c:pt idx="4">
                  <c:v>2.2182688109333331</c:v>
                </c:pt>
                <c:pt idx="5">
                  <c:v>1.6260390775333333</c:v>
                </c:pt>
                <c:pt idx="6">
                  <c:v>1.1910692020333333</c:v>
                </c:pt>
                <c:pt idx="7">
                  <c:v>0.97446086086666661</c:v>
                </c:pt>
                <c:pt idx="8">
                  <c:v>1.0433134602666667</c:v>
                </c:pt>
                <c:pt idx="9">
                  <c:v>1.5744780006333334</c:v>
                </c:pt>
                <c:pt idx="10">
                  <c:v>3.5540053380333334</c:v>
                </c:pt>
              </c:numCache>
            </c:numRef>
          </c:val>
          <c:extLst>
            <c:ext xmlns:c16="http://schemas.microsoft.com/office/drawing/2014/chart" uri="{C3380CC4-5D6E-409C-BE32-E72D297353CC}">
              <c16:uniqueId val="{00000000-E5CA-4B5D-861B-1759E69542D3}"/>
            </c:ext>
          </c:extLst>
        </c:ser>
        <c:dLbls>
          <c:showLegendKey val="0"/>
          <c:showVal val="0"/>
          <c:showCatName val="0"/>
          <c:showSerName val="0"/>
          <c:showPercent val="0"/>
          <c:showBubbleSize val="0"/>
        </c:dLbls>
        <c:gapWidth val="219"/>
        <c:overlap val="-27"/>
        <c:axId val="1179473152"/>
        <c:axId val="1179460192"/>
      </c:barChart>
      <c:catAx>
        <c:axId val="1179473152"/>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79460192"/>
        <c:crosses val="autoZero"/>
        <c:auto val="1"/>
        <c:lblAlgn val="ctr"/>
        <c:lblOffset val="100"/>
        <c:noMultiLvlLbl val="0"/>
      </c:catAx>
      <c:valAx>
        <c:axId val="1179460192"/>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1.388888888888889E-2"/>
              <c:y val="0.125416666666666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179473152"/>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a:t>
            </a:r>
          </a:p>
        </c:rich>
      </c:tx>
      <c:overlay val="0"/>
      <c:spPr>
        <a:noFill/>
        <a:ln>
          <a:noFill/>
          <a:prstDash val="solid"/>
        </a:ln>
      </c:spPr>
    </c:title>
    <c:autoTitleDeleted val="0"/>
    <c:plotArea>
      <c:layout/>
      <c:barChart>
        <c:barDir val="col"/>
        <c:grouping val="clustered"/>
        <c:varyColors val="0"/>
        <c:ser>
          <c:idx val="0"/>
          <c:order val="0"/>
          <c:tx>
            <c:strRef>
              <c:f>NL_Strawberry!$C$13</c:f>
              <c:strCache>
                <c:ptCount val="1"/>
                <c:pt idx="0">
                  <c:v>Monthly Carbon footprint </c:v>
                </c:pt>
              </c:strCache>
            </c:strRef>
          </c:tx>
          <c:spPr>
            <a:solidFill>
              <a:srgbClr val="FF33CC"/>
            </a:solidFill>
            <a:ln>
              <a:noFill/>
              <a:prstDash val="solid"/>
            </a:ln>
          </c:spPr>
          <c:invertIfNegative val="0"/>
          <c:cat>
            <c:strRef>
              <c:f>NL_Strawberry!$D$12:$O$12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NL_Strawberry!$D$13:$O$13</c:f>
              <c:numCache>
                <c:formatCode>0.00E+00</c:formatCode>
                <c:ptCount val="12"/>
                <c:pt idx="3">
                  <c:v>8.2860681368245608</c:v>
                </c:pt>
                <c:pt idx="4">
                  <c:v>3.8170860221929828</c:v>
                </c:pt>
                <c:pt idx="5">
                  <c:v>1.9593050423508771</c:v>
                </c:pt>
                <c:pt idx="6">
                  <c:v>1.3770052867719298</c:v>
                </c:pt>
                <c:pt idx="7">
                  <c:v>1.2461504332456139</c:v>
                </c:pt>
                <c:pt idx="8">
                  <c:v>1.3242355889298245</c:v>
                </c:pt>
                <c:pt idx="9">
                  <c:v>2.0825087121403509</c:v>
                </c:pt>
                <c:pt idx="10">
                  <c:v>3.7760659215087715</c:v>
                </c:pt>
                <c:pt idx="11">
                  <c:v>8.6507025710877201</c:v>
                </c:pt>
              </c:numCache>
            </c:numRef>
          </c:val>
          <c:extLst>
            <c:ext xmlns:c16="http://schemas.microsoft.com/office/drawing/2014/chart" uri="{C3380CC4-5D6E-409C-BE32-E72D297353CC}">
              <c16:uniqueId val="{00000000-96B4-419B-9F29-01B3CF176344}"/>
            </c:ext>
          </c:extLst>
        </c:ser>
        <c:dLbls>
          <c:showLegendKey val="0"/>
          <c:showVal val="0"/>
          <c:showCatName val="0"/>
          <c:showSerName val="0"/>
          <c:showPercent val="0"/>
          <c:showBubbleSize val="0"/>
        </c:dLbls>
        <c:gapWidth val="219"/>
        <c:overlap val="-27"/>
        <c:axId val="1263433680"/>
        <c:axId val="1263434160"/>
      </c:barChart>
      <c:catAx>
        <c:axId val="126343368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63434160"/>
        <c:crosses val="autoZero"/>
        <c:auto val="1"/>
        <c:lblAlgn val="ctr"/>
        <c:lblOffset val="100"/>
        <c:noMultiLvlLbl val="0"/>
      </c:catAx>
      <c:valAx>
        <c:axId val="126343416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layout>
            <c:manualLayout>
              <c:xMode val="edge"/>
              <c:yMode val="edge"/>
              <c:x val="1.388888888888889E-2"/>
              <c:y val="0.125416666666666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63433680"/>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Avg. Monthly Carbon Footprint </a:t>
            </a:r>
          </a:p>
        </c:rich>
      </c:tx>
      <c:overlay val="0"/>
      <c:spPr>
        <a:noFill/>
        <a:ln>
          <a:noFill/>
          <a:prstDash val="solid"/>
        </a:ln>
      </c:spPr>
    </c:title>
    <c:autoTitleDeleted val="0"/>
    <c:plotArea>
      <c:layout/>
      <c:barChart>
        <c:barDir val="col"/>
        <c:grouping val="clustered"/>
        <c:varyColors val="0"/>
        <c:ser>
          <c:idx val="0"/>
          <c:order val="0"/>
          <c:tx>
            <c:strRef>
              <c:f>BE_Tomato!$C$26</c:f>
              <c:strCache>
                <c:ptCount val="1"/>
                <c:pt idx="0">
                  <c:v>Monthly Carbon footprint </c:v>
                </c:pt>
              </c:strCache>
            </c:strRef>
          </c:tx>
          <c:spPr>
            <a:solidFill>
              <a:schemeClr val="accent2"/>
            </a:solidFill>
            <a:ln>
              <a:noFill/>
              <a:prstDash val="solid"/>
            </a:ln>
          </c:spPr>
          <c:invertIfNegative val="0"/>
          <c:cat>
            <c:strRef>
              <c:f>BE_Tomato!$D$23:$O$23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BE_Tomato!$D$26:$O$26</c:f>
              <c:numCache>
                <c:formatCode>0.00E+00</c:formatCode>
                <c:ptCount val="12"/>
                <c:pt idx="0">
                  <c:v>2.2828155303833335</c:v>
                </c:pt>
                <c:pt idx="1">
                  <c:v>2.1615295894666668</c:v>
                </c:pt>
                <c:pt idx="2">
                  <c:v>2.6833845758333332</c:v>
                </c:pt>
                <c:pt idx="3">
                  <c:v>1.7347752129499998</c:v>
                </c:pt>
                <c:pt idx="4">
                  <c:v>1.31591332025</c:v>
                </c:pt>
                <c:pt idx="5">
                  <c:v>1.0052231556166666</c:v>
                </c:pt>
                <c:pt idx="6">
                  <c:v>0.78640259345833341</c:v>
                </c:pt>
                <c:pt idx="7">
                  <c:v>0.74823060729166668</c:v>
                </c:pt>
                <c:pt idx="8">
                  <c:v>0.72762290038333333</c:v>
                </c:pt>
                <c:pt idx="9">
                  <c:v>1.0855118744500001</c:v>
                </c:pt>
                <c:pt idx="10">
                  <c:v>2.2988625487499998</c:v>
                </c:pt>
                <c:pt idx="11">
                  <c:v>2.5218811620333335</c:v>
                </c:pt>
              </c:numCache>
            </c:numRef>
          </c:val>
          <c:extLst>
            <c:ext xmlns:c16="http://schemas.microsoft.com/office/drawing/2014/chart" uri="{C3380CC4-5D6E-409C-BE32-E72D297353CC}">
              <c16:uniqueId val="{00000000-CEFE-4D8B-8A94-B49C476BB29D}"/>
            </c:ext>
          </c:extLst>
        </c:ser>
        <c:dLbls>
          <c:showLegendKey val="0"/>
          <c:showVal val="0"/>
          <c:showCatName val="0"/>
          <c:showSerName val="0"/>
          <c:showPercent val="0"/>
          <c:showBubbleSize val="0"/>
        </c:dLbls>
        <c:gapWidth val="219"/>
        <c:overlap val="-27"/>
        <c:axId val="1505335295"/>
        <c:axId val="1505335775"/>
      </c:barChart>
      <c:catAx>
        <c:axId val="1505335295"/>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05335775"/>
        <c:crosses val="autoZero"/>
        <c:auto val="1"/>
        <c:lblAlgn val="ctr"/>
        <c:lblOffset val="100"/>
        <c:noMultiLvlLbl val="0"/>
      </c:catAx>
      <c:valAx>
        <c:axId val="1505335775"/>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a:t>
                </a:r>
                <a:r>
                  <a:rPr lang="en-US" baseline="-25000"/>
                  <a:t>2</a:t>
                </a:r>
                <a:r>
                  <a:rPr lang="en-US"/>
                  <a:t> eq./kg crop)</a:t>
                </a:r>
              </a:p>
            </c:rich>
          </c:tx>
          <c:layout>
            <c:manualLayout>
              <c:xMode val="edge"/>
              <c:yMode val="edge"/>
              <c:x val="1.388888888888889E-2"/>
              <c:y val="0.1254166666666667"/>
            </c:manualLayout>
          </c:layout>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505335295"/>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Carbon Footprint (CP1)</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BE_Tomato!$D$23:$O$23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BE_Tomato!$D$24:$O$24</c:f>
              <c:numCache>
                <c:formatCode>0.00E+00</c:formatCode>
                <c:ptCount val="12"/>
                <c:pt idx="2">
                  <c:v>3.4096108296166667</c:v>
                </c:pt>
                <c:pt idx="3">
                  <c:v>1.8514728197833334</c:v>
                </c:pt>
                <c:pt idx="4">
                  <c:v>1.31591332025</c:v>
                </c:pt>
                <c:pt idx="5">
                  <c:v>1.0052231556166666</c:v>
                </c:pt>
                <c:pt idx="6">
                  <c:v>0.77607712438333332</c:v>
                </c:pt>
                <c:pt idx="7">
                  <c:v>0.67467804511666674</c:v>
                </c:pt>
                <c:pt idx="8">
                  <c:v>0.72762290038333333</c:v>
                </c:pt>
                <c:pt idx="9">
                  <c:v>1.0855118744500001</c:v>
                </c:pt>
                <c:pt idx="10">
                  <c:v>2.2988625487499998</c:v>
                </c:pt>
              </c:numCache>
            </c:numRef>
          </c:val>
          <c:extLst>
            <c:ext xmlns:c16="http://schemas.microsoft.com/office/drawing/2014/chart" uri="{C3380CC4-5D6E-409C-BE32-E72D297353CC}">
              <c16:uniqueId val="{00000000-503B-4058-8642-3C3BC0568219}"/>
            </c:ext>
          </c:extLst>
        </c:ser>
        <c:dLbls>
          <c:showLegendKey val="0"/>
          <c:showVal val="0"/>
          <c:showCatName val="0"/>
          <c:showSerName val="0"/>
          <c:showPercent val="0"/>
          <c:showBubbleSize val="0"/>
        </c:dLbls>
        <c:gapWidth val="219"/>
        <c:overlap val="-27"/>
        <c:axId val="1289615744"/>
        <c:axId val="1289619584"/>
      </c:barChart>
      <c:catAx>
        <c:axId val="1289615744"/>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Month of 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89619584"/>
        <c:crosses val="autoZero"/>
        <c:auto val="1"/>
        <c:lblAlgn val="ctr"/>
        <c:lblOffset val="100"/>
        <c:noMultiLvlLbl val="0"/>
      </c:catAx>
      <c:valAx>
        <c:axId val="1289619584"/>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Carbon footprint (kg CO2 eq./kg crop)</a:t>
                </a:r>
              </a:p>
            </c:rich>
          </c:tx>
          <c:overlay val="0"/>
          <c:spPr>
            <a:noFill/>
            <a:ln>
              <a:noFill/>
              <a:prstDash val="solid"/>
            </a:ln>
          </c:spPr>
        </c:title>
        <c:numFmt formatCode="#,##0.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de-DE"/>
          </a:p>
        </c:txPr>
        <c:crossAx val="128961574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55033</xdr:colOff>
      <xdr:row>28</xdr:row>
      <xdr:rowOff>1093470</xdr:rowOff>
    </xdr:from>
    <xdr:to>
      <xdr:col>17</xdr:col>
      <xdr:colOff>62653</xdr:colOff>
      <xdr:row>44</xdr:row>
      <xdr:rowOff>67733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29</xdr:row>
      <xdr:rowOff>34290</xdr:rowOff>
    </xdr:from>
    <xdr:to>
      <xdr:col>2</xdr:col>
      <xdr:colOff>2065020</xdr:colOff>
      <xdr:row>44</xdr:row>
      <xdr:rowOff>34290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2377440</xdr:colOff>
      <xdr:row>29</xdr:row>
      <xdr:rowOff>19050</xdr:rowOff>
    </xdr:from>
    <xdr:to>
      <xdr:col>9</xdr:col>
      <xdr:colOff>381000</xdr:colOff>
      <xdr:row>44</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167640</xdr:colOff>
      <xdr:row>37</xdr:row>
      <xdr:rowOff>110490</xdr:rowOff>
    </xdr:from>
    <xdr:to>
      <xdr:col>10</xdr:col>
      <xdr:colOff>198120</xdr:colOff>
      <xdr:row>52</xdr:row>
      <xdr:rowOff>110490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84667</xdr:colOff>
      <xdr:row>28</xdr:row>
      <xdr:rowOff>106257</xdr:rowOff>
    </xdr:from>
    <xdr:to>
      <xdr:col>17</xdr:col>
      <xdr:colOff>278554</xdr:colOff>
      <xdr:row>44</xdr:row>
      <xdr:rowOff>132927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84667</xdr:colOff>
      <xdr:row>28</xdr:row>
      <xdr:rowOff>110067</xdr:rowOff>
    </xdr:from>
    <xdr:to>
      <xdr:col>2</xdr:col>
      <xdr:colOff>1794934</xdr:colOff>
      <xdr:row>43</xdr:row>
      <xdr:rowOff>59267</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2125134</xdr:colOff>
      <xdr:row>28</xdr:row>
      <xdr:rowOff>110066</xdr:rowOff>
    </xdr:from>
    <xdr:to>
      <xdr:col>9</xdr:col>
      <xdr:colOff>169334</xdr:colOff>
      <xdr:row>43</xdr:row>
      <xdr:rowOff>59266</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110066</xdr:colOff>
      <xdr:row>55</xdr:row>
      <xdr:rowOff>59267</xdr:rowOff>
    </xdr:from>
    <xdr:to>
      <xdr:col>2</xdr:col>
      <xdr:colOff>1820333</xdr:colOff>
      <xdr:row>70</xdr:row>
      <xdr:rowOff>8467</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2108200</xdr:colOff>
      <xdr:row>55</xdr:row>
      <xdr:rowOff>50800</xdr:rowOff>
    </xdr:from>
    <xdr:to>
      <xdr:col>9</xdr:col>
      <xdr:colOff>152400</xdr:colOff>
      <xdr:row>70</xdr:row>
      <xdr:rowOff>0</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33866</xdr:colOff>
      <xdr:row>55</xdr:row>
      <xdr:rowOff>50801</xdr:rowOff>
    </xdr:from>
    <xdr:to>
      <xdr:col>17</xdr:col>
      <xdr:colOff>42333</xdr:colOff>
      <xdr:row>70</xdr:row>
      <xdr:rowOff>1</xdr:rowOff>
    </xdr:to>
    <xdr:graphicFrame macro="">
      <xdr:nvGraphicFramePr>
        <xdr:cNvPr id="7" name="Chart 6">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91440</xdr:colOff>
      <xdr:row>29</xdr:row>
      <xdr:rowOff>179070</xdr:rowOff>
    </xdr:from>
    <xdr:to>
      <xdr:col>11</xdr:col>
      <xdr:colOff>76200</xdr:colOff>
      <xdr:row>44</xdr:row>
      <xdr:rowOff>179070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194733</xdr:colOff>
      <xdr:row>51</xdr:row>
      <xdr:rowOff>67733</xdr:rowOff>
    </xdr:from>
    <xdr:to>
      <xdr:col>11</xdr:col>
      <xdr:colOff>186267</xdr:colOff>
      <xdr:row>66</xdr:row>
      <xdr:rowOff>16933</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274320</xdr:colOff>
      <xdr:row>34</xdr:row>
      <xdr:rowOff>179070</xdr:rowOff>
    </xdr:from>
    <xdr:to>
      <xdr:col>10</xdr:col>
      <xdr:colOff>304800</xdr:colOff>
      <xdr:row>49</xdr:row>
      <xdr:rowOff>179070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56</xdr:row>
      <xdr:rowOff>140970</xdr:rowOff>
    </xdr:from>
    <xdr:to>
      <xdr:col>10</xdr:col>
      <xdr:colOff>60960</xdr:colOff>
      <xdr:row>71</xdr:row>
      <xdr:rowOff>140970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411480</xdr:colOff>
      <xdr:row>14</xdr:row>
      <xdr:rowOff>87630</xdr:rowOff>
    </xdr:from>
    <xdr:to>
      <xdr:col>11</xdr:col>
      <xdr:colOff>510540</xdr:colOff>
      <xdr:row>29</xdr:row>
      <xdr:rowOff>11430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35</xdr:row>
      <xdr:rowOff>3810</xdr:rowOff>
    </xdr:from>
    <xdr:to>
      <xdr:col>11</xdr:col>
      <xdr:colOff>388620</xdr:colOff>
      <xdr:row>50</xdr:row>
      <xdr:rowOff>3810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152400</xdr:colOff>
      <xdr:row>14</xdr:row>
      <xdr:rowOff>118110</xdr:rowOff>
    </xdr:from>
    <xdr:to>
      <xdr:col>10</xdr:col>
      <xdr:colOff>205740</xdr:colOff>
      <xdr:row>29</xdr:row>
      <xdr:rowOff>41910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2034540</xdr:colOff>
      <xdr:row>35</xdr:row>
      <xdr:rowOff>57150</xdr:rowOff>
    </xdr:from>
    <xdr:to>
      <xdr:col>10</xdr:col>
      <xdr:colOff>45720</xdr:colOff>
      <xdr:row>50</xdr:row>
      <xdr:rowOff>57150</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29</xdr:row>
      <xdr:rowOff>179070</xdr:rowOff>
    </xdr:from>
    <xdr:to>
      <xdr:col>11</xdr:col>
      <xdr:colOff>76200</xdr:colOff>
      <xdr:row>44</xdr:row>
      <xdr:rowOff>179070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37</xdr:row>
      <xdr:rowOff>110490</xdr:rowOff>
    </xdr:from>
    <xdr:to>
      <xdr:col>10</xdr:col>
      <xdr:colOff>198120</xdr:colOff>
      <xdr:row>52</xdr:row>
      <xdr:rowOff>110490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266700</xdr:colOff>
      <xdr:row>14</xdr:row>
      <xdr:rowOff>34290</xdr:rowOff>
    </xdr:from>
    <xdr:to>
      <xdr:col>10</xdr:col>
      <xdr:colOff>342900</xdr:colOff>
      <xdr:row>28</xdr:row>
      <xdr:rowOff>140970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16</xdr:row>
      <xdr:rowOff>11430</xdr:rowOff>
    </xdr:from>
    <xdr:to>
      <xdr:col>10</xdr:col>
      <xdr:colOff>167640</xdr:colOff>
      <xdr:row>30</xdr:row>
      <xdr:rowOff>156210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121920</xdr:colOff>
      <xdr:row>30</xdr:row>
      <xdr:rowOff>3810</xdr:rowOff>
    </xdr:from>
    <xdr:to>
      <xdr:col>15</xdr:col>
      <xdr:colOff>38100</xdr:colOff>
      <xdr:row>45</xdr:row>
      <xdr:rowOff>3810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29</xdr:row>
      <xdr:rowOff>179070</xdr:rowOff>
    </xdr:from>
    <xdr:to>
      <xdr:col>2</xdr:col>
      <xdr:colOff>2004060</xdr:colOff>
      <xdr:row>44</xdr:row>
      <xdr:rowOff>179070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2308860</xdr:colOff>
      <xdr:row>29</xdr:row>
      <xdr:rowOff>163830</xdr:rowOff>
    </xdr:from>
    <xdr:to>
      <xdr:col>7</xdr:col>
      <xdr:colOff>182880</xdr:colOff>
      <xdr:row>44</xdr:row>
      <xdr:rowOff>163830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167640</xdr:colOff>
      <xdr:row>37</xdr:row>
      <xdr:rowOff>110490</xdr:rowOff>
    </xdr:from>
    <xdr:to>
      <xdr:col>10</xdr:col>
      <xdr:colOff>198120</xdr:colOff>
      <xdr:row>52</xdr:row>
      <xdr:rowOff>110490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297180</xdr:colOff>
      <xdr:row>14</xdr:row>
      <xdr:rowOff>186690</xdr:rowOff>
    </xdr:from>
    <xdr:to>
      <xdr:col>10</xdr:col>
      <xdr:colOff>350520</xdr:colOff>
      <xdr:row>29</xdr:row>
      <xdr:rowOff>110490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2491740</xdr:colOff>
      <xdr:row>13</xdr:row>
      <xdr:rowOff>95250</xdr:rowOff>
    </xdr:from>
    <xdr:to>
      <xdr:col>9</xdr:col>
      <xdr:colOff>106680</xdr:colOff>
      <xdr:row>28</xdr:row>
      <xdr:rowOff>19050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8"/>
  <sheetViews>
    <sheetView topLeftCell="T1" zoomScale="90" zoomScaleNormal="90" workbookViewId="0">
      <selection activeCell="V12" sqref="V12"/>
    </sheetView>
  </sheetViews>
  <sheetFormatPr defaultRowHeight="15" x14ac:dyDescent="0.25"/>
  <cols>
    <col min="2" max="2" width="31.28515625" customWidth="1"/>
    <col min="3" max="3" width="35.42578125" customWidth="1"/>
    <col min="4" max="7" width="10.5703125" bestFit="1" customWidth="1"/>
    <col min="8" max="8" width="11.7109375" customWidth="1"/>
    <col min="9" max="11" width="9.5703125" bestFit="1" customWidth="1"/>
    <col min="12" max="12" width="8.5703125" bestFit="1" customWidth="1"/>
    <col min="13" max="13" width="9.5703125" bestFit="1" customWidth="1"/>
    <col min="14" max="15" width="10.5703125" bestFit="1" customWidth="1"/>
    <col min="19" max="19" width="38.7109375" bestFit="1" customWidth="1"/>
    <col min="20" max="20" width="22.28515625" customWidth="1"/>
    <col min="21" max="21" width="17.28515625" bestFit="1" customWidth="1"/>
    <col min="22" max="22" width="61.28515625" bestFit="1" customWidth="1"/>
    <col min="23" max="23" width="182" customWidth="1"/>
    <col min="24" max="24" width="10.85546875" customWidth="1"/>
  </cols>
  <sheetData>
    <row r="1" spans="2:23" ht="15.6" customHeight="1" x14ac:dyDescent="0.25">
      <c r="B1" s="14" t="s">
        <v>0</v>
      </c>
      <c r="C1" s="24"/>
      <c r="D1" s="24"/>
      <c r="E1" s="24"/>
      <c r="F1" s="24"/>
      <c r="G1" s="24"/>
      <c r="H1" s="24"/>
      <c r="I1" s="24"/>
      <c r="J1" s="24"/>
      <c r="K1" s="24"/>
      <c r="L1" s="24"/>
      <c r="M1" s="24"/>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83" t="s">
        <v>12</v>
      </c>
      <c r="C5" s="6" t="s">
        <v>13</v>
      </c>
      <c r="D5" s="7" t="s">
        <v>14</v>
      </c>
      <c r="E5" s="7" t="s">
        <v>15</v>
      </c>
      <c r="F5" s="7" t="s">
        <v>16</v>
      </c>
      <c r="G5" s="7" t="s">
        <v>17</v>
      </c>
      <c r="H5" s="7" t="s">
        <v>18</v>
      </c>
      <c r="I5" s="7" t="s">
        <v>19</v>
      </c>
      <c r="J5" s="7" t="s">
        <v>20</v>
      </c>
      <c r="K5" s="7" t="s">
        <v>21</v>
      </c>
      <c r="L5" s="7" t="s">
        <v>22</v>
      </c>
      <c r="M5" s="7" t="s">
        <v>23</v>
      </c>
      <c r="N5" s="7" t="s">
        <v>24</v>
      </c>
      <c r="O5" s="7" t="s">
        <v>25</v>
      </c>
      <c r="S5" s="53" t="s">
        <v>26</v>
      </c>
      <c r="T5" s="54">
        <v>0.70099999999999996</v>
      </c>
      <c r="U5" s="53" t="s">
        <v>7</v>
      </c>
      <c r="V5" s="64" t="s">
        <v>27</v>
      </c>
      <c r="W5" s="85"/>
    </row>
    <row r="6" spans="2:23" ht="16.899999999999999" customHeight="1" x14ac:dyDescent="0.25">
      <c r="B6" s="84"/>
      <c r="C6" s="3" t="s">
        <v>28</v>
      </c>
      <c r="D6" s="8" t="s">
        <v>29</v>
      </c>
      <c r="E6" s="8" t="s">
        <v>29</v>
      </c>
      <c r="F6" s="9">
        <v>2658115.5</v>
      </c>
      <c r="G6" s="9">
        <v>1346331.55</v>
      </c>
      <c r="H6" s="9">
        <v>799775.6</v>
      </c>
      <c r="I6" s="9">
        <v>485589.26</v>
      </c>
      <c r="J6" s="9">
        <v>210472.49</v>
      </c>
      <c r="K6" s="9">
        <v>64947.78</v>
      </c>
      <c r="L6" s="9">
        <v>52974.239999999998</v>
      </c>
      <c r="M6" s="9">
        <v>239664.95</v>
      </c>
      <c r="N6" s="9">
        <v>1104029.45</v>
      </c>
      <c r="O6" s="10" t="s">
        <v>30</v>
      </c>
      <c r="S6" s="3" t="s">
        <v>31</v>
      </c>
      <c r="T6" s="21">
        <v>5.7200000000000001E-2</v>
      </c>
      <c r="U6" s="3" t="s">
        <v>32</v>
      </c>
      <c r="V6" s="66" t="s">
        <v>33</v>
      </c>
      <c r="W6" s="86" t="s">
        <v>34</v>
      </c>
    </row>
    <row r="7" spans="2:23" ht="15.6" customHeight="1" x14ac:dyDescent="0.25">
      <c r="B7" s="85"/>
      <c r="C7" s="3" t="s">
        <v>35</v>
      </c>
      <c r="D7" s="8" t="s">
        <v>29</v>
      </c>
      <c r="E7" s="8" t="s">
        <v>29</v>
      </c>
      <c r="F7" s="9">
        <v>277750</v>
      </c>
      <c r="G7" s="9">
        <v>108250</v>
      </c>
      <c r="H7" s="9">
        <v>49500</v>
      </c>
      <c r="I7" s="9">
        <v>22333.33</v>
      </c>
      <c r="J7" s="9">
        <v>16166.67</v>
      </c>
      <c r="K7" s="9">
        <v>17000</v>
      </c>
      <c r="L7" s="9">
        <v>35833.33</v>
      </c>
      <c r="M7" s="9">
        <v>90500</v>
      </c>
      <c r="N7" s="9">
        <v>242166.67</v>
      </c>
      <c r="O7" s="10" t="s">
        <v>30</v>
      </c>
      <c r="S7" s="3" t="s">
        <v>36</v>
      </c>
      <c r="T7" s="21">
        <v>2.32E-3</v>
      </c>
      <c r="U7" s="3" t="s">
        <v>37</v>
      </c>
      <c r="V7" s="66" t="s">
        <v>38</v>
      </c>
      <c r="W7" s="84"/>
    </row>
    <row r="8" spans="2:23" ht="19.899999999999999" customHeight="1" x14ac:dyDescent="0.25">
      <c r="F8" s="15"/>
      <c r="G8" s="15"/>
      <c r="H8" s="15"/>
      <c r="I8" s="15"/>
      <c r="J8" s="15"/>
      <c r="K8" s="15"/>
      <c r="L8" s="15"/>
      <c r="M8" s="15"/>
      <c r="N8" s="15"/>
      <c r="O8" s="15"/>
      <c r="S8" s="3" t="s">
        <v>39</v>
      </c>
      <c r="T8" s="21">
        <v>8.4499999999999992E-3</v>
      </c>
      <c r="U8" s="3" t="s">
        <v>37</v>
      </c>
      <c r="V8" s="66" t="s">
        <v>40</v>
      </c>
      <c r="W8" s="84"/>
    </row>
    <row r="9" spans="2:23" x14ac:dyDescent="0.25">
      <c r="F9" s="15"/>
      <c r="G9" s="15"/>
      <c r="H9" s="15"/>
      <c r="I9" s="15"/>
      <c r="J9" s="15"/>
      <c r="K9" s="15"/>
      <c r="L9" s="15"/>
      <c r="M9" s="15"/>
      <c r="N9" s="15"/>
      <c r="O9" s="15"/>
      <c r="S9" s="3" t="s">
        <v>41</v>
      </c>
      <c r="T9" s="21">
        <v>1.55E-4</v>
      </c>
      <c r="U9" s="3" t="s">
        <v>37</v>
      </c>
      <c r="V9" s="66" t="s">
        <v>42</v>
      </c>
      <c r="W9" s="85"/>
    </row>
    <row r="10" spans="2:23" ht="16.899999999999999" customHeight="1" x14ac:dyDescent="0.25">
      <c r="F10" s="15"/>
      <c r="G10" s="15"/>
      <c r="H10" s="15"/>
      <c r="I10" s="15"/>
      <c r="J10" s="15"/>
      <c r="K10" s="15"/>
      <c r="L10" s="15"/>
      <c r="M10" s="15"/>
      <c r="N10" s="15"/>
      <c r="O10" s="15"/>
      <c r="S10" s="59" t="s">
        <v>43</v>
      </c>
      <c r="T10" s="21">
        <f>16/T16</f>
        <v>0.26666666666666666</v>
      </c>
      <c r="U10" s="3" t="s">
        <v>37</v>
      </c>
      <c r="V10" t="s">
        <v>44</v>
      </c>
      <c r="W10" s="3" t="s">
        <v>45</v>
      </c>
    </row>
    <row r="11" spans="2:23" ht="15.6" customHeight="1" x14ac:dyDescent="0.25">
      <c r="B11" s="83" t="s">
        <v>46</v>
      </c>
      <c r="C11" s="6" t="s">
        <v>13</v>
      </c>
      <c r="D11" s="7" t="s">
        <v>14</v>
      </c>
      <c r="E11" s="7" t="s">
        <v>15</v>
      </c>
      <c r="F11" s="7" t="s">
        <v>16</v>
      </c>
      <c r="G11" s="7" t="s">
        <v>17</v>
      </c>
      <c r="H11" s="7" t="s">
        <v>18</v>
      </c>
      <c r="I11" s="7" t="s">
        <v>19</v>
      </c>
      <c r="J11" s="7" t="s">
        <v>20</v>
      </c>
      <c r="K11" s="7" t="s">
        <v>21</v>
      </c>
      <c r="L11" s="7" t="s">
        <v>22</v>
      </c>
      <c r="M11" s="7" t="s">
        <v>23</v>
      </c>
      <c r="N11" s="7" t="s">
        <v>24</v>
      </c>
      <c r="O11" s="7" t="s">
        <v>25</v>
      </c>
      <c r="S11" s="53" t="s">
        <v>47</v>
      </c>
      <c r="T11" s="54">
        <v>9.0999999999999998E-2</v>
      </c>
      <c r="U11" s="53" t="s">
        <v>37</v>
      </c>
      <c r="V11" s="64" t="s">
        <v>48</v>
      </c>
      <c r="W11" s="53" t="s">
        <v>49</v>
      </c>
    </row>
    <row r="12" spans="2:23" ht="15.6" customHeight="1" x14ac:dyDescent="0.25">
      <c r="B12" s="84"/>
      <c r="C12" s="3" t="s">
        <v>28</v>
      </c>
      <c r="D12" s="9">
        <v>1442011.51</v>
      </c>
      <c r="E12" s="9">
        <v>1473613.41</v>
      </c>
      <c r="F12" s="34">
        <v>1355801.48</v>
      </c>
      <c r="G12" s="9">
        <v>1110843.9099999999</v>
      </c>
      <c r="H12" s="9">
        <v>799775.6</v>
      </c>
      <c r="I12" s="9">
        <v>485589.26</v>
      </c>
      <c r="J12" s="9">
        <v>217141.91</v>
      </c>
      <c r="K12" s="9">
        <v>100381.71</v>
      </c>
      <c r="L12" s="10" t="s">
        <v>30</v>
      </c>
      <c r="M12" s="8" t="s">
        <v>29</v>
      </c>
      <c r="N12" s="8" t="s">
        <v>29</v>
      </c>
      <c r="O12" s="9">
        <v>1308657.44</v>
      </c>
      <c r="S12" s="3" t="s">
        <v>50</v>
      </c>
      <c r="T12" s="21">
        <v>8.5999999999999993E-2</v>
      </c>
      <c r="U12" s="3" t="s">
        <v>37</v>
      </c>
      <c r="V12" s="66" t="s">
        <v>51</v>
      </c>
      <c r="W12" s="3" t="s">
        <v>52</v>
      </c>
    </row>
    <row r="13" spans="2:23" x14ac:dyDescent="0.25">
      <c r="B13" s="85"/>
      <c r="C13" s="3" t="s">
        <v>35</v>
      </c>
      <c r="D13" s="9">
        <v>196750</v>
      </c>
      <c r="E13" s="9">
        <v>174666.67</v>
      </c>
      <c r="F13" s="33">
        <v>135000</v>
      </c>
      <c r="G13" s="9">
        <v>86166.67</v>
      </c>
      <c r="H13" s="9">
        <v>49500</v>
      </c>
      <c r="I13" s="9">
        <v>22333.33</v>
      </c>
      <c r="J13" s="9">
        <v>18833.330000000002</v>
      </c>
      <c r="K13" s="9">
        <v>36333.33</v>
      </c>
      <c r="L13" s="10" t="s">
        <v>30</v>
      </c>
      <c r="M13" s="8" t="s">
        <v>29</v>
      </c>
      <c r="N13" s="8" t="s">
        <v>29</v>
      </c>
      <c r="O13" s="9">
        <v>270166.67</v>
      </c>
      <c r="S13" s="56" t="s">
        <v>53</v>
      </c>
      <c r="T13" s="57">
        <f>(SUM(T3:T6)/60)+SUM(T7:T12)</f>
        <v>0.51856166666666659</v>
      </c>
      <c r="U13" s="56" t="s">
        <v>37</v>
      </c>
      <c r="V13" s="56" t="s">
        <v>54</v>
      </c>
    </row>
    <row r="15" spans="2:23" ht="16.149999999999999" customHeight="1" x14ac:dyDescent="0.25">
      <c r="S15" s="2" t="s">
        <v>55</v>
      </c>
      <c r="T15" s="2" t="s">
        <v>2</v>
      </c>
      <c r="U15" s="2" t="s">
        <v>3</v>
      </c>
      <c r="V15" s="2" t="s">
        <v>4</v>
      </c>
      <c r="W15" s="2" t="s">
        <v>5</v>
      </c>
    </row>
    <row r="16" spans="2:23" ht="15.6" customHeight="1" x14ac:dyDescent="0.25">
      <c r="S16" s="3" t="s">
        <v>56</v>
      </c>
      <c r="T16" s="25">
        <v>60</v>
      </c>
      <c r="U16" s="3" t="s">
        <v>57</v>
      </c>
      <c r="V16" s="3"/>
      <c r="W16" s="3" t="s">
        <v>58</v>
      </c>
    </row>
    <row r="17" spans="2:23" ht="16.899999999999999" customHeight="1" x14ac:dyDescent="0.25">
      <c r="B17" s="83" t="s">
        <v>59</v>
      </c>
      <c r="C17" s="6" t="s">
        <v>13</v>
      </c>
      <c r="D17" s="7" t="s">
        <v>14</v>
      </c>
      <c r="E17" s="7" t="s">
        <v>15</v>
      </c>
      <c r="F17" s="7" t="s">
        <v>16</v>
      </c>
      <c r="G17" s="7" t="s">
        <v>17</v>
      </c>
      <c r="H17" s="7" t="s">
        <v>18</v>
      </c>
      <c r="I17" s="7" t="s">
        <v>19</v>
      </c>
      <c r="J17" s="7" t="s">
        <v>20</v>
      </c>
      <c r="K17" s="7" t="s">
        <v>21</v>
      </c>
      <c r="L17" s="7" t="s">
        <v>22</v>
      </c>
      <c r="M17" s="7" t="s">
        <v>23</v>
      </c>
      <c r="N17" s="7" t="s">
        <v>24</v>
      </c>
      <c r="O17" s="7" t="s">
        <v>25</v>
      </c>
      <c r="S17" s="53" t="s">
        <v>60</v>
      </c>
      <c r="T17" s="58">
        <v>0.49099999999999999</v>
      </c>
      <c r="U17" s="53" t="s">
        <v>61</v>
      </c>
      <c r="V17" s="53"/>
      <c r="W17" s="53" t="s">
        <v>62</v>
      </c>
    </row>
    <row r="18" spans="2:23" ht="16.149999999999999" customHeight="1" x14ac:dyDescent="0.25">
      <c r="B18" s="84"/>
      <c r="C18" s="3" t="s">
        <v>28</v>
      </c>
      <c r="D18" s="9">
        <f>D12</f>
        <v>1442011.51</v>
      </c>
      <c r="E18" s="9">
        <f>E12</f>
        <v>1473613.41</v>
      </c>
      <c r="F18" s="9">
        <f t="shared" ref="F18:K19" si="0">(F6+F12)/2</f>
        <v>2006958.49</v>
      </c>
      <c r="G18" s="9">
        <f t="shared" si="0"/>
        <v>1228587.73</v>
      </c>
      <c r="H18" s="9">
        <f t="shared" si="0"/>
        <v>799775.6</v>
      </c>
      <c r="I18" s="9">
        <f t="shared" si="0"/>
        <v>485589.26</v>
      </c>
      <c r="J18" s="9">
        <f t="shared" si="0"/>
        <v>213807.2</v>
      </c>
      <c r="K18" s="9">
        <f t="shared" si="0"/>
        <v>82664.744999999995</v>
      </c>
      <c r="L18" s="9">
        <f t="shared" ref="L18:N19" si="1">L6</f>
        <v>52974.239999999998</v>
      </c>
      <c r="M18" s="9">
        <f t="shared" si="1"/>
        <v>239664.95</v>
      </c>
      <c r="N18" s="9">
        <f t="shared" si="1"/>
        <v>1104029.45</v>
      </c>
      <c r="O18" s="9">
        <f>O12</f>
        <v>1308657.44</v>
      </c>
      <c r="S18" s="3" t="s">
        <v>63</v>
      </c>
      <c r="T18" s="4">
        <v>1.78</v>
      </c>
      <c r="U18" s="16" t="s">
        <v>64</v>
      </c>
      <c r="V18" s="3"/>
      <c r="W18" s="3" t="s">
        <v>65</v>
      </c>
    </row>
    <row r="19" spans="2:23" x14ac:dyDescent="0.25">
      <c r="B19" s="85"/>
      <c r="C19" s="3" t="s">
        <v>35</v>
      </c>
      <c r="D19" s="9">
        <f>D13</f>
        <v>196750</v>
      </c>
      <c r="E19" s="9">
        <f>E13</f>
        <v>174666.67</v>
      </c>
      <c r="F19" s="9">
        <f t="shared" si="0"/>
        <v>206375</v>
      </c>
      <c r="G19" s="9">
        <f t="shared" si="0"/>
        <v>97208.334999999992</v>
      </c>
      <c r="H19" s="9">
        <f t="shared" si="0"/>
        <v>49500</v>
      </c>
      <c r="I19" s="9">
        <f t="shared" si="0"/>
        <v>22333.33</v>
      </c>
      <c r="J19" s="9">
        <f t="shared" si="0"/>
        <v>17500</v>
      </c>
      <c r="K19" s="9">
        <f t="shared" si="0"/>
        <v>26666.665000000001</v>
      </c>
      <c r="L19" s="9">
        <f t="shared" si="1"/>
        <v>35833.33</v>
      </c>
      <c r="M19" s="9">
        <f t="shared" si="1"/>
        <v>90500</v>
      </c>
      <c r="N19" s="9">
        <f t="shared" si="1"/>
        <v>242166.67</v>
      </c>
      <c r="O19" s="9">
        <f>O13</f>
        <v>270166.67</v>
      </c>
      <c r="S19" s="3" t="s">
        <v>66</v>
      </c>
      <c r="T19" s="4">
        <v>36</v>
      </c>
      <c r="U19" s="3" t="s">
        <v>67</v>
      </c>
      <c r="V19" s="3"/>
      <c r="W19" s="3"/>
    </row>
    <row r="20" spans="2:23" x14ac:dyDescent="0.25">
      <c r="S20" s="19" t="s">
        <v>68</v>
      </c>
      <c r="T20" s="4">
        <v>0.5</v>
      </c>
      <c r="U20" s="17" t="s">
        <v>69</v>
      </c>
      <c r="V20" s="3"/>
      <c r="W20" s="86" t="s">
        <v>9</v>
      </c>
    </row>
    <row r="21" spans="2:23" x14ac:dyDescent="0.25">
      <c r="S21" s="19" t="s">
        <v>70</v>
      </c>
      <c r="T21" s="4">
        <v>0.4</v>
      </c>
      <c r="U21" s="18" t="s">
        <v>69</v>
      </c>
      <c r="V21" s="3"/>
      <c r="W21" s="85"/>
    </row>
    <row r="22" spans="2:23" x14ac:dyDescent="0.25">
      <c r="S22" s="3" t="s">
        <v>71</v>
      </c>
      <c r="T22" s="4" t="s">
        <v>72</v>
      </c>
      <c r="U22" s="3"/>
      <c r="V22" s="3"/>
      <c r="W22" s="3"/>
    </row>
    <row r="23" spans="2:23" ht="15.6" customHeight="1" x14ac:dyDescent="0.25">
      <c r="C23" s="5" t="s">
        <v>73</v>
      </c>
      <c r="D23" s="7" t="s">
        <v>14</v>
      </c>
      <c r="E23" s="7" t="s">
        <v>15</v>
      </c>
      <c r="F23" s="7" t="s">
        <v>16</v>
      </c>
      <c r="G23" s="7" t="s">
        <v>17</v>
      </c>
      <c r="H23" s="7" t="s">
        <v>18</v>
      </c>
      <c r="I23" s="7" t="s">
        <v>19</v>
      </c>
      <c r="J23" s="7" t="s">
        <v>20</v>
      </c>
      <c r="K23" s="7" t="s">
        <v>21</v>
      </c>
      <c r="L23" s="7" t="s">
        <v>22</v>
      </c>
      <c r="M23" s="7" t="s">
        <v>23</v>
      </c>
      <c r="N23" s="7" t="s">
        <v>24</v>
      </c>
      <c r="O23" s="7" t="s">
        <v>25</v>
      </c>
      <c r="S23" s="3" t="s">
        <v>74</v>
      </c>
      <c r="T23" s="4">
        <v>10000</v>
      </c>
      <c r="U23" s="3" t="s">
        <v>75</v>
      </c>
      <c r="V23" s="3" t="s">
        <v>76</v>
      </c>
      <c r="W23" s="3"/>
    </row>
    <row r="24" spans="2:23" ht="16.149999999999999" customHeight="1" x14ac:dyDescent="0.25">
      <c r="B24" s="26" t="s">
        <v>77</v>
      </c>
      <c r="C24" s="26" t="s">
        <v>78</v>
      </c>
      <c r="D24" s="30"/>
      <c r="E24" s="30"/>
      <c r="F24" s="27">
        <f t="shared" ref="F24:N24" si="2">$T$13+((F6*$T$18/$T$19)+(F7*$T$17))/($T$16/9)/10000</f>
        <v>4.5356260791666667</v>
      </c>
      <c r="G24" s="27">
        <f t="shared" si="2"/>
        <v>2.3143521495833332</v>
      </c>
      <c r="H24" s="27">
        <f t="shared" si="2"/>
        <v>1.4762960699999998</v>
      </c>
      <c r="I24" s="27">
        <f t="shared" si="2"/>
        <v>1.0431920099499998</v>
      </c>
      <c r="J24" s="27">
        <f t="shared" si="2"/>
        <v>0.79372962129999991</v>
      </c>
      <c r="K24" s="27">
        <f t="shared" si="2"/>
        <v>0.69193627016666659</v>
      </c>
      <c r="L24" s="27">
        <f t="shared" si="2"/>
        <v>0.82176337011666667</v>
      </c>
      <c r="M24" s="27">
        <f t="shared" si="2"/>
        <v>1.3628456712499999</v>
      </c>
      <c r="N24" s="27">
        <f t="shared" si="2"/>
        <v>3.1209410332999994</v>
      </c>
      <c r="O24" s="30"/>
      <c r="P24" s="70"/>
      <c r="S24" s="3" t="s">
        <v>79</v>
      </c>
      <c r="T24" s="76" t="s">
        <v>80</v>
      </c>
      <c r="U24" s="3" t="s">
        <v>81</v>
      </c>
      <c r="V24" s="3" t="s">
        <v>82</v>
      </c>
      <c r="W24" s="6" t="s">
        <v>83</v>
      </c>
    </row>
    <row r="25" spans="2:23" x14ac:dyDescent="0.25">
      <c r="B25" s="26" t="s">
        <v>84</v>
      </c>
      <c r="C25" s="26" t="s">
        <v>78</v>
      </c>
      <c r="D25" s="27">
        <f t="shared" ref="D25:K25" si="3">$T$13+((D12*$T$18/$T$19)+(D13*$T$17))/($T$16/9)/10000</f>
        <v>3.0371172865833334</v>
      </c>
      <c r="E25" s="27">
        <f t="shared" si="3"/>
        <v>2.8979116369666666</v>
      </c>
      <c r="F25" s="27">
        <f t="shared" si="3"/>
        <v>2.5183894310000001</v>
      </c>
      <c r="G25" s="27">
        <f t="shared" si="3"/>
        <v>1.9770550911333331</v>
      </c>
      <c r="H25" s="27">
        <f t="shared" si="3"/>
        <v>1.4762960699999998</v>
      </c>
      <c r="I25" s="27">
        <f t="shared" si="3"/>
        <v>1.0431920099499998</v>
      </c>
      <c r="J25" s="27">
        <f t="shared" si="3"/>
        <v>0.8183160586999999</v>
      </c>
      <c r="K25" s="27">
        <f t="shared" si="3"/>
        <v>0.86060641036666663</v>
      </c>
      <c r="L25" s="30"/>
      <c r="M25" s="30"/>
      <c r="N25" s="30"/>
      <c r="O25" s="27">
        <f>$T$13+((O12*$T$18/$T$19)+(O13*$T$17))/($T$16/9)/10000</f>
        <v>3.4789267925499994</v>
      </c>
      <c r="P25" s="70"/>
      <c r="S25" s="3" t="s">
        <v>85</v>
      </c>
      <c r="T25" s="76">
        <v>10.8</v>
      </c>
      <c r="U25" s="3" t="s">
        <v>86</v>
      </c>
      <c r="V25" s="3" t="s">
        <v>87</v>
      </c>
      <c r="W25" s="6" t="s">
        <v>88</v>
      </c>
    </row>
    <row r="26" spans="2:23" x14ac:dyDescent="0.25">
      <c r="B26" s="31" t="s">
        <v>89</v>
      </c>
      <c r="C26" s="26" t="s">
        <v>78</v>
      </c>
      <c r="D26" s="27">
        <f t="shared" ref="D26:O26" si="4">$T$13+((D18*$T$18/$T$19)+(D19*$T$17))/($T$16/9)/10000</f>
        <v>3.0371172865833334</v>
      </c>
      <c r="E26" s="27">
        <f t="shared" si="4"/>
        <v>2.8979116369666666</v>
      </c>
      <c r="F26" s="27">
        <f t="shared" si="4"/>
        <v>3.527007755083333</v>
      </c>
      <c r="G26" s="27">
        <f t="shared" si="4"/>
        <v>2.1457036203583328</v>
      </c>
      <c r="H26" s="27">
        <f t="shared" si="4"/>
        <v>1.4762960699999998</v>
      </c>
      <c r="I26" s="27">
        <f t="shared" si="4"/>
        <v>1.0431920099499998</v>
      </c>
      <c r="J26" s="27">
        <f t="shared" si="4"/>
        <v>0.80602284000000002</v>
      </c>
      <c r="K26" s="27">
        <f t="shared" si="4"/>
        <v>0.77627134026666655</v>
      </c>
      <c r="L26" s="27">
        <f t="shared" si="4"/>
        <v>0.82176337011666667</v>
      </c>
      <c r="M26" s="27">
        <f t="shared" si="4"/>
        <v>1.3628456712499999</v>
      </c>
      <c r="N26" s="27">
        <f t="shared" si="4"/>
        <v>3.1209410332999994</v>
      </c>
      <c r="O26" s="27">
        <f t="shared" si="4"/>
        <v>3.4789267925499994</v>
      </c>
      <c r="S26" s="3" t="s">
        <v>90</v>
      </c>
      <c r="T26" s="76">
        <v>15</v>
      </c>
      <c r="U26" s="3" t="s">
        <v>91</v>
      </c>
      <c r="V26" s="3" t="s">
        <v>92</v>
      </c>
      <c r="W26" s="3" t="s">
        <v>93</v>
      </c>
    </row>
    <row r="27" spans="2:23" ht="16.149999999999999" customHeight="1" x14ac:dyDescent="0.25">
      <c r="S27" s="3" t="s">
        <v>94</v>
      </c>
      <c r="T27" s="76">
        <v>100</v>
      </c>
      <c r="U27" s="3" t="s">
        <v>95</v>
      </c>
      <c r="V27" s="3" t="s">
        <v>96</v>
      </c>
      <c r="W27" s="3" t="s">
        <v>97</v>
      </c>
    </row>
    <row r="28" spans="2:23" ht="16.149999999999999" customHeight="1" x14ac:dyDescent="0.25">
      <c r="S28" s="3" t="s">
        <v>98</v>
      </c>
      <c r="T28" s="76">
        <v>150</v>
      </c>
      <c r="U28" s="3" t="s">
        <v>99</v>
      </c>
      <c r="V28" s="3"/>
      <c r="W28" s="6" t="s">
        <v>100</v>
      </c>
    </row>
    <row r="29" spans="2:23" ht="91.15" customHeight="1" x14ac:dyDescent="0.25">
      <c r="S29" s="80" t="s">
        <v>101</v>
      </c>
      <c r="T29" s="79">
        <v>30</v>
      </c>
      <c r="U29" s="80" t="s">
        <v>102</v>
      </c>
      <c r="V29" s="80"/>
      <c r="W29" s="81" t="s">
        <v>103</v>
      </c>
    </row>
    <row r="31" spans="2:23" x14ac:dyDescent="0.25">
      <c r="V31" s="77"/>
    </row>
    <row r="34" spans="23:23" x14ac:dyDescent="0.25">
      <c r="W34" s="78"/>
    </row>
    <row r="38" spans="23:23" x14ac:dyDescent="0.25">
      <c r="W38" s="1"/>
    </row>
  </sheetData>
  <mergeCells count="6">
    <mergeCell ref="B17:B19"/>
    <mergeCell ref="W20:W21"/>
    <mergeCell ref="W6:W9"/>
    <mergeCell ref="B11:B13"/>
    <mergeCell ref="W3:W5"/>
    <mergeCell ref="B5:B7"/>
  </mergeCells>
  <pageMargins left="0.75" right="0.75" top="1" bottom="1" header="0.5" footer="0.5"/>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W34"/>
  <sheetViews>
    <sheetView topLeftCell="K17" workbookViewId="0">
      <selection activeCell="V12" sqref="V12"/>
    </sheetView>
  </sheetViews>
  <sheetFormatPr defaultRowHeight="15" x14ac:dyDescent="0.25"/>
  <cols>
    <col min="2" max="2" width="29.28515625" style="1" customWidth="1"/>
    <col min="3" max="3" width="29.140625" customWidth="1"/>
    <col min="5" max="6" width="10.5703125" bestFit="1" customWidth="1"/>
    <col min="7" max="7" width="8.5703125" bestFit="1" customWidth="1"/>
    <col min="8" max="9" width="9.5703125" bestFit="1" customWidth="1"/>
    <col min="10" max="11" width="8.5703125" bestFit="1" customWidth="1"/>
    <col min="12" max="12" width="8.28515625" bestFit="1" customWidth="1"/>
    <col min="13" max="13" width="8.5703125" bestFit="1" customWidth="1"/>
    <col min="14" max="15" width="9.5703125" bestFit="1" customWidth="1"/>
    <col min="19" max="19" width="23.28515625" bestFit="1" customWidth="1"/>
    <col min="20" max="20" width="10.28515625" customWidth="1"/>
    <col min="21" max="21" width="16.5703125" bestFit="1" customWidth="1"/>
    <col min="22" max="22" width="70.28515625" bestFit="1" customWidth="1"/>
    <col min="23" max="23" width="139.28515625" customWidth="1"/>
  </cols>
  <sheetData>
    <row r="1" spans="2:23" x14ac:dyDescent="0.25">
      <c r="B1" s="32" t="s">
        <v>127</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4" t="s">
        <v>105</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94" t="s">
        <v>12</v>
      </c>
      <c r="C6" s="3" t="s">
        <v>106</v>
      </c>
      <c r="D6" s="37" t="s">
        <v>29</v>
      </c>
      <c r="E6" s="11">
        <v>743777.74</v>
      </c>
      <c r="F6" s="3"/>
      <c r="G6" s="3"/>
      <c r="H6" s="3"/>
      <c r="I6" s="3"/>
      <c r="J6" s="3"/>
      <c r="K6" s="3"/>
      <c r="L6" s="3"/>
      <c r="M6" s="3"/>
      <c r="N6" s="3"/>
      <c r="O6" s="3"/>
      <c r="S6" s="3" t="s">
        <v>31</v>
      </c>
      <c r="T6" s="61">
        <v>0.13700000000000001</v>
      </c>
      <c r="U6" s="16" t="s">
        <v>32</v>
      </c>
      <c r="V6" s="16" t="s">
        <v>170</v>
      </c>
      <c r="W6" s="86" t="s">
        <v>65</v>
      </c>
    </row>
    <row r="7" spans="2:23" ht="16.899999999999999" customHeight="1" x14ac:dyDescent="0.25">
      <c r="B7" s="85"/>
      <c r="C7" s="3" t="s">
        <v>109</v>
      </c>
      <c r="D7" s="37" t="s">
        <v>29</v>
      </c>
      <c r="E7" s="11">
        <v>186666.67</v>
      </c>
      <c r="F7" s="3"/>
      <c r="G7" s="3"/>
      <c r="H7" s="3"/>
      <c r="I7" s="3"/>
      <c r="J7" s="3"/>
      <c r="K7" s="3"/>
      <c r="L7" s="3"/>
      <c r="M7" s="3"/>
      <c r="N7" s="3"/>
      <c r="O7" s="3"/>
      <c r="S7" s="3" t="s">
        <v>36</v>
      </c>
      <c r="T7" s="61">
        <v>3.14E-3</v>
      </c>
      <c r="U7" s="16" t="s">
        <v>37</v>
      </c>
      <c r="V7" s="16" t="s">
        <v>171</v>
      </c>
      <c r="W7" s="84"/>
    </row>
    <row r="8" spans="2:23" ht="16.899999999999999" customHeight="1" x14ac:dyDescent="0.25">
      <c r="B8" s="94" t="s">
        <v>46</v>
      </c>
      <c r="C8" s="3" t="s">
        <v>106</v>
      </c>
      <c r="D8" s="3"/>
      <c r="E8" s="37" t="s">
        <v>29</v>
      </c>
      <c r="F8" s="11">
        <v>595710.96</v>
      </c>
      <c r="G8" s="3"/>
      <c r="H8" s="3"/>
      <c r="I8" s="3"/>
      <c r="J8" s="3"/>
      <c r="K8" s="3"/>
      <c r="L8" s="3"/>
      <c r="M8" s="3"/>
      <c r="N8" s="3"/>
      <c r="O8" s="3"/>
      <c r="S8" s="3" t="s">
        <v>39</v>
      </c>
      <c r="T8" s="61">
        <v>1.0200000000000001E-2</v>
      </c>
      <c r="U8" s="3" t="s">
        <v>37</v>
      </c>
      <c r="V8" s="16" t="s">
        <v>172</v>
      </c>
      <c r="W8" s="84"/>
    </row>
    <row r="9" spans="2:23" ht="16.899999999999999" customHeight="1" x14ac:dyDescent="0.25">
      <c r="B9" s="85"/>
      <c r="C9" s="3" t="s">
        <v>109</v>
      </c>
      <c r="D9" s="3"/>
      <c r="E9" s="37" t="s">
        <v>29</v>
      </c>
      <c r="F9" s="11">
        <v>111000</v>
      </c>
      <c r="G9" s="3"/>
      <c r="H9" s="3"/>
      <c r="I9" s="3"/>
      <c r="J9" s="3"/>
      <c r="K9" s="3"/>
      <c r="L9" s="3"/>
      <c r="M9" s="3"/>
      <c r="N9" s="3"/>
      <c r="O9" s="3"/>
      <c r="S9" s="3" t="s">
        <v>41</v>
      </c>
      <c r="T9" s="61">
        <v>1.25E-3</v>
      </c>
      <c r="U9" s="3" t="s">
        <v>37</v>
      </c>
      <c r="V9" s="16" t="s">
        <v>173</v>
      </c>
      <c r="W9" s="84"/>
    </row>
    <row r="10" spans="2:23" ht="16.899999999999999" customHeight="1" x14ac:dyDescent="0.25">
      <c r="B10" s="94" t="s">
        <v>116</v>
      </c>
      <c r="C10" s="3" t="s">
        <v>106</v>
      </c>
      <c r="D10" s="3"/>
      <c r="E10" s="3"/>
      <c r="F10" s="37" t="s">
        <v>29</v>
      </c>
      <c r="G10" s="11">
        <v>489747.05</v>
      </c>
      <c r="H10" s="3"/>
      <c r="I10" s="3"/>
      <c r="J10" s="3"/>
      <c r="K10" s="3"/>
      <c r="L10" s="3"/>
      <c r="M10" s="3"/>
      <c r="N10" s="3"/>
      <c r="O10" s="3"/>
      <c r="S10" s="59" t="s">
        <v>43</v>
      </c>
      <c r="T10" s="61">
        <f>10/T16</f>
        <v>0.34423407917383819</v>
      </c>
      <c r="U10" s="16" t="s">
        <v>37</v>
      </c>
      <c r="V10" s="69" t="s">
        <v>174</v>
      </c>
      <c r="W10" s="85"/>
    </row>
    <row r="11" spans="2:23" ht="15.6" customHeight="1" x14ac:dyDescent="0.25">
      <c r="B11" s="85"/>
      <c r="C11" s="3" t="s">
        <v>109</v>
      </c>
      <c r="D11" s="3"/>
      <c r="E11" s="3"/>
      <c r="F11" s="37" t="s">
        <v>29</v>
      </c>
      <c r="G11" s="11">
        <v>53666.67</v>
      </c>
      <c r="H11" s="3"/>
      <c r="I11" s="3"/>
      <c r="J11" s="3"/>
      <c r="K11" s="3"/>
      <c r="L11" s="3"/>
      <c r="M11" s="3"/>
      <c r="N11" s="3"/>
      <c r="O11" s="3"/>
      <c r="S11" s="53" t="s">
        <v>47</v>
      </c>
      <c r="T11" s="54">
        <v>9.0999999999999998E-2</v>
      </c>
      <c r="U11" s="53" t="s">
        <v>37</v>
      </c>
      <c r="V11" s="64" t="s">
        <v>48</v>
      </c>
      <c r="W11" s="53" t="s">
        <v>49</v>
      </c>
    </row>
    <row r="12" spans="2:23" ht="15.6" customHeight="1" x14ac:dyDescent="0.25">
      <c r="B12" s="94" t="s">
        <v>118</v>
      </c>
      <c r="C12" s="3" t="s">
        <v>106</v>
      </c>
      <c r="D12" s="3"/>
      <c r="E12" s="3"/>
      <c r="F12" s="3"/>
      <c r="G12" s="37" t="s">
        <v>29</v>
      </c>
      <c r="H12" s="11">
        <v>301705.23</v>
      </c>
      <c r="I12" s="3"/>
      <c r="J12" s="3"/>
      <c r="K12" s="3"/>
      <c r="L12" s="3"/>
      <c r="M12" s="3"/>
      <c r="N12" s="3"/>
      <c r="O12" s="3"/>
      <c r="S12" s="3" t="s">
        <v>50</v>
      </c>
      <c r="T12" s="61">
        <v>0.115</v>
      </c>
      <c r="U12" s="3" t="s">
        <v>37</v>
      </c>
      <c r="V12" s="3" t="s">
        <v>169</v>
      </c>
      <c r="W12" s="3" t="s">
        <v>52</v>
      </c>
    </row>
    <row r="13" spans="2:23" x14ac:dyDescent="0.25">
      <c r="B13" s="85"/>
      <c r="C13" s="3" t="s">
        <v>109</v>
      </c>
      <c r="D13" s="3"/>
      <c r="E13" s="3"/>
      <c r="F13" s="3"/>
      <c r="G13" s="37" t="s">
        <v>29</v>
      </c>
      <c r="H13" s="11">
        <v>26333.33</v>
      </c>
      <c r="I13" s="3"/>
      <c r="J13" s="3"/>
      <c r="K13" s="3"/>
      <c r="L13" s="3"/>
      <c r="M13" s="3"/>
      <c r="N13" s="3"/>
      <c r="O13" s="3"/>
      <c r="S13" s="60" t="s">
        <v>53</v>
      </c>
      <c r="T13" s="62">
        <f>(SUM(T3:T6)/60)+SUM(T7:T12)</f>
        <v>0.63012407917383817</v>
      </c>
      <c r="U13" s="60" t="s">
        <v>37</v>
      </c>
      <c r="V13" s="60" t="s">
        <v>54</v>
      </c>
    </row>
    <row r="14" spans="2:23" x14ac:dyDescent="0.25">
      <c r="B14" s="94" t="s">
        <v>119</v>
      </c>
      <c r="C14" s="3" t="s">
        <v>106</v>
      </c>
      <c r="D14" s="3"/>
      <c r="E14" s="3"/>
      <c r="F14" s="3"/>
      <c r="G14" s="3"/>
      <c r="H14" s="37" t="s">
        <v>29</v>
      </c>
      <c r="I14" s="11">
        <v>71451.09</v>
      </c>
      <c r="J14" s="3"/>
      <c r="K14" s="3"/>
      <c r="L14" s="3"/>
      <c r="M14" s="3"/>
      <c r="N14" s="3"/>
      <c r="O14" s="3"/>
    </row>
    <row r="15" spans="2:23" ht="16.149999999999999" customHeight="1" x14ac:dyDescent="0.25">
      <c r="B15" s="85"/>
      <c r="C15" s="3" t="s">
        <v>109</v>
      </c>
      <c r="D15" s="3"/>
      <c r="E15" s="3"/>
      <c r="F15" s="3"/>
      <c r="G15" s="3"/>
      <c r="H15" s="37" t="s">
        <v>29</v>
      </c>
      <c r="I15" s="11">
        <v>19333.330000000002</v>
      </c>
      <c r="J15" s="3"/>
      <c r="K15" s="3"/>
      <c r="L15" s="3"/>
      <c r="M15" s="3"/>
      <c r="N15" s="3"/>
      <c r="O15" s="3"/>
      <c r="S15" s="2" t="s">
        <v>55</v>
      </c>
      <c r="T15" s="2" t="s">
        <v>2</v>
      </c>
      <c r="U15" s="2" t="s">
        <v>3</v>
      </c>
      <c r="V15" s="2" t="s">
        <v>4</v>
      </c>
      <c r="W15" s="2" t="s">
        <v>5</v>
      </c>
    </row>
    <row r="16" spans="2:23" ht="15.6" customHeight="1" x14ac:dyDescent="0.25">
      <c r="B16" s="94" t="s">
        <v>120</v>
      </c>
      <c r="C16" s="3" t="s">
        <v>106</v>
      </c>
      <c r="D16" s="3"/>
      <c r="E16" s="3"/>
      <c r="F16" s="3"/>
      <c r="G16" s="3"/>
      <c r="H16" s="3"/>
      <c r="I16" s="37" t="s">
        <v>29</v>
      </c>
      <c r="J16" s="11">
        <v>2869</v>
      </c>
      <c r="K16" s="3"/>
      <c r="L16" s="3"/>
      <c r="M16" s="3"/>
      <c r="N16" s="3"/>
      <c r="O16" s="3"/>
      <c r="S16" s="3" t="s">
        <v>56</v>
      </c>
      <c r="T16" s="25">
        <v>29.05</v>
      </c>
      <c r="U16" s="3" t="s">
        <v>57</v>
      </c>
      <c r="V16" s="3"/>
      <c r="W16" s="3" t="s">
        <v>65</v>
      </c>
    </row>
    <row r="17" spans="2:23" ht="15.6" customHeight="1" x14ac:dyDescent="0.25">
      <c r="B17" s="85"/>
      <c r="C17" s="3" t="s">
        <v>109</v>
      </c>
      <c r="D17" s="3"/>
      <c r="E17" s="3"/>
      <c r="F17" s="3"/>
      <c r="G17" s="3"/>
      <c r="H17" s="3"/>
      <c r="I17" s="37" t="s">
        <v>29</v>
      </c>
      <c r="J17" s="11">
        <v>16666.669999999998</v>
      </c>
      <c r="K17" s="3"/>
      <c r="L17" s="3"/>
      <c r="M17" s="3"/>
      <c r="N17" s="3"/>
      <c r="O17" s="3"/>
      <c r="S17" s="53" t="s">
        <v>60</v>
      </c>
      <c r="T17" s="58">
        <v>8.7849999999999998E-2</v>
      </c>
      <c r="U17" s="53" t="s">
        <v>61</v>
      </c>
      <c r="V17" s="55"/>
      <c r="W17" s="53" t="s">
        <v>62</v>
      </c>
    </row>
    <row r="18" spans="2:23" ht="16.149999999999999" customHeight="1" x14ac:dyDescent="0.25">
      <c r="B18" s="94" t="s">
        <v>121</v>
      </c>
      <c r="C18" s="3" t="s">
        <v>106</v>
      </c>
      <c r="D18" s="3"/>
      <c r="E18" s="3"/>
      <c r="F18" s="3"/>
      <c r="G18" s="3"/>
      <c r="H18" s="3"/>
      <c r="I18" s="3"/>
      <c r="J18" s="37" t="s">
        <v>29</v>
      </c>
      <c r="K18" s="11">
        <v>351.04</v>
      </c>
      <c r="L18" s="3"/>
      <c r="M18" s="3"/>
      <c r="N18" s="3"/>
      <c r="O18" s="3"/>
      <c r="S18" s="3" t="s">
        <v>63</v>
      </c>
      <c r="T18" s="4">
        <v>1.78</v>
      </c>
      <c r="U18" s="16" t="s">
        <v>64</v>
      </c>
      <c r="V18" s="3"/>
      <c r="W18" s="3" t="s">
        <v>65</v>
      </c>
    </row>
    <row r="19" spans="2:23" x14ac:dyDescent="0.25">
      <c r="B19" s="85"/>
      <c r="C19" s="3" t="s">
        <v>109</v>
      </c>
      <c r="D19" s="3"/>
      <c r="E19" s="3"/>
      <c r="F19" s="3"/>
      <c r="G19" s="3"/>
      <c r="H19" s="3"/>
      <c r="I19" s="3"/>
      <c r="J19" s="37" t="s">
        <v>29</v>
      </c>
      <c r="K19" s="11">
        <v>21333.33</v>
      </c>
      <c r="L19" s="3"/>
      <c r="M19" s="3"/>
      <c r="N19" s="3"/>
      <c r="O19" s="3"/>
      <c r="S19" s="3" t="s">
        <v>66</v>
      </c>
      <c r="T19" s="4">
        <v>36</v>
      </c>
      <c r="U19" s="3" t="s">
        <v>67</v>
      </c>
      <c r="V19" s="3"/>
    </row>
    <row r="20" spans="2:23" x14ac:dyDescent="0.25">
      <c r="B20" s="94" t="s">
        <v>122</v>
      </c>
      <c r="C20" s="3" t="s">
        <v>106</v>
      </c>
      <c r="D20" s="3"/>
      <c r="E20" s="3"/>
      <c r="F20" s="3"/>
      <c r="G20" s="3"/>
      <c r="H20" s="3"/>
      <c r="I20" s="3"/>
      <c r="J20" s="3"/>
      <c r="K20" s="37" t="s">
        <v>29</v>
      </c>
      <c r="L20" s="11">
        <v>514.51</v>
      </c>
      <c r="M20" s="3"/>
      <c r="N20" s="3"/>
      <c r="O20" s="3"/>
      <c r="S20" s="19" t="s">
        <v>68</v>
      </c>
      <c r="T20" s="4">
        <v>0.5</v>
      </c>
      <c r="U20" s="17" t="s">
        <v>69</v>
      </c>
      <c r="V20" s="3"/>
      <c r="W20" s="95" t="s">
        <v>9</v>
      </c>
    </row>
    <row r="21" spans="2:23" x14ac:dyDescent="0.25">
      <c r="B21" s="85"/>
      <c r="C21" s="3" t="s">
        <v>109</v>
      </c>
      <c r="D21" s="3"/>
      <c r="E21" s="3"/>
      <c r="F21" s="3"/>
      <c r="G21" s="3"/>
      <c r="H21" s="3"/>
      <c r="I21" s="3"/>
      <c r="J21" s="3"/>
      <c r="K21" s="37" t="s">
        <v>29</v>
      </c>
      <c r="L21" s="11">
        <v>36000</v>
      </c>
      <c r="M21" s="3"/>
      <c r="N21" s="3"/>
      <c r="O21" s="3"/>
      <c r="S21" s="19" t="s">
        <v>70</v>
      </c>
      <c r="T21" s="4">
        <v>0.4</v>
      </c>
      <c r="U21" s="18" t="s">
        <v>69</v>
      </c>
      <c r="V21" s="3"/>
      <c r="W21" s="85"/>
    </row>
    <row r="22" spans="2:23" x14ac:dyDescent="0.25">
      <c r="B22" s="94" t="s">
        <v>133</v>
      </c>
      <c r="C22" s="3" t="s">
        <v>106</v>
      </c>
      <c r="D22" s="3"/>
      <c r="E22" s="3"/>
      <c r="F22" s="3"/>
      <c r="G22" s="3"/>
      <c r="H22" s="3"/>
      <c r="I22" s="3"/>
      <c r="J22" s="3"/>
      <c r="K22" s="3"/>
      <c r="L22" s="37" t="s">
        <v>29</v>
      </c>
      <c r="M22" s="11">
        <v>5418.37</v>
      </c>
      <c r="N22" s="3"/>
      <c r="O22" s="3"/>
      <c r="S22" s="3" t="s">
        <v>71</v>
      </c>
      <c r="T22" s="4" t="s">
        <v>72</v>
      </c>
      <c r="U22" s="3"/>
      <c r="V22" s="3"/>
      <c r="W22" s="3"/>
    </row>
    <row r="23" spans="2:23" x14ac:dyDescent="0.25">
      <c r="B23" s="85"/>
      <c r="C23" s="3" t="s">
        <v>109</v>
      </c>
      <c r="D23" s="3"/>
      <c r="E23" s="3"/>
      <c r="F23" s="3"/>
      <c r="G23" s="3"/>
      <c r="H23" s="3"/>
      <c r="I23" s="3"/>
      <c r="J23" s="3"/>
      <c r="K23" s="3"/>
      <c r="L23" s="37" t="s">
        <v>29</v>
      </c>
      <c r="M23" s="11">
        <v>74333.33</v>
      </c>
      <c r="N23" s="3"/>
      <c r="O23" s="3"/>
      <c r="S23" s="3" t="s">
        <v>74</v>
      </c>
      <c r="T23" s="4">
        <v>10000</v>
      </c>
      <c r="U23" s="3" t="s">
        <v>75</v>
      </c>
      <c r="V23" s="3" t="s">
        <v>76</v>
      </c>
      <c r="W23" s="3"/>
    </row>
    <row r="24" spans="2:23" ht="16.149999999999999" customHeight="1" x14ac:dyDescent="0.25">
      <c r="B24" s="94" t="s">
        <v>134</v>
      </c>
      <c r="C24" s="3" t="s">
        <v>106</v>
      </c>
      <c r="D24" s="3"/>
      <c r="E24" s="3"/>
      <c r="F24" s="3"/>
      <c r="G24" s="3"/>
      <c r="H24" s="3"/>
      <c r="I24" s="3"/>
      <c r="J24" s="3"/>
      <c r="K24" s="3"/>
      <c r="L24" s="3"/>
      <c r="M24" s="37" t="s">
        <v>29</v>
      </c>
      <c r="N24" s="11">
        <v>92513.37</v>
      </c>
      <c r="O24" s="3"/>
      <c r="S24" s="3" t="s">
        <v>79</v>
      </c>
      <c r="T24" s="76" t="s">
        <v>124</v>
      </c>
      <c r="U24" s="3" t="s">
        <v>81</v>
      </c>
      <c r="V24" s="3" t="s">
        <v>125</v>
      </c>
      <c r="W24" s="6" t="s">
        <v>83</v>
      </c>
    </row>
    <row r="25" spans="2:23" x14ac:dyDescent="0.25">
      <c r="B25" s="85"/>
      <c r="C25" s="3" t="s">
        <v>109</v>
      </c>
      <c r="D25" s="3"/>
      <c r="E25" s="3"/>
      <c r="F25" s="3"/>
      <c r="G25" s="3"/>
      <c r="H25" s="3"/>
      <c r="I25" s="3"/>
      <c r="J25" s="3"/>
      <c r="K25" s="3"/>
      <c r="L25" s="3"/>
      <c r="M25" s="37" t="s">
        <v>29</v>
      </c>
      <c r="N25" s="11">
        <v>142666.67000000001</v>
      </c>
      <c r="O25" s="3"/>
      <c r="S25" s="3" t="s">
        <v>85</v>
      </c>
      <c r="T25" s="76">
        <v>10.8</v>
      </c>
      <c r="U25" s="3" t="s">
        <v>86</v>
      </c>
      <c r="V25" s="3" t="s">
        <v>87</v>
      </c>
      <c r="W25" s="6" t="s">
        <v>88</v>
      </c>
    </row>
    <row r="26" spans="2:23" ht="15.6" customHeight="1" x14ac:dyDescent="0.25">
      <c r="B26" s="94" t="s">
        <v>135</v>
      </c>
      <c r="C26" s="3" t="s">
        <v>106</v>
      </c>
      <c r="D26" s="3"/>
      <c r="E26" s="3"/>
      <c r="F26" s="3"/>
      <c r="G26" s="3"/>
      <c r="H26" s="3"/>
      <c r="I26" s="3"/>
      <c r="J26" s="3"/>
      <c r="K26" s="3"/>
      <c r="L26" s="3"/>
      <c r="M26" s="3"/>
      <c r="N26" s="37" t="s">
        <v>29</v>
      </c>
      <c r="O26" s="11">
        <v>298341.49</v>
      </c>
      <c r="S26" s="3" t="s">
        <v>90</v>
      </c>
      <c r="T26" s="76">
        <v>15</v>
      </c>
      <c r="U26" s="3" t="s">
        <v>91</v>
      </c>
      <c r="V26" s="3" t="s">
        <v>92</v>
      </c>
      <c r="W26" s="3" t="s">
        <v>93</v>
      </c>
    </row>
    <row r="27" spans="2:23" ht="16.149999999999999" customHeight="1" x14ac:dyDescent="0.25">
      <c r="B27" s="85"/>
      <c r="C27" s="3" t="s">
        <v>109</v>
      </c>
      <c r="D27" s="3"/>
      <c r="E27" s="3"/>
      <c r="F27" s="3"/>
      <c r="G27" s="3"/>
      <c r="H27" s="3"/>
      <c r="I27" s="3"/>
      <c r="J27" s="3"/>
      <c r="K27" s="3"/>
      <c r="L27" s="3"/>
      <c r="M27" s="3"/>
      <c r="N27" s="37" t="s">
        <v>29</v>
      </c>
      <c r="O27" s="11">
        <v>205333.33</v>
      </c>
      <c r="S27" s="3" t="s">
        <v>94</v>
      </c>
      <c r="T27" s="76">
        <v>100</v>
      </c>
      <c r="U27" s="3" t="s">
        <v>95</v>
      </c>
      <c r="V27" s="3" t="s">
        <v>96</v>
      </c>
      <c r="W27" s="3" t="s">
        <v>97</v>
      </c>
    </row>
    <row r="28" spans="2:23" ht="15.6" customHeight="1" x14ac:dyDescent="0.25">
      <c r="B28" s="96" t="s">
        <v>123</v>
      </c>
      <c r="C28" s="97"/>
      <c r="D28" s="20"/>
      <c r="E28" s="22">
        <f>$T$13+((E6*$T$18/$T$19)+(E7*$T$17))/($T$16/11)/10000</f>
        <v>2.6436104307861918</v>
      </c>
      <c r="F28" s="22">
        <f>$T$13+((F8*$T$18/$T$19)+(F9*$T$17))/($T$16/11)/10000</f>
        <v>2.1146866338496841</v>
      </c>
      <c r="G28" s="22">
        <f>$T$13+((G10*$T$18/$T$19)+(G11*$T$17))/($T$16/11)/10000</f>
        <v>1.7255759394685408</v>
      </c>
      <c r="H28" s="22">
        <f>$T$13+((H12*$T$18/$T$19)+(H13*$T$17))/($T$16/11)/10000</f>
        <v>1.2825899509885255</v>
      </c>
      <c r="I28" s="22">
        <f>$T$13+((I14*$T$18/$T$19)+(I15*$T$17))/($T$16/11)/10000</f>
        <v>0.82821088604302917</v>
      </c>
      <c r="J28" s="22">
        <f>$T$13+((J16*$T$18/$T$19)+(J17*$T$17))/($T$16/11)/10000</f>
        <v>0.69093734518665129</v>
      </c>
      <c r="K28" s="22">
        <f>$T$13+((K18*$T$18/$T$19)+(K19*$T$17))/($T$16/11)/10000</f>
        <v>0.70174676489175747</v>
      </c>
      <c r="L28" s="22">
        <f>$T$13+((L20*$T$18/$T$19)+(L21*$T$17))/($T$16/11)/10000</f>
        <v>0.7508415878561866</v>
      </c>
      <c r="M28" s="22">
        <f>$T$13+((M22*$T$18/$T$19)+(M23*$T$17))/($T$16/11)/10000</f>
        <v>0.88753889736450553</v>
      </c>
      <c r="N28" s="22">
        <f>$T$13+((N24*$T$18/$T$19)+(N25*$T$17))/($T$16/11)/10000</f>
        <v>1.277913857387837</v>
      </c>
      <c r="O28" s="22">
        <f>$T$13+((O26*$T$18/$T$19)+(O27*$T$17))/($T$16/11)/10000</f>
        <v>1.871736764031172</v>
      </c>
      <c r="S28" s="3" t="s">
        <v>98</v>
      </c>
      <c r="T28" s="76">
        <v>100</v>
      </c>
      <c r="U28" s="3" t="s">
        <v>99</v>
      </c>
      <c r="V28" s="3"/>
      <c r="W28" s="6" t="s">
        <v>100</v>
      </c>
    </row>
    <row r="29" spans="2:23" ht="100.9" customHeight="1" x14ac:dyDescent="0.25">
      <c r="S29" s="80" t="s">
        <v>101</v>
      </c>
      <c r="T29" s="79">
        <v>20</v>
      </c>
      <c r="U29" s="80" t="s">
        <v>102</v>
      </c>
      <c r="V29" s="80"/>
      <c r="W29" s="81" t="s">
        <v>103</v>
      </c>
    </row>
    <row r="33" spans="2:15" x14ac:dyDescent="0.25">
      <c r="D33" s="7" t="s">
        <v>14</v>
      </c>
      <c r="E33" s="7" t="s">
        <v>15</v>
      </c>
      <c r="F33" s="7" t="s">
        <v>16</v>
      </c>
      <c r="G33" s="7" t="s">
        <v>17</v>
      </c>
      <c r="H33" s="7" t="s">
        <v>18</v>
      </c>
      <c r="I33" s="7" t="s">
        <v>19</v>
      </c>
      <c r="J33" s="7" t="s">
        <v>20</v>
      </c>
      <c r="K33" s="7" t="s">
        <v>21</v>
      </c>
      <c r="L33" s="7" t="s">
        <v>22</v>
      </c>
      <c r="M33" s="7" t="s">
        <v>23</v>
      </c>
      <c r="N33" s="7" t="s">
        <v>24</v>
      </c>
      <c r="O33" s="7" t="s">
        <v>25</v>
      </c>
    </row>
    <row r="34" spans="2:15" ht="15.6" customHeight="1" x14ac:dyDescent="0.25">
      <c r="B34" s="90" t="s">
        <v>136</v>
      </c>
      <c r="C34" s="91"/>
      <c r="D34" s="22"/>
      <c r="E34" s="22">
        <f t="shared" ref="E34:O34" si="0">E28</f>
        <v>2.6436104307861918</v>
      </c>
      <c r="F34" s="22">
        <f t="shared" si="0"/>
        <v>2.1146866338496841</v>
      </c>
      <c r="G34" s="22">
        <f t="shared" si="0"/>
        <v>1.7255759394685408</v>
      </c>
      <c r="H34" s="22">
        <f t="shared" si="0"/>
        <v>1.2825899509885255</v>
      </c>
      <c r="I34" s="22">
        <f t="shared" si="0"/>
        <v>0.82821088604302917</v>
      </c>
      <c r="J34" s="22">
        <f t="shared" si="0"/>
        <v>0.69093734518665129</v>
      </c>
      <c r="K34" s="22">
        <f t="shared" si="0"/>
        <v>0.70174676489175747</v>
      </c>
      <c r="L34" s="22">
        <f t="shared" si="0"/>
        <v>0.7508415878561866</v>
      </c>
      <c r="M34" s="22">
        <f t="shared" si="0"/>
        <v>0.88753889736450553</v>
      </c>
      <c r="N34" s="22">
        <f t="shared" si="0"/>
        <v>1.277913857387837</v>
      </c>
      <c r="O34" s="22">
        <f t="shared" si="0"/>
        <v>1.871736764031172</v>
      </c>
    </row>
  </sheetData>
  <mergeCells count="16">
    <mergeCell ref="B22:B23"/>
    <mergeCell ref="B18:B19"/>
    <mergeCell ref="B34:C34"/>
    <mergeCell ref="B28:C28"/>
    <mergeCell ref="B26:B27"/>
    <mergeCell ref="B24:B25"/>
    <mergeCell ref="W3:W5"/>
    <mergeCell ref="B8:B9"/>
    <mergeCell ref="B16:B17"/>
    <mergeCell ref="B10:B11"/>
    <mergeCell ref="B20:B21"/>
    <mergeCell ref="W20:W21"/>
    <mergeCell ref="B6:B7"/>
    <mergeCell ref="B14:B15"/>
    <mergeCell ref="W6:W10"/>
    <mergeCell ref="B12:B13"/>
  </mergeCells>
  <pageMargins left="0.75" right="0.75" top="1" bottom="1" header="0.5" footer="0.5"/>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W53"/>
  <sheetViews>
    <sheetView topLeftCell="W13" zoomScale="90" zoomScaleNormal="90" workbookViewId="0">
      <selection activeCell="Y29" sqref="Y29"/>
    </sheetView>
  </sheetViews>
  <sheetFormatPr defaultRowHeight="15" x14ac:dyDescent="0.25"/>
  <cols>
    <col min="2" max="2" width="32.7109375" customWidth="1"/>
    <col min="3" max="3" width="32.140625" bestFit="1" customWidth="1"/>
    <col min="4" max="7" width="10.5703125" bestFit="1" customWidth="1"/>
    <col min="8" max="8" width="11.140625" bestFit="1" customWidth="1"/>
    <col min="9" max="11" width="9.5703125" bestFit="1" customWidth="1"/>
    <col min="12" max="12" width="8.5703125" bestFit="1" customWidth="1"/>
    <col min="13" max="13" width="9.5703125" bestFit="1" customWidth="1"/>
    <col min="14" max="15" width="10.5703125" bestFit="1" customWidth="1"/>
    <col min="19" max="19" width="38.85546875" bestFit="1" customWidth="1"/>
    <col min="20" max="20" width="13.7109375" customWidth="1"/>
    <col min="21" max="21" width="18.7109375" bestFit="1" customWidth="1"/>
    <col min="22" max="22" width="60.28515625" bestFit="1" customWidth="1"/>
    <col min="23" max="23" width="97.7109375" customWidth="1"/>
  </cols>
  <sheetData>
    <row r="1" spans="2:23" x14ac:dyDescent="0.25">
      <c r="B1" s="28" t="s">
        <v>175</v>
      </c>
    </row>
    <row r="2" spans="2:23" x14ac:dyDescent="0.25">
      <c r="S2" s="2" t="s">
        <v>1</v>
      </c>
      <c r="T2" s="2" t="s">
        <v>2</v>
      </c>
      <c r="U2" s="2" t="s">
        <v>3</v>
      </c>
      <c r="V2" s="2" t="s">
        <v>4</v>
      </c>
      <c r="W2" s="2" t="s">
        <v>5</v>
      </c>
    </row>
    <row r="3" spans="2:23" ht="16.899999999999999" customHeight="1" x14ac:dyDescent="0.25">
      <c r="S3" s="53" t="s">
        <v>6</v>
      </c>
      <c r="T3" s="54">
        <v>2.86</v>
      </c>
      <c r="U3" s="53" t="s">
        <v>7</v>
      </c>
      <c r="V3" s="53" t="s">
        <v>8</v>
      </c>
      <c r="W3" s="87" t="s">
        <v>9</v>
      </c>
    </row>
    <row r="4" spans="2:23" ht="16.899999999999999" customHeight="1" x14ac:dyDescent="0.25">
      <c r="S4" s="53" t="s">
        <v>10</v>
      </c>
      <c r="T4" s="54">
        <v>0.22</v>
      </c>
      <c r="U4" s="53" t="s">
        <v>7</v>
      </c>
      <c r="V4" s="53" t="s">
        <v>11</v>
      </c>
      <c r="W4" s="84"/>
    </row>
    <row r="5" spans="2:23" ht="16.899999999999999" customHeight="1" x14ac:dyDescent="0.25">
      <c r="B5" s="94" t="s">
        <v>12</v>
      </c>
      <c r="C5" s="6" t="s">
        <v>13</v>
      </c>
      <c r="D5" s="7" t="s">
        <v>14</v>
      </c>
      <c r="E5" s="7" t="s">
        <v>15</v>
      </c>
      <c r="F5" s="7" t="s">
        <v>16</v>
      </c>
      <c r="G5" s="7" t="s">
        <v>17</v>
      </c>
      <c r="H5" s="7" t="s">
        <v>18</v>
      </c>
      <c r="I5" s="7" t="s">
        <v>19</v>
      </c>
      <c r="J5" s="7" t="s">
        <v>20</v>
      </c>
      <c r="K5" s="7" t="s">
        <v>21</v>
      </c>
      <c r="L5" s="7" t="s">
        <v>22</v>
      </c>
      <c r="M5" s="7" t="s">
        <v>23</v>
      </c>
      <c r="N5" s="7" t="s">
        <v>24</v>
      </c>
      <c r="O5" s="7" t="s">
        <v>25</v>
      </c>
      <c r="S5" s="53" t="s">
        <v>26</v>
      </c>
      <c r="T5" s="54">
        <v>0.70099999999999996</v>
      </c>
      <c r="U5" s="53" t="s">
        <v>7</v>
      </c>
      <c r="V5" s="53" t="s">
        <v>27</v>
      </c>
      <c r="W5" s="85"/>
    </row>
    <row r="6" spans="2:23" ht="16.899999999999999" customHeight="1" x14ac:dyDescent="0.25">
      <c r="B6" s="84"/>
      <c r="C6" s="3" t="s">
        <v>28</v>
      </c>
      <c r="D6" s="8" t="s">
        <v>29</v>
      </c>
      <c r="E6" s="8" t="s">
        <v>29</v>
      </c>
      <c r="F6" s="9">
        <v>3492504.88</v>
      </c>
      <c r="G6" s="9">
        <v>1521837.41</v>
      </c>
      <c r="H6" s="9">
        <v>1021995.1</v>
      </c>
      <c r="I6" s="9">
        <v>620423.4</v>
      </c>
      <c r="J6" s="9">
        <v>317496.17</v>
      </c>
      <c r="K6" s="9">
        <v>164663.57999999999</v>
      </c>
      <c r="L6" s="9">
        <v>218911.6</v>
      </c>
      <c r="M6" s="9">
        <v>638072.46</v>
      </c>
      <c r="N6" s="9">
        <v>2189655.77</v>
      </c>
      <c r="O6" s="10" t="s">
        <v>30</v>
      </c>
      <c r="S6" s="3" t="s">
        <v>31</v>
      </c>
      <c r="T6" s="21">
        <v>5.7200000000000001E-2</v>
      </c>
      <c r="U6" s="3" t="s">
        <v>32</v>
      </c>
      <c r="V6" s="3" t="s">
        <v>33</v>
      </c>
      <c r="W6" s="19" t="s">
        <v>115</v>
      </c>
    </row>
    <row r="7" spans="2:23" ht="16.899999999999999" customHeight="1" x14ac:dyDescent="0.25">
      <c r="B7" s="85"/>
      <c r="C7" s="3" t="s">
        <v>35</v>
      </c>
      <c r="D7" s="8" t="s">
        <v>29</v>
      </c>
      <c r="E7" s="8" t="s">
        <v>29</v>
      </c>
      <c r="F7" s="9">
        <v>229583.33</v>
      </c>
      <c r="G7" s="9">
        <v>87583.33</v>
      </c>
      <c r="H7" s="9">
        <v>42833.33</v>
      </c>
      <c r="I7" s="9">
        <v>21666.67</v>
      </c>
      <c r="J7" s="9">
        <v>17500</v>
      </c>
      <c r="K7" s="9">
        <v>16166.67</v>
      </c>
      <c r="L7" s="9">
        <v>28833.33</v>
      </c>
      <c r="M7" s="9">
        <v>74000</v>
      </c>
      <c r="N7" s="9">
        <v>198833.33</v>
      </c>
      <c r="O7" s="10" t="s">
        <v>30</v>
      </c>
      <c r="S7" s="3" t="s">
        <v>36</v>
      </c>
      <c r="T7" s="21">
        <v>4.13E-3</v>
      </c>
      <c r="U7" s="3" t="s">
        <v>37</v>
      </c>
      <c r="V7" s="3" t="s">
        <v>176</v>
      </c>
      <c r="W7" s="86" t="s">
        <v>151</v>
      </c>
    </row>
    <row r="8" spans="2:23" ht="16.899999999999999" customHeight="1" x14ac:dyDescent="0.25">
      <c r="S8" s="3" t="s">
        <v>39</v>
      </c>
      <c r="T8" s="21">
        <v>5.7000000000000002E-3</v>
      </c>
      <c r="U8" s="3" t="s">
        <v>37</v>
      </c>
      <c r="V8" s="3" t="s">
        <v>177</v>
      </c>
      <c r="W8" s="84"/>
    </row>
    <row r="9" spans="2:23" ht="16.899999999999999" customHeight="1" x14ac:dyDescent="0.25">
      <c r="S9" s="3" t="s">
        <v>41</v>
      </c>
      <c r="T9" s="21">
        <v>2.4899999999999998E-4</v>
      </c>
      <c r="U9" s="3" t="s">
        <v>37</v>
      </c>
      <c r="V9" s="3" t="s">
        <v>178</v>
      </c>
      <c r="W9" s="85"/>
    </row>
    <row r="10" spans="2:23" ht="16.899999999999999" customHeight="1" x14ac:dyDescent="0.25">
      <c r="S10" s="59" t="s">
        <v>43</v>
      </c>
      <c r="T10" s="21">
        <f>16/T16</f>
        <v>0.26666666666666666</v>
      </c>
      <c r="U10" s="3" t="s">
        <v>37</v>
      </c>
      <c r="V10" t="s">
        <v>44</v>
      </c>
      <c r="W10" t="s">
        <v>45</v>
      </c>
    </row>
    <row r="11" spans="2:23" ht="15.6" customHeight="1" x14ac:dyDescent="0.25">
      <c r="B11" s="94" t="s">
        <v>46</v>
      </c>
      <c r="C11" s="6" t="s">
        <v>13</v>
      </c>
      <c r="D11" s="7" t="s">
        <v>14</v>
      </c>
      <c r="E11" s="7" t="s">
        <v>15</v>
      </c>
      <c r="F11" s="7" t="s">
        <v>16</v>
      </c>
      <c r="G11" s="7" t="s">
        <v>17</v>
      </c>
      <c r="H11" s="7" t="s">
        <v>18</v>
      </c>
      <c r="I11" s="7" t="s">
        <v>19</v>
      </c>
      <c r="J11" s="7" t="s">
        <v>20</v>
      </c>
      <c r="K11" s="7" t="s">
        <v>21</v>
      </c>
      <c r="L11" s="7" t="s">
        <v>22</v>
      </c>
      <c r="M11" s="7" t="s">
        <v>23</v>
      </c>
      <c r="N11" s="7" t="s">
        <v>24</v>
      </c>
      <c r="O11" s="7" t="s">
        <v>25</v>
      </c>
      <c r="S11" s="53" t="s">
        <v>47</v>
      </c>
      <c r="T11" s="54">
        <v>9.0999999999999998E-2</v>
      </c>
      <c r="U11" s="53" t="s">
        <v>37</v>
      </c>
      <c r="V11" s="53" t="s">
        <v>48</v>
      </c>
      <c r="W11" s="53" t="s">
        <v>49</v>
      </c>
    </row>
    <row r="12" spans="2:23" ht="15.6" customHeight="1" x14ac:dyDescent="0.25">
      <c r="B12" s="84"/>
      <c r="C12" s="3" t="s">
        <v>28</v>
      </c>
      <c r="D12" s="9">
        <v>2260784.6</v>
      </c>
      <c r="E12" s="9">
        <v>1932610.36</v>
      </c>
      <c r="F12" s="9">
        <v>1702984.57</v>
      </c>
      <c r="G12" s="9">
        <v>1279277.49</v>
      </c>
      <c r="H12" s="9">
        <v>1021995.1</v>
      </c>
      <c r="I12" s="9">
        <v>620423.4</v>
      </c>
      <c r="J12" s="9">
        <v>340919.11</v>
      </c>
      <c r="K12" s="9">
        <v>338096.24</v>
      </c>
      <c r="L12" s="10" t="s">
        <v>30</v>
      </c>
      <c r="M12" s="8" t="s">
        <v>29</v>
      </c>
      <c r="N12" s="8" t="s">
        <v>29</v>
      </c>
      <c r="O12" s="9">
        <v>2419317.89</v>
      </c>
      <c r="S12" s="3" t="s">
        <v>50</v>
      </c>
      <c r="T12" s="21">
        <v>0.01</v>
      </c>
      <c r="U12" s="3" t="s">
        <v>37</v>
      </c>
      <c r="V12" s="3" t="s">
        <v>179</v>
      </c>
      <c r="W12" s="3" t="s">
        <v>52</v>
      </c>
    </row>
    <row r="13" spans="2:23" x14ac:dyDescent="0.25">
      <c r="B13" s="85"/>
      <c r="C13" s="3" t="s">
        <v>35</v>
      </c>
      <c r="D13" s="9">
        <v>156416.67000000001</v>
      </c>
      <c r="E13" s="9">
        <v>138833.32999999999</v>
      </c>
      <c r="F13" s="9">
        <v>110666.67</v>
      </c>
      <c r="G13" s="9">
        <v>70000</v>
      </c>
      <c r="H13" s="9">
        <v>42833.33</v>
      </c>
      <c r="I13" s="9">
        <v>21666.67</v>
      </c>
      <c r="J13" s="9">
        <v>20416.669999999998</v>
      </c>
      <c r="K13" s="9">
        <v>32416.67</v>
      </c>
      <c r="L13" s="10" t="s">
        <v>30</v>
      </c>
      <c r="M13" s="8" t="s">
        <v>29</v>
      </c>
      <c r="N13" s="8" t="s">
        <v>29</v>
      </c>
      <c r="O13" s="9">
        <v>220750</v>
      </c>
      <c r="S13" s="56" t="s">
        <v>53</v>
      </c>
      <c r="T13" s="57">
        <f>(SUM(T3:T6)/60)+SUM(T7:T12)</f>
        <v>0.44171566666666662</v>
      </c>
      <c r="U13" s="56" t="s">
        <v>37</v>
      </c>
      <c r="V13" s="56" t="s">
        <v>54</v>
      </c>
      <c r="W13" s="3"/>
    </row>
    <row r="15" spans="2:23" ht="16.149999999999999" customHeight="1" x14ac:dyDescent="0.25">
      <c r="S15" s="2" t="s">
        <v>55</v>
      </c>
      <c r="T15" s="2" t="s">
        <v>2</v>
      </c>
      <c r="U15" s="2" t="s">
        <v>3</v>
      </c>
      <c r="V15" s="2" t="s">
        <v>4</v>
      </c>
      <c r="W15" s="2" t="s">
        <v>5</v>
      </c>
    </row>
    <row r="16" spans="2:23" ht="15.6" customHeight="1" x14ac:dyDescent="0.25">
      <c r="S16" s="3" t="s">
        <v>56</v>
      </c>
      <c r="T16" s="25">
        <v>60</v>
      </c>
      <c r="U16" s="3" t="s">
        <v>57</v>
      </c>
      <c r="V16" s="3"/>
      <c r="W16" s="3" t="s">
        <v>58</v>
      </c>
    </row>
    <row r="17" spans="2:23" ht="16.899999999999999" customHeight="1" x14ac:dyDescent="0.25">
      <c r="B17" s="83" t="s">
        <v>59</v>
      </c>
      <c r="C17" s="6" t="s">
        <v>13</v>
      </c>
      <c r="D17" s="7" t="s">
        <v>14</v>
      </c>
      <c r="E17" s="7" t="s">
        <v>15</v>
      </c>
      <c r="F17" s="7" t="s">
        <v>16</v>
      </c>
      <c r="G17" s="7" t="s">
        <v>17</v>
      </c>
      <c r="H17" s="7" t="s">
        <v>18</v>
      </c>
      <c r="I17" s="7" t="s">
        <v>19</v>
      </c>
      <c r="J17" s="7" t="s">
        <v>20</v>
      </c>
      <c r="K17" s="7" t="s">
        <v>21</v>
      </c>
      <c r="L17" s="7" t="s">
        <v>22</v>
      </c>
      <c r="M17" s="7" t="s">
        <v>23</v>
      </c>
      <c r="N17" s="7" t="s">
        <v>24</v>
      </c>
      <c r="O17" s="7" t="s">
        <v>25</v>
      </c>
      <c r="S17" s="53" t="s">
        <v>60</v>
      </c>
      <c r="T17" s="58">
        <v>0.128</v>
      </c>
      <c r="U17" s="53" t="s">
        <v>61</v>
      </c>
      <c r="V17" s="53"/>
      <c r="W17" s="67" t="s">
        <v>180</v>
      </c>
    </row>
    <row r="18" spans="2:23" ht="16.149999999999999" customHeight="1" x14ac:dyDescent="0.25">
      <c r="B18" s="84"/>
      <c r="C18" s="3" t="s">
        <v>28</v>
      </c>
      <c r="D18" s="9">
        <f>D12</f>
        <v>2260784.6</v>
      </c>
      <c r="E18" s="9">
        <f>E12</f>
        <v>1932610.36</v>
      </c>
      <c r="F18" s="9">
        <f t="shared" ref="F18:K19" si="0">(F6+F12)/2</f>
        <v>2597744.7250000001</v>
      </c>
      <c r="G18" s="9">
        <f t="shared" si="0"/>
        <v>1400557.45</v>
      </c>
      <c r="H18" s="9">
        <f t="shared" si="0"/>
        <v>1021995.1</v>
      </c>
      <c r="I18" s="9">
        <f t="shared" si="0"/>
        <v>620423.4</v>
      </c>
      <c r="J18" s="9">
        <f t="shared" si="0"/>
        <v>329207.64</v>
      </c>
      <c r="K18" s="9">
        <f t="shared" si="0"/>
        <v>251379.90999999997</v>
      </c>
      <c r="L18" s="9">
        <f t="shared" ref="L18:N19" si="1">L6</f>
        <v>218911.6</v>
      </c>
      <c r="M18" s="9">
        <f t="shared" si="1"/>
        <v>638072.46</v>
      </c>
      <c r="N18" s="9">
        <f t="shared" si="1"/>
        <v>2189655.77</v>
      </c>
      <c r="O18" s="9">
        <f>O12</f>
        <v>2419317.89</v>
      </c>
      <c r="S18" s="3" t="s">
        <v>63</v>
      </c>
      <c r="T18" s="4">
        <v>1.78</v>
      </c>
      <c r="U18" s="16" t="s">
        <v>64</v>
      </c>
      <c r="V18" s="3"/>
      <c r="W18" s="3" t="s">
        <v>65</v>
      </c>
    </row>
    <row r="19" spans="2:23" ht="14.45" customHeight="1" x14ac:dyDescent="0.25">
      <c r="B19" s="85"/>
      <c r="C19" s="3" t="s">
        <v>35</v>
      </c>
      <c r="D19" s="9">
        <f>D13</f>
        <v>156416.67000000001</v>
      </c>
      <c r="E19" s="9">
        <f>E13</f>
        <v>138833.32999999999</v>
      </c>
      <c r="F19" s="9">
        <f t="shared" si="0"/>
        <v>170125</v>
      </c>
      <c r="G19" s="9">
        <f t="shared" si="0"/>
        <v>78791.665000000008</v>
      </c>
      <c r="H19" s="9">
        <f t="shared" si="0"/>
        <v>42833.33</v>
      </c>
      <c r="I19" s="9">
        <f t="shared" si="0"/>
        <v>21666.67</v>
      </c>
      <c r="J19" s="9">
        <f t="shared" si="0"/>
        <v>18958.334999999999</v>
      </c>
      <c r="K19" s="9">
        <f t="shared" si="0"/>
        <v>24291.67</v>
      </c>
      <c r="L19" s="9">
        <f t="shared" si="1"/>
        <v>28833.33</v>
      </c>
      <c r="M19" s="9">
        <f t="shared" si="1"/>
        <v>74000</v>
      </c>
      <c r="N19" s="9">
        <f t="shared" si="1"/>
        <v>198833.33</v>
      </c>
      <c r="O19" s="9">
        <f>O13</f>
        <v>220750</v>
      </c>
      <c r="S19" s="3" t="s">
        <v>66</v>
      </c>
      <c r="T19" s="4">
        <v>36</v>
      </c>
      <c r="U19" s="3" t="s">
        <v>67</v>
      </c>
      <c r="V19" s="3"/>
      <c r="W19" s="3"/>
    </row>
    <row r="20" spans="2:23" x14ac:dyDescent="0.25">
      <c r="S20" s="19" t="s">
        <v>68</v>
      </c>
      <c r="T20" s="4">
        <v>0.5</v>
      </c>
      <c r="U20" s="17" t="s">
        <v>69</v>
      </c>
      <c r="V20" s="3"/>
      <c r="W20" s="86" t="s">
        <v>9</v>
      </c>
    </row>
    <row r="21" spans="2:23" x14ac:dyDescent="0.25">
      <c r="S21" s="19" t="s">
        <v>70</v>
      </c>
      <c r="T21" s="4">
        <v>0.4</v>
      </c>
      <c r="U21" s="18" t="s">
        <v>69</v>
      </c>
      <c r="V21" s="3"/>
      <c r="W21" s="85"/>
    </row>
    <row r="22" spans="2:23" x14ac:dyDescent="0.25">
      <c r="S22" s="3" t="s">
        <v>71</v>
      </c>
      <c r="T22" s="4" t="s">
        <v>72</v>
      </c>
      <c r="U22" s="3"/>
      <c r="V22" s="3"/>
      <c r="W22" s="3"/>
    </row>
    <row r="23" spans="2:23" ht="14.45" customHeight="1" x14ac:dyDescent="0.25">
      <c r="B23" s="36" t="s">
        <v>181</v>
      </c>
      <c r="C23" s="29" t="s">
        <v>73</v>
      </c>
      <c r="D23" s="7" t="s">
        <v>14</v>
      </c>
      <c r="E23" s="7" t="s">
        <v>15</v>
      </c>
      <c r="F23" s="7" t="s">
        <v>16</v>
      </c>
      <c r="G23" s="7" t="s">
        <v>17</v>
      </c>
      <c r="H23" s="7" t="s">
        <v>18</v>
      </c>
      <c r="I23" s="7" t="s">
        <v>19</v>
      </c>
      <c r="J23" s="7" t="s">
        <v>20</v>
      </c>
      <c r="K23" s="7" t="s">
        <v>21</v>
      </c>
      <c r="L23" s="7" t="s">
        <v>22</v>
      </c>
      <c r="M23" s="7" t="s">
        <v>23</v>
      </c>
      <c r="N23" s="7" t="s">
        <v>24</v>
      </c>
      <c r="O23" s="7" t="s">
        <v>25</v>
      </c>
      <c r="S23" s="3" t="s">
        <v>74</v>
      </c>
      <c r="T23" s="4">
        <v>10000</v>
      </c>
      <c r="U23" s="3" t="s">
        <v>75</v>
      </c>
      <c r="V23" s="3" t="s">
        <v>76</v>
      </c>
      <c r="W23" s="3"/>
    </row>
    <row r="24" spans="2:23" ht="16.149999999999999" customHeight="1" x14ac:dyDescent="0.25">
      <c r="B24" s="26" t="s">
        <v>12</v>
      </c>
      <c r="C24" s="26" t="s">
        <v>78</v>
      </c>
      <c r="D24" s="30"/>
      <c r="E24" s="30"/>
      <c r="F24" s="27">
        <f t="shared" ref="F24:N24" si="2">$T$13+((F6*$T$18/$T$19)+(F7*$T$17))/($T$16/9)/$T$23</f>
        <v>3.4727901129333327</v>
      </c>
      <c r="G24" s="27">
        <f t="shared" si="2"/>
        <v>1.7385717393499998</v>
      </c>
      <c r="H24" s="27">
        <f t="shared" si="2"/>
        <v>1.2819353594333331</v>
      </c>
      <c r="I24" s="27">
        <f t="shared" si="2"/>
        <v>0.94346302806666671</v>
      </c>
      <c r="J24" s="27">
        <f t="shared" si="2"/>
        <v>0.71079199274999993</v>
      </c>
      <c r="K24" s="27">
        <f t="shared" si="2"/>
        <v>0.59488116156666659</v>
      </c>
      <c r="L24" s="27">
        <f t="shared" si="2"/>
        <v>0.65943509693333335</v>
      </c>
      <c r="M24" s="27">
        <f t="shared" si="2"/>
        <v>1.0570327411666667</v>
      </c>
      <c r="N24" s="27">
        <f t="shared" si="2"/>
        <v>2.4474703563499998</v>
      </c>
      <c r="O24" s="30"/>
      <c r="S24" s="3" t="s">
        <v>79</v>
      </c>
      <c r="T24" s="76" t="s">
        <v>80</v>
      </c>
      <c r="U24" s="3" t="s">
        <v>81</v>
      </c>
      <c r="V24" s="3" t="s">
        <v>82</v>
      </c>
      <c r="W24" s="6" t="s">
        <v>83</v>
      </c>
    </row>
    <row r="25" spans="2:23" x14ac:dyDescent="0.25">
      <c r="B25" s="26" t="s">
        <v>46</v>
      </c>
      <c r="C25" s="26" t="s">
        <v>78</v>
      </c>
      <c r="D25" s="27">
        <f t="shared" ref="D25:K25" si="3">$T$13+((D12*$T$18/$T$19)+(D13*$T$17))/($T$16/9)/$T$23</f>
        <v>2.4187842514</v>
      </c>
      <c r="E25" s="27">
        <f t="shared" si="3"/>
        <v>2.1416283439333332</v>
      </c>
      <c r="F25" s="27">
        <f t="shared" si="3"/>
        <v>1.9172425624833331</v>
      </c>
      <c r="G25" s="27">
        <f t="shared" si="3"/>
        <v>1.5249131384166668</v>
      </c>
      <c r="H25" s="27">
        <f t="shared" si="3"/>
        <v>1.2819353594333331</v>
      </c>
      <c r="I25" s="27">
        <f t="shared" si="3"/>
        <v>0.94346302806666671</v>
      </c>
      <c r="J25" s="27">
        <f t="shared" si="3"/>
        <v>0.73376401298333327</v>
      </c>
      <c r="K25" s="27">
        <f t="shared" si="3"/>
        <v>0.75471038439999993</v>
      </c>
      <c r="L25" s="30"/>
      <c r="M25" s="30"/>
      <c r="N25" s="30"/>
      <c r="O25" s="27">
        <f>$T$13+((O12*$T$18/$T$19)+(O13*$T$17))/($T$16/9)/$T$23</f>
        <v>2.6598831017499998</v>
      </c>
      <c r="S25" s="3" t="s">
        <v>85</v>
      </c>
      <c r="T25" s="76">
        <v>10.8</v>
      </c>
      <c r="U25" s="3" t="s">
        <v>86</v>
      </c>
      <c r="V25" s="3" t="s">
        <v>87</v>
      </c>
      <c r="W25" s="6" t="s">
        <v>88</v>
      </c>
    </row>
    <row r="26" spans="2:23" x14ac:dyDescent="0.25">
      <c r="B26" s="31" t="s">
        <v>89</v>
      </c>
      <c r="C26" s="26" t="s">
        <v>78</v>
      </c>
      <c r="D26" s="27">
        <f t="shared" ref="D26:O26" si="4">$T$13+((D18*$T$18/$T$19)+(D19*$T$17))/($T$16/9)/10000</f>
        <v>2.4187842514</v>
      </c>
      <c r="E26" s="27">
        <f t="shared" si="4"/>
        <v>2.1416283439333332</v>
      </c>
      <c r="F26" s="27">
        <f t="shared" si="4"/>
        <v>2.6950163377083336</v>
      </c>
      <c r="G26" s="27">
        <f t="shared" si="4"/>
        <v>1.6317424388833333</v>
      </c>
      <c r="H26" s="27">
        <f t="shared" si="4"/>
        <v>1.2819353594333331</v>
      </c>
      <c r="I26" s="27">
        <f t="shared" si="4"/>
        <v>0.94346302806666671</v>
      </c>
      <c r="J26" s="27">
        <f t="shared" si="4"/>
        <v>0.72227800286666666</v>
      </c>
      <c r="K26" s="27">
        <f t="shared" si="4"/>
        <v>0.67479577298333326</v>
      </c>
      <c r="L26" s="27">
        <f t="shared" si="4"/>
        <v>0.65943509693333335</v>
      </c>
      <c r="M26" s="27">
        <f t="shared" si="4"/>
        <v>1.0570327411666667</v>
      </c>
      <c r="N26" s="27">
        <f t="shared" si="4"/>
        <v>2.4474703563499998</v>
      </c>
      <c r="O26" s="27">
        <f t="shared" si="4"/>
        <v>2.6598831017499998</v>
      </c>
      <c r="S26" s="3" t="s">
        <v>90</v>
      </c>
      <c r="T26" s="76">
        <v>15</v>
      </c>
      <c r="U26" s="3" t="s">
        <v>91</v>
      </c>
      <c r="V26" s="3" t="s">
        <v>92</v>
      </c>
      <c r="W26" s="3" t="s">
        <v>93</v>
      </c>
    </row>
    <row r="27" spans="2:23" ht="15.6" customHeight="1" x14ac:dyDescent="0.25">
      <c r="S27" s="3" t="s">
        <v>94</v>
      </c>
      <c r="T27" s="76">
        <v>100</v>
      </c>
      <c r="U27" s="3" t="s">
        <v>95</v>
      </c>
      <c r="V27" s="3" t="s">
        <v>96</v>
      </c>
      <c r="W27" s="3" t="s">
        <v>97</v>
      </c>
    </row>
    <row r="28" spans="2:23" ht="16.149999999999999" customHeight="1" x14ac:dyDescent="0.25">
      <c r="S28" s="3" t="s">
        <v>98</v>
      </c>
      <c r="T28" s="76">
        <v>150</v>
      </c>
      <c r="U28" s="3" t="s">
        <v>99</v>
      </c>
      <c r="V28" s="3"/>
      <c r="W28" s="6" t="s">
        <v>100</v>
      </c>
    </row>
    <row r="29" spans="2:23" ht="129.6" customHeight="1" x14ac:dyDescent="0.25">
      <c r="S29" s="80" t="s">
        <v>101</v>
      </c>
      <c r="T29" s="79">
        <v>30</v>
      </c>
      <c r="U29" s="80" t="s">
        <v>102</v>
      </c>
      <c r="V29" s="80"/>
      <c r="W29" s="81" t="s">
        <v>103</v>
      </c>
    </row>
    <row r="32" spans="2:23" x14ac:dyDescent="0.25">
      <c r="T32" s="75"/>
    </row>
    <row r="33" spans="19:23" x14ac:dyDescent="0.25">
      <c r="S33" s="100" t="s">
        <v>182</v>
      </c>
      <c r="T33" s="91"/>
      <c r="U33" s="91"/>
    </row>
    <row r="34" spans="19:23" x14ac:dyDescent="0.25">
      <c r="S34" s="2" t="s">
        <v>1</v>
      </c>
      <c r="T34" s="2" t="s">
        <v>2</v>
      </c>
      <c r="U34" s="2" t="s">
        <v>3</v>
      </c>
      <c r="V34" s="2" t="s">
        <v>4</v>
      </c>
      <c r="W34" s="2" t="s">
        <v>5</v>
      </c>
    </row>
    <row r="35" spans="19:23" x14ac:dyDescent="0.25">
      <c r="S35" s="16" t="s">
        <v>183</v>
      </c>
      <c r="T35" s="71">
        <v>2.7E-2</v>
      </c>
      <c r="U35" s="16" t="s">
        <v>184</v>
      </c>
      <c r="V35" s="3" t="s">
        <v>185</v>
      </c>
      <c r="W35" s="3" t="s">
        <v>186</v>
      </c>
    </row>
    <row r="36" spans="19:23" x14ac:dyDescent="0.25">
      <c r="S36" s="3" t="s">
        <v>187</v>
      </c>
      <c r="T36" s="4">
        <v>1000</v>
      </c>
      <c r="U36" s="3" t="s">
        <v>188</v>
      </c>
      <c r="V36" s="3" t="s">
        <v>189</v>
      </c>
      <c r="W36" s="3" t="s">
        <v>190</v>
      </c>
    </row>
    <row r="37" spans="19:23" x14ac:dyDescent="0.25">
      <c r="S37" s="72" t="s">
        <v>191</v>
      </c>
      <c r="T37" s="4">
        <v>2.4630000000000001</v>
      </c>
      <c r="U37" s="3" t="s">
        <v>192</v>
      </c>
      <c r="V37" s="3" t="s">
        <v>193</v>
      </c>
      <c r="W37" s="3" t="s">
        <v>154</v>
      </c>
    </row>
    <row r="38" spans="19:23" x14ac:dyDescent="0.25">
      <c r="S38" s="3" t="s">
        <v>194</v>
      </c>
      <c r="T38" s="4">
        <v>20</v>
      </c>
      <c r="U38" s="3" t="s">
        <v>195</v>
      </c>
      <c r="V38" s="3" t="s">
        <v>196</v>
      </c>
      <c r="W38" s="3" t="s">
        <v>190</v>
      </c>
    </row>
    <row r="45" spans="19:23" x14ac:dyDescent="0.25">
      <c r="T45" s="75"/>
    </row>
    <row r="50" spans="2:15" ht="15.6" customHeight="1" x14ac:dyDescent="0.25">
      <c r="B50" s="36" t="s">
        <v>197</v>
      </c>
      <c r="C50" s="29" t="s">
        <v>73</v>
      </c>
      <c r="D50" s="7" t="s">
        <v>14</v>
      </c>
      <c r="E50" s="7" t="s">
        <v>15</v>
      </c>
      <c r="F50" s="7" t="s">
        <v>16</v>
      </c>
      <c r="G50" s="7" t="s">
        <v>17</v>
      </c>
      <c r="H50" s="7" t="s">
        <v>18</v>
      </c>
      <c r="I50" s="7" t="s">
        <v>19</v>
      </c>
      <c r="J50" s="7" t="s">
        <v>20</v>
      </c>
      <c r="K50" s="7" t="s">
        <v>21</v>
      </c>
      <c r="L50" s="7" t="s">
        <v>22</v>
      </c>
      <c r="M50" s="7" t="s">
        <v>23</v>
      </c>
      <c r="N50" s="7" t="s">
        <v>24</v>
      </c>
      <c r="O50" s="7" t="s">
        <v>25</v>
      </c>
    </row>
    <row r="51" spans="2:15" x14ac:dyDescent="0.25">
      <c r="B51" s="26" t="s">
        <v>12</v>
      </c>
      <c r="C51" s="26" t="s">
        <v>78</v>
      </c>
      <c r="D51" s="30"/>
      <c r="E51" s="30"/>
      <c r="F51" s="27">
        <f t="shared" ref="F51:N51" si="5">$T$13+(((F6*$T$35*$T$17/3600)+(F7*$T$17))/($T$16/9)/$T$23)+(2*$T$37*$T$36/$T$16/$T$23)</f>
        <v>0.89077595233693863</v>
      </c>
      <c r="G51" s="27">
        <f t="shared" si="5"/>
        <v>0.6181075747253707</v>
      </c>
      <c r="H51" s="27">
        <f t="shared" si="5"/>
        <v>0.53218037699610665</v>
      </c>
      <c r="I51" s="27">
        <f t="shared" si="5"/>
        <v>0.49153460716362662</v>
      </c>
      <c r="J51" s="27">
        <f t="shared" si="5"/>
        <v>0.48353023861151462</v>
      </c>
      <c r="K51" s="27">
        <f t="shared" si="5"/>
        <v>0.48096804422221862</v>
      </c>
      <c r="L51" s="27">
        <f t="shared" si="5"/>
        <v>0.50528881259370662</v>
      </c>
      <c r="M51" s="27">
        <f t="shared" si="5"/>
        <v>0.59201485491009065</v>
      </c>
      <c r="N51" s="27">
        <f t="shared" si="5"/>
        <v>0.83171719130975463</v>
      </c>
      <c r="O51" s="30"/>
    </row>
    <row r="52" spans="2:15" x14ac:dyDescent="0.25">
      <c r="B52" s="26" t="s">
        <v>46</v>
      </c>
      <c r="C52" s="26" t="s">
        <v>78</v>
      </c>
      <c r="D52" s="27">
        <f t="shared" ref="D52:K52" si="6">$T$13+(((D12*$T$35*$T$17/3600)+(D13*$T$17))/($T$16/9)/$T$23)+(2*$T$37*$T$36/$T$16/$T$23)</f>
        <v>0.75027822836490676</v>
      </c>
      <c r="E52" s="27">
        <f t="shared" si="6"/>
        <v>0.71651348985585062</v>
      </c>
      <c r="F52" s="27">
        <f t="shared" si="6"/>
        <v>0.66243019604447462</v>
      </c>
      <c r="G52" s="27">
        <f t="shared" si="6"/>
        <v>0.5843440882625226</v>
      </c>
      <c r="H52" s="27">
        <f t="shared" si="6"/>
        <v>0.53218037699610665</v>
      </c>
      <c r="I52" s="27">
        <f t="shared" si="6"/>
        <v>0.49153460716362662</v>
      </c>
      <c r="J52" s="27">
        <f t="shared" si="6"/>
        <v>0.48913058230185064</v>
      </c>
      <c r="K52" s="27">
        <f t="shared" si="6"/>
        <v>0.51217054165252263</v>
      </c>
      <c r="L52" s="30"/>
      <c r="M52" s="30"/>
      <c r="N52" s="30"/>
      <c r="O52" s="27">
        <f>$T$13+(((O12*$T$35*$T$17/3600)+(O13*$T$17))/($T$16/9)/$T$23)+(2*$T$37*$T$36/$T$16/$T$23)</f>
        <v>0.87380050484428262</v>
      </c>
    </row>
    <row r="53" spans="2:15" x14ac:dyDescent="0.25">
      <c r="B53" s="31" t="s">
        <v>89</v>
      </c>
      <c r="C53" s="26" t="s">
        <v>78</v>
      </c>
      <c r="D53" s="27">
        <f t="shared" ref="D53:O53" si="7">$T$13+(((D18*$T$35*$T$17/3600)+(D19*$T$17))/($T$16/9)/$T$23)+(2*$T$37*$T$36/$T$16/$T$23)</f>
        <v>0.75027822836490676</v>
      </c>
      <c r="E53" s="27">
        <f t="shared" si="7"/>
        <v>0.71651348985585062</v>
      </c>
      <c r="F53" s="27">
        <f t="shared" si="7"/>
        <v>0.77660307419070662</v>
      </c>
      <c r="G53" s="27">
        <f t="shared" si="7"/>
        <v>0.60122583149394671</v>
      </c>
      <c r="H53" s="27">
        <f t="shared" si="7"/>
        <v>0.53218037699610665</v>
      </c>
      <c r="I53" s="27">
        <f t="shared" si="7"/>
        <v>0.49153460716362662</v>
      </c>
      <c r="J53" s="27">
        <f t="shared" si="7"/>
        <v>0.48633041045668263</v>
      </c>
      <c r="K53" s="27">
        <f t="shared" si="7"/>
        <v>0.49656929293737062</v>
      </c>
      <c r="L53" s="27">
        <f t="shared" si="7"/>
        <v>0.50528881259370662</v>
      </c>
      <c r="M53" s="27">
        <f t="shared" si="7"/>
        <v>0.59201485491009065</v>
      </c>
      <c r="N53" s="27">
        <f t="shared" si="7"/>
        <v>0.83171719130975463</v>
      </c>
      <c r="O53" s="27">
        <f t="shared" si="7"/>
        <v>0.87380050484428262</v>
      </c>
    </row>
  </sheetData>
  <mergeCells count="7">
    <mergeCell ref="B17:B19"/>
    <mergeCell ref="W7:W9"/>
    <mergeCell ref="S33:U33"/>
    <mergeCell ref="W3:W5"/>
    <mergeCell ref="B11:B13"/>
    <mergeCell ref="W20:W21"/>
    <mergeCell ref="B5:B7"/>
  </mergeCells>
  <pageMargins left="0.75" right="0.75" top="1" bottom="1" header="0.5" footer="0.5"/>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W48"/>
  <sheetViews>
    <sheetView tabSelected="1" zoomScale="90" zoomScaleNormal="90" workbookViewId="0">
      <selection activeCell="F1" sqref="F1"/>
    </sheetView>
  </sheetViews>
  <sheetFormatPr defaultRowHeight="15" x14ac:dyDescent="0.25"/>
  <cols>
    <col min="2" max="2" width="47.140625" style="1" customWidth="1"/>
    <col min="3" max="3" width="16.140625" customWidth="1"/>
    <col min="5" max="5" width="8.5703125" customWidth="1"/>
    <col min="6" max="6" width="10.5703125" bestFit="1" customWidth="1"/>
    <col min="7" max="7" width="9.5703125" bestFit="1" customWidth="1"/>
    <col min="8" max="8" width="10.5703125" bestFit="1" customWidth="1"/>
    <col min="9" max="10" width="9.5703125" bestFit="1" customWidth="1"/>
    <col min="11" max="11" width="8.5703125" bestFit="1" customWidth="1"/>
    <col min="12" max="14" width="9.5703125" bestFit="1" customWidth="1"/>
    <col min="15" max="15" width="10.5703125" bestFit="1" customWidth="1"/>
    <col min="19" max="19" width="30.42578125" bestFit="1" customWidth="1"/>
    <col min="20" max="20" width="13.7109375" customWidth="1"/>
    <col min="21" max="21" width="16.5703125" bestFit="1" customWidth="1"/>
    <col min="22" max="22" width="61.7109375" bestFit="1" customWidth="1"/>
    <col min="23" max="23" width="133.7109375" customWidth="1"/>
  </cols>
  <sheetData>
    <row r="1" spans="2:23" x14ac:dyDescent="0.25">
      <c r="B1" s="32" t="s">
        <v>198</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thickBot="1" x14ac:dyDescent="0.3">
      <c r="B5" s="46" t="s">
        <v>105</v>
      </c>
      <c r="C5" s="43" t="s">
        <v>13</v>
      </c>
      <c r="D5" s="51" t="s">
        <v>14</v>
      </c>
      <c r="E5" s="51" t="s">
        <v>15</v>
      </c>
      <c r="F5" s="51" t="s">
        <v>16</v>
      </c>
      <c r="G5" s="51" t="s">
        <v>17</v>
      </c>
      <c r="H5" s="51" t="s">
        <v>18</v>
      </c>
      <c r="I5" s="51" t="s">
        <v>19</v>
      </c>
      <c r="J5" s="51" t="s">
        <v>20</v>
      </c>
      <c r="K5" s="51" t="s">
        <v>21</v>
      </c>
      <c r="L5" s="51" t="s">
        <v>22</v>
      </c>
      <c r="M5" s="51" t="s">
        <v>23</v>
      </c>
      <c r="N5" s="51" t="s">
        <v>24</v>
      </c>
      <c r="O5" s="51" t="s">
        <v>25</v>
      </c>
      <c r="S5" s="53" t="s">
        <v>26</v>
      </c>
      <c r="T5" s="54">
        <v>0.70099999999999996</v>
      </c>
      <c r="U5" s="53" t="s">
        <v>7</v>
      </c>
      <c r="V5" s="64" t="s">
        <v>27</v>
      </c>
      <c r="W5" s="85"/>
    </row>
    <row r="6" spans="2:23" ht="16.899999999999999" customHeight="1" x14ac:dyDescent="0.25">
      <c r="B6" s="93" t="s">
        <v>12</v>
      </c>
      <c r="C6" s="23" t="s">
        <v>106</v>
      </c>
      <c r="D6" s="41" t="s">
        <v>29</v>
      </c>
      <c r="E6" s="41" t="s">
        <v>29</v>
      </c>
      <c r="F6" s="42">
        <v>3073671.58</v>
      </c>
      <c r="G6" s="42">
        <v>1446918.79</v>
      </c>
      <c r="H6" s="42">
        <v>1371926.46</v>
      </c>
      <c r="I6" s="40"/>
      <c r="J6" s="40"/>
      <c r="K6" s="40"/>
      <c r="L6" s="40"/>
      <c r="M6" s="40"/>
      <c r="N6" s="40"/>
      <c r="O6" s="40"/>
      <c r="S6" s="3" t="s">
        <v>31</v>
      </c>
      <c r="T6" s="61">
        <v>0.151</v>
      </c>
      <c r="U6" s="16" t="s">
        <v>32</v>
      </c>
      <c r="V6" s="65" t="s">
        <v>107</v>
      </c>
      <c r="W6" s="3" t="s">
        <v>108</v>
      </c>
    </row>
    <row r="7" spans="2:23" ht="16.899999999999999" customHeight="1" thickBot="1" x14ac:dyDescent="0.3">
      <c r="B7" s="89"/>
      <c r="C7" s="43" t="s">
        <v>109</v>
      </c>
      <c r="D7" s="44" t="s">
        <v>29</v>
      </c>
      <c r="E7" s="44" t="s">
        <v>29</v>
      </c>
      <c r="F7" s="45">
        <v>332222.21999999997</v>
      </c>
      <c r="G7" s="45">
        <v>132888.89000000001</v>
      </c>
      <c r="H7" s="45">
        <v>98888.89</v>
      </c>
      <c r="I7" s="46"/>
      <c r="J7" s="46"/>
      <c r="K7" s="46"/>
      <c r="L7" s="46"/>
      <c r="M7" s="46"/>
      <c r="N7" s="46"/>
      <c r="O7" s="46"/>
      <c r="S7" s="3" t="s">
        <v>36</v>
      </c>
      <c r="T7" s="61">
        <v>4.9500000000000004E-3</v>
      </c>
      <c r="U7" s="16" t="s">
        <v>37</v>
      </c>
      <c r="V7" s="65" t="s">
        <v>199</v>
      </c>
      <c r="W7" s="101" t="s">
        <v>151</v>
      </c>
    </row>
    <row r="8" spans="2:23" ht="16.899999999999999" customHeight="1" x14ac:dyDescent="0.25">
      <c r="B8" s="88" t="s">
        <v>46</v>
      </c>
      <c r="C8" s="47" t="s">
        <v>106</v>
      </c>
      <c r="D8" s="48"/>
      <c r="E8" s="49" t="s">
        <v>29</v>
      </c>
      <c r="F8" s="49" t="s">
        <v>29</v>
      </c>
      <c r="G8" s="50">
        <v>2110646.13</v>
      </c>
      <c r="H8" s="50">
        <v>1138950.22</v>
      </c>
      <c r="I8" s="50">
        <v>652719.59</v>
      </c>
      <c r="J8" s="48"/>
      <c r="K8" s="48"/>
      <c r="L8" s="48"/>
      <c r="M8" s="48"/>
      <c r="N8" s="48"/>
      <c r="O8" s="48"/>
      <c r="S8" s="3" t="s">
        <v>39</v>
      </c>
      <c r="T8" s="61">
        <v>3.8999999999999998E-3</v>
      </c>
      <c r="U8" s="16" t="s">
        <v>37</v>
      </c>
      <c r="V8" s="65" t="s">
        <v>200</v>
      </c>
      <c r="W8" s="85"/>
    </row>
    <row r="9" spans="2:23" ht="16.899999999999999" customHeight="1" thickBot="1" x14ac:dyDescent="0.3">
      <c r="B9" s="89"/>
      <c r="C9" s="43" t="s">
        <v>109</v>
      </c>
      <c r="D9" s="46"/>
      <c r="E9" s="44" t="s">
        <v>29</v>
      </c>
      <c r="F9" s="44" t="s">
        <v>29</v>
      </c>
      <c r="G9" s="45">
        <v>219000</v>
      </c>
      <c r="H9" s="45">
        <v>88000</v>
      </c>
      <c r="I9" s="45">
        <v>59000</v>
      </c>
      <c r="J9" s="46"/>
      <c r="K9" s="46"/>
      <c r="L9" s="46"/>
      <c r="M9" s="46"/>
      <c r="N9" s="46"/>
      <c r="O9" s="46"/>
      <c r="S9" s="3" t="s">
        <v>41</v>
      </c>
      <c r="T9" s="61">
        <v>6.7500000000000001E-5</v>
      </c>
      <c r="U9" s="16" t="s">
        <v>37</v>
      </c>
      <c r="V9" s="65" t="s">
        <v>201</v>
      </c>
      <c r="W9" s="3" t="s">
        <v>151</v>
      </c>
    </row>
    <row r="10" spans="2:23" ht="16.899999999999999" customHeight="1" x14ac:dyDescent="0.25">
      <c r="B10" s="88" t="s">
        <v>116</v>
      </c>
      <c r="C10" s="47" t="s">
        <v>106</v>
      </c>
      <c r="D10" s="48"/>
      <c r="E10" s="48"/>
      <c r="F10" s="49" t="s">
        <v>29</v>
      </c>
      <c r="G10" s="49" t="s">
        <v>29</v>
      </c>
      <c r="H10" s="50">
        <v>1764242.66</v>
      </c>
      <c r="I10" s="50">
        <v>668915.99</v>
      </c>
      <c r="J10" s="50">
        <v>308933.21999999997</v>
      </c>
      <c r="K10" s="48"/>
      <c r="L10" s="48"/>
      <c r="M10" s="48"/>
      <c r="N10" s="48"/>
      <c r="O10" s="48"/>
      <c r="S10" s="59" t="s">
        <v>43</v>
      </c>
      <c r="T10" s="21">
        <f>20/T16</f>
        <v>0.24691358024691357</v>
      </c>
      <c r="U10" s="3" t="s">
        <v>37</v>
      </c>
      <c r="V10" t="s">
        <v>117</v>
      </c>
      <c r="W10" s="3" t="s">
        <v>45</v>
      </c>
    </row>
    <row r="11" spans="2:23" ht="15.6" customHeight="1" thickBot="1" x14ac:dyDescent="0.3">
      <c r="B11" s="89"/>
      <c r="C11" s="43" t="s">
        <v>109</v>
      </c>
      <c r="D11" s="46"/>
      <c r="E11" s="46"/>
      <c r="F11" s="44" t="s">
        <v>29</v>
      </c>
      <c r="G11" s="44" t="s">
        <v>29</v>
      </c>
      <c r="H11" s="45">
        <v>140666.67000000001</v>
      </c>
      <c r="I11" s="45">
        <v>47666.67</v>
      </c>
      <c r="J11" s="45">
        <v>53000</v>
      </c>
      <c r="K11" s="46"/>
      <c r="L11" s="46"/>
      <c r="M11" s="46"/>
      <c r="N11" s="46"/>
      <c r="O11" s="46"/>
      <c r="S11" s="53" t="s">
        <v>47</v>
      </c>
      <c r="T11" s="54">
        <v>9.0999999999999998E-2</v>
      </c>
      <c r="U11" s="53" t="s">
        <v>37</v>
      </c>
      <c r="V11" s="64" t="s">
        <v>48</v>
      </c>
      <c r="W11" s="53" t="s">
        <v>49</v>
      </c>
    </row>
    <row r="12" spans="2:23" ht="15.6" customHeight="1" x14ac:dyDescent="0.25">
      <c r="B12" s="88" t="s">
        <v>118</v>
      </c>
      <c r="C12" s="47" t="s">
        <v>106</v>
      </c>
      <c r="D12" s="48"/>
      <c r="E12" s="48"/>
      <c r="F12" s="48"/>
      <c r="G12" s="49" t="s">
        <v>29</v>
      </c>
      <c r="H12" s="49" t="s">
        <v>29</v>
      </c>
      <c r="I12" s="50">
        <v>1191923.8899999999</v>
      </c>
      <c r="J12" s="50">
        <v>343894.97</v>
      </c>
      <c r="K12" s="50">
        <v>188433.19</v>
      </c>
      <c r="L12" s="48"/>
      <c r="M12" s="48"/>
      <c r="N12" s="48"/>
      <c r="O12" s="48"/>
      <c r="S12" s="3" t="s">
        <v>50</v>
      </c>
      <c r="T12" s="61">
        <v>0.01</v>
      </c>
      <c r="U12" s="3" t="s">
        <v>37</v>
      </c>
      <c r="V12" s="3" t="s">
        <v>179</v>
      </c>
      <c r="W12" s="3" t="s">
        <v>52</v>
      </c>
    </row>
    <row r="13" spans="2:23" ht="15" customHeight="1" thickBot="1" x14ac:dyDescent="0.3">
      <c r="B13" s="89"/>
      <c r="C13" s="43" t="s">
        <v>109</v>
      </c>
      <c r="D13" s="46"/>
      <c r="E13" s="46"/>
      <c r="F13" s="46"/>
      <c r="G13" s="44" t="s">
        <v>29</v>
      </c>
      <c r="H13" s="44" t="s">
        <v>29</v>
      </c>
      <c r="I13" s="45">
        <v>72777.78</v>
      </c>
      <c r="J13" s="45">
        <v>42444.44</v>
      </c>
      <c r="K13" s="45">
        <v>57444.44</v>
      </c>
      <c r="L13" s="46"/>
      <c r="M13" s="46"/>
      <c r="N13" s="46"/>
      <c r="O13" s="46"/>
      <c r="S13" s="60" t="s">
        <v>53</v>
      </c>
      <c r="T13" s="62">
        <f>(SUM(T3:T6)/60)+SUM(T7:T12)</f>
        <v>0.4223644135802469</v>
      </c>
      <c r="U13" s="60" t="s">
        <v>37</v>
      </c>
      <c r="V13" s="60" t="s">
        <v>54</v>
      </c>
    </row>
    <row r="14" spans="2:23" x14ac:dyDescent="0.25">
      <c r="B14" s="88" t="s">
        <v>119</v>
      </c>
      <c r="C14" s="47" t="s">
        <v>106</v>
      </c>
      <c r="D14" s="48"/>
      <c r="E14" s="48"/>
      <c r="F14" s="48"/>
      <c r="G14" s="48"/>
      <c r="H14" s="49" t="s">
        <v>29</v>
      </c>
      <c r="I14" s="49" t="s">
        <v>29</v>
      </c>
      <c r="J14" s="50">
        <v>617221.16</v>
      </c>
      <c r="K14" s="50">
        <v>128634.65</v>
      </c>
      <c r="L14" s="50">
        <v>257826.03</v>
      </c>
      <c r="M14" s="48"/>
      <c r="N14" s="48"/>
      <c r="O14" s="48"/>
    </row>
    <row r="15" spans="2:23" ht="16.149999999999999" customHeight="1" thickBot="1" x14ac:dyDescent="0.3">
      <c r="B15" s="89"/>
      <c r="C15" s="43" t="s">
        <v>109</v>
      </c>
      <c r="D15" s="46"/>
      <c r="E15" s="46"/>
      <c r="F15" s="46"/>
      <c r="G15" s="46"/>
      <c r="H15" s="44" t="s">
        <v>29</v>
      </c>
      <c r="I15" s="44" t="s">
        <v>29</v>
      </c>
      <c r="J15" s="45">
        <v>62777.78</v>
      </c>
      <c r="K15" s="45">
        <v>38777.78</v>
      </c>
      <c r="L15" s="45">
        <v>100444.44</v>
      </c>
      <c r="M15" s="46"/>
      <c r="N15" s="46"/>
      <c r="O15" s="46"/>
      <c r="S15" s="2" t="s">
        <v>55</v>
      </c>
      <c r="T15" s="2" t="s">
        <v>2</v>
      </c>
      <c r="U15" s="2" t="s">
        <v>3</v>
      </c>
      <c r="V15" s="2" t="s">
        <v>4</v>
      </c>
      <c r="W15" s="2" t="s">
        <v>5</v>
      </c>
    </row>
    <row r="16" spans="2:23" ht="15.6" customHeight="1" x14ac:dyDescent="0.25">
      <c r="B16" s="88" t="s">
        <v>120</v>
      </c>
      <c r="C16" s="47" t="s">
        <v>106</v>
      </c>
      <c r="D16" s="48"/>
      <c r="E16" s="48"/>
      <c r="F16" s="48"/>
      <c r="G16" s="48"/>
      <c r="H16" s="48"/>
      <c r="I16" s="49" t="s">
        <v>29</v>
      </c>
      <c r="J16" s="49" t="s">
        <v>29</v>
      </c>
      <c r="K16" s="50">
        <v>164078.72</v>
      </c>
      <c r="L16" s="50">
        <v>167241.71</v>
      </c>
      <c r="M16" s="50">
        <v>832972.01</v>
      </c>
      <c r="N16" s="48"/>
      <c r="O16" s="48"/>
      <c r="S16" s="3" t="s">
        <v>56</v>
      </c>
      <c r="T16" s="25">
        <v>81</v>
      </c>
      <c r="U16" s="3" t="s">
        <v>57</v>
      </c>
      <c r="V16" s="66"/>
      <c r="W16" s="3" t="s">
        <v>113</v>
      </c>
    </row>
    <row r="17" spans="2:23" ht="15.6" customHeight="1" thickBot="1" x14ac:dyDescent="0.3">
      <c r="B17" s="89"/>
      <c r="C17" s="43" t="s">
        <v>109</v>
      </c>
      <c r="D17" s="46"/>
      <c r="E17" s="46"/>
      <c r="F17" s="46"/>
      <c r="G17" s="46"/>
      <c r="H17" s="46"/>
      <c r="I17" s="44" t="s">
        <v>29</v>
      </c>
      <c r="J17" s="44" t="s">
        <v>29</v>
      </c>
      <c r="K17" s="45">
        <v>49000</v>
      </c>
      <c r="L17" s="45">
        <v>62333.33</v>
      </c>
      <c r="M17" s="45">
        <v>197333.33</v>
      </c>
      <c r="N17" s="46"/>
      <c r="O17" s="46"/>
      <c r="S17" s="53" t="s">
        <v>60</v>
      </c>
      <c r="T17" s="58">
        <v>0.128</v>
      </c>
      <c r="U17" s="53" t="s">
        <v>61</v>
      </c>
      <c r="V17" s="55"/>
      <c r="W17" s="67" t="s">
        <v>154</v>
      </c>
    </row>
    <row r="18" spans="2:23" ht="16.149999999999999" customHeight="1" x14ac:dyDescent="0.25">
      <c r="B18" s="88" t="s">
        <v>121</v>
      </c>
      <c r="C18" s="47" t="s">
        <v>106</v>
      </c>
      <c r="D18" s="48"/>
      <c r="E18" s="48"/>
      <c r="F18" s="48"/>
      <c r="G18" s="48"/>
      <c r="H18" s="48"/>
      <c r="I18" s="48"/>
      <c r="J18" s="49" t="s">
        <v>29</v>
      </c>
      <c r="K18" s="49" t="s">
        <v>29</v>
      </c>
      <c r="L18" s="50">
        <v>201312.08</v>
      </c>
      <c r="M18" s="50">
        <v>470145.54</v>
      </c>
      <c r="N18" s="50">
        <v>1804044.4</v>
      </c>
      <c r="O18" s="48"/>
      <c r="S18" s="3" t="s">
        <v>63</v>
      </c>
      <c r="T18" s="4">
        <v>1.78</v>
      </c>
      <c r="U18" s="16" t="s">
        <v>64</v>
      </c>
      <c r="V18" s="66"/>
      <c r="W18" s="3" t="s">
        <v>65</v>
      </c>
    </row>
    <row r="19" spans="2:23" ht="15" customHeight="1" thickBot="1" x14ac:dyDescent="0.3">
      <c r="B19" s="89"/>
      <c r="C19" s="43" t="s">
        <v>109</v>
      </c>
      <c r="D19" s="46"/>
      <c r="E19" s="46"/>
      <c r="F19" s="46"/>
      <c r="G19" s="46"/>
      <c r="H19" s="46"/>
      <c r="I19" s="46"/>
      <c r="J19" s="44" t="s">
        <v>29</v>
      </c>
      <c r="K19" s="44" t="s">
        <v>29</v>
      </c>
      <c r="L19" s="45">
        <v>69777.78</v>
      </c>
      <c r="M19" s="45">
        <v>116777.78</v>
      </c>
      <c r="N19" s="45">
        <v>292777.78000000003</v>
      </c>
      <c r="O19" s="46"/>
      <c r="S19" s="3" t="s">
        <v>66</v>
      </c>
      <c r="T19" s="4">
        <v>36</v>
      </c>
      <c r="U19" s="3" t="s">
        <v>67</v>
      </c>
      <c r="V19" s="66"/>
      <c r="W19" s="3"/>
    </row>
    <row r="20" spans="2:23" ht="15.6" customHeight="1" x14ac:dyDescent="0.25">
      <c r="B20" s="88" t="s">
        <v>122</v>
      </c>
      <c r="C20" s="47" t="s">
        <v>106</v>
      </c>
      <c r="D20" s="48"/>
      <c r="E20" s="48"/>
      <c r="F20" s="48"/>
      <c r="G20" s="48"/>
      <c r="H20" s="48"/>
      <c r="I20" s="48"/>
      <c r="J20" s="48"/>
      <c r="K20" s="49" t="s">
        <v>29</v>
      </c>
      <c r="L20" s="49" t="s">
        <v>29</v>
      </c>
      <c r="M20" s="50">
        <v>439654.6</v>
      </c>
      <c r="N20" s="50">
        <v>1017772.55</v>
      </c>
      <c r="O20" s="50">
        <v>2690256.31</v>
      </c>
      <c r="S20" s="19" t="s">
        <v>68</v>
      </c>
      <c r="T20" s="4">
        <v>0.5</v>
      </c>
      <c r="U20" s="17" t="s">
        <v>69</v>
      </c>
      <c r="V20" s="3"/>
      <c r="W20" s="86" t="s">
        <v>9</v>
      </c>
    </row>
    <row r="21" spans="2:23" ht="15" customHeight="1" thickBot="1" x14ac:dyDescent="0.3">
      <c r="B21" s="89"/>
      <c r="C21" s="43" t="s">
        <v>109</v>
      </c>
      <c r="D21" s="46"/>
      <c r="E21" s="46"/>
      <c r="F21" s="46"/>
      <c r="G21" s="46"/>
      <c r="H21" s="46"/>
      <c r="I21" s="46"/>
      <c r="J21" s="46"/>
      <c r="K21" s="44" t="s">
        <v>29</v>
      </c>
      <c r="L21" s="44" t="s">
        <v>29</v>
      </c>
      <c r="M21" s="45">
        <v>122222.22</v>
      </c>
      <c r="N21" s="45">
        <v>183222.22</v>
      </c>
      <c r="O21" s="45">
        <v>383222.22</v>
      </c>
      <c r="S21" s="19" t="s">
        <v>70</v>
      </c>
      <c r="T21" s="4">
        <v>0.4</v>
      </c>
      <c r="U21" s="18" t="s">
        <v>69</v>
      </c>
      <c r="V21" s="3"/>
      <c r="W21" s="85"/>
    </row>
    <row r="22" spans="2:23" ht="15.6" customHeight="1" x14ac:dyDescent="0.25">
      <c r="B22" s="92" t="s">
        <v>123</v>
      </c>
      <c r="C22" s="91"/>
      <c r="D22" s="38"/>
      <c r="E22" s="38"/>
      <c r="F22" s="39">
        <f>$T$13+((F6*$T$18/$T$19)+(F7*$T$17))/($T$16/10)/$T$23</f>
        <v>2.8236042634293552</v>
      </c>
      <c r="G22" s="39">
        <f>$T$13+((((G6+G8)/2)*$T$18/$T$19)+(((G7+G9)/2)*$T$17))/($T$16/10)/$T$23</f>
        <v>1.7862137899039783</v>
      </c>
      <c r="H22" s="39">
        <f>$T$13+((((H6+H8+H10)/3)*$T$18/$T$19)+(((H7+H9+H11)/3)*$T$17))/($T$16/10)/$T$23</f>
        <v>1.4647842176131687</v>
      </c>
      <c r="I22" s="39">
        <f>$T$13+((((I8+I10+I12)/3)*$T$18/$T$19)+(((I9+I11+I13)/3)*$T$17))/($T$16/10)/$T$23</f>
        <v>1.0283333072930956</v>
      </c>
      <c r="J22" s="39">
        <f>$T$13+((((J10+J12+J14)/3)*$T$18/$T$19)+(((J11+J13+J15)/3)*$T$17))/($T$16/10)/$T$23</f>
        <v>0.76413119830361231</v>
      </c>
      <c r="K22" s="39">
        <f>$T$13+((((K12+K14+K16)/3)*$T$18/$T$19)+(((K13+K15+K17)/3)*$T$17))/($T$16/10)/$T$23</f>
        <v>0.59676140335619565</v>
      </c>
      <c r="L22" s="39">
        <f>$T$13+((((L14+L16+L18)/3)*$T$18/$T$19)+(((L15+L17+L19)/3)*$T$17))/($T$16/10)/$T$23</f>
        <v>0.67231549428440784</v>
      </c>
      <c r="M22" s="39">
        <f>$T$13+((((M16+M18+M20)/3)*$T$18/$T$19)+(((M17+M19+M21)/3)*$T$17))/($T$16/10)/$T$23</f>
        <v>1.0068132489300412</v>
      </c>
      <c r="N22" s="39">
        <f>$T$13+((((N18+N20)/2)*$T$18/$T$19)+(((N19+N21)/2)*$T$17))/($T$16/10)/$T$23</f>
        <v>1.6597173235596707</v>
      </c>
      <c r="O22" s="39">
        <f>$T$13+((O20*$T$18/$T$19)+(O21*$T$17))/($T$16/10)/$T$23</f>
        <v>2.6701504977914952</v>
      </c>
      <c r="S22" s="3" t="s">
        <v>71</v>
      </c>
      <c r="T22" s="4" t="s">
        <v>72</v>
      </c>
      <c r="U22" s="3"/>
      <c r="V22" s="3"/>
      <c r="W22" s="3"/>
    </row>
    <row r="23" spans="2:23" ht="16.149999999999999" customHeight="1" x14ac:dyDescent="0.25">
      <c r="S23" s="3" t="s">
        <v>74</v>
      </c>
      <c r="T23" s="4">
        <v>10000</v>
      </c>
      <c r="U23" s="3" t="s">
        <v>75</v>
      </c>
      <c r="V23" s="3" t="s">
        <v>76</v>
      </c>
      <c r="W23" s="3"/>
    </row>
    <row r="24" spans="2:23" ht="16.149999999999999" customHeight="1" x14ac:dyDescent="0.25">
      <c r="S24" s="3" t="s">
        <v>79</v>
      </c>
      <c r="T24" s="76" t="s">
        <v>124</v>
      </c>
      <c r="U24" s="3" t="s">
        <v>81</v>
      </c>
      <c r="V24" s="3" t="s">
        <v>125</v>
      </c>
      <c r="W24" s="6" t="s">
        <v>83</v>
      </c>
    </row>
    <row r="25" spans="2:23" x14ac:dyDescent="0.25">
      <c r="S25" s="3" t="s">
        <v>85</v>
      </c>
      <c r="T25" s="76">
        <v>10.8</v>
      </c>
      <c r="U25" s="3" t="s">
        <v>86</v>
      </c>
      <c r="V25" s="3" t="s">
        <v>87</v>
      </c>
      <c r="W25" s="6" t="s">
        <v>88</v>
      </c>
    </row>
    <row r="26" spans="2:23" x14ac:dyDescent="0.25">
      <c r="S26" s="3" t="s">
        <v>90</v>
      </c>
      <c r="T26" s="76">
        <v>15</v>
      </c>
      <c r="U26" s="3" t="s">
        <v>91</v>
      </c>
      <c r="V26" s="3" t="s">
        <v>92</v>
      </c>
      <c r="W26" s="3" t="s">
        <v>93</v>
      </c>
    </row>
    <row r="27" spans="2:23" ht="15.6" customHeight="1" x14ac:dyDescent="0.25">
      <c r="B27" s="102" t="s">
        <v>181</v>
      </c>
      <c r="C27" s="103"/>
      <c r="D27" s="7" t="s">
        <v>14</v>
      </c>
      <c r="E27" s="7" t="s">
        <v>15</v>
      </c>
      <c r="F27" s="7" t="s">
        <v>16</v>
      </c>
      <c r="G27" s="7" t="s">
        <v>17</v>
      </c>
      <c r="H27" s="7" t="s">
        <v>18</v>
      </c>
      <c r="I27" s="7" t="s">
        <v>19</v>
      </c>
      <c r="J27" s="7" t="s">
        <v>20</v>
      </c>
      <c r="K27" s="7" t="s">
        <v>21</v>
      </c>
      <c r="L27" s="7" t="s">
        <v>22</v>
      </c>
      <c r="M27" s="7" t="s">
        <v>23</v>
      </c>
      <c r="N27" s="7" t="s">
        <v>24</v>
      </c>
      <c r="O27" s="7" t="s">
        <v>25</v>
      </c>
      <c r="S27" s="3" t="s">
        <v>94</v>
      </c>
      <c r="T27" s="76">
        <v>130</v>
      </c>
      <c r="U27" s="3" t="s">
        <v>95</v>
      </c>
      <c r="V27" s="3" t="s">
        <v>96</v>
      </c>
      <c r="W27" s="3" t="s">
        <v>97</v>
      </c>
    </row>
    <row r="28" spans="2:23" ht="15.6" customHeight="1" x14ac:dyDescent="0.25">
      <c r="B28" s="90" t="s">
        <v>126</v>
      </c>
      <c r="C28" s="91"/>
      <c r="D28" s="20"/>
      <c r="E28" s="20"/>
      <c r="F28" s="20">
        <f t="shared" ref="F28:O28" si="0">F22</f>
        <v>2.8236042634293552</v>
      </c>
      <c r="G28" s="20">
        <f t="shared" si="0"/>
        <v>1.7862137899039783</v>
      </c>
      <c r="H28" s="20">
        <f t="shared" si="0"/>
        <v>1.4647842176131687</v>
      </c>
      <c r="I28" s="20">
        <f t="shared" si="0"/>
        <v>1.0283333072930956</v>
      </c>
      <c r="J28" s="20">
        <f t="shared" si="0"/>
        <v>0.76413119830361231</v>
      </c>
      <c r="K28" s="20">
        <f t="shared" si="0"/>
        <v>0.59676140335619565</v>
      </c>
      <c r="L28" s="20">
        <f t="shared" si="0"/>
        <v>0.67231549428440784</v>
      </c>
      <c r="M28" s="20">
        <f t="shared" si="0"/>
        <v>1.0068132489300412</v>
      </c>
      <c r="N28" s="20">
        <f t="shared" si="0"/>
        <v>1.6597173235596707</v>
      </c>
      <c r="O28" s="20">
        <f t="shared" si="0"/>
        <v>2.6701504977914952</v>
      </c>
      <c r="S28" s="3" t="s">
        <v>98</v>
      </c>
      <c r="T28" s="76">
        <v>200</v>
      </c>
      <c r="U28" s="3" t="s">
        <v>99</v>
      </c>
      <c r="V28" s="3"/>
      <c r="W28" s="6" t="s">
        <v>100</v>
      </c>
    </row>
    <row r="29" spans="2:23" ht="115.15" customHeight="1" x14ac:dyDescent="0.25">
      <c r="S29" s="80" t="s">
        <v>101</v>
      </c>
      <c r="T29" s="79">
        <v>30</v>
      </c>
      <c r="U29" s="80" t="s">
        <v>102</v>
      </c>
      <c r="V29" s="80"/>
      <c r="W29" s="81" t="s">
        <v>103</v>
      </c>
    </row>
    <row r="33" spans="2:23" x14ac:dyDescent="0.25">
      <c r="S33" s="100" t="s">
        <v>182</v>
      </c>
      <c r="T33" s="91"/>
      <c r="U33" s="91"/>
    </row>
    <row r="34" spans="2:23" x14ac:dyDescent="0.25">
      <c r="S34" s="2" t="s">
        <v>1</v>
      </c>
      <c r="T34" s="2" t="s">
        <v>2</v>
      </c>
      <c r="U34" s="2" t="s">
        <v>3</v>
      </c>
      <c r="V34" s="2" t="s">
        <v>4</v>
      </c>
      <c r="W34" s="2" t="s">
        <v>5</v>
      </c>
    </row>
    <row r="35" spans="2:23" x14ac:dyDescent="0.25">
      <c r="S35" s="16" t="s">
        <v>183</v>
      </c>
      <c r="T35" s="71">
        <v>2.7E-2</v>
      </c>
      <c r="U35" s="16" t="s">
        <v>184</v>
      </c>
      <c r="V35" s="3" t="s">
        <v>185</v>
      </c>
      <c r="W35" s="3" t="s">
        <v>186</v>
      </c>
    </row>
    <row r="36" spans="2:23" x14ac:dyDescent="0.25">
      <c r="S36" s="3" t="s">
        <v>187</v>
      </c>
      <c r="T36" s="4">
        <v>1000</v>
      </c>
      <c r="U36" s="3" t="s">
        <v>188</v>
      </c>
      <c r="V36" s="3" t="s">
        <v>189</v>
      </c>
      <c r="W36" s="3" t="s">
        <v>190</v>
      </c>
    </row>
    <row r="37" spans="2:23" x14ac:dyDescent="0.25">
      <c r="S37" s="72" t="s">
        <v>191</v>
      </c>
      <c r="T37" s="4">
        <v>2.4630000000000001</v>
      </c>
      <c r="U37" s="3" t="s">
        <v>192</v>
      </c>
      <c r="V37" s="3" t="s">
        <v>193</v>
      </c>
      <c r="W37" s="3" t="s">
        <v>154</v>
      </c>
    </row>
    <row r="38" spans="2:23" x14ac:dyDescent="0.25">
      <c r="S38" s="3" t="s">
        <v>194</v>
      </c>
      <c r="T38" s="4">
        <v>20</v>
      </c>
      <c r="U38" s="3" t="s">
        <v>195</v>
      </c>
      <c r="V38" s="3" t="s">
        <v>196</v>
      </c>
      <c r="W38" s="3" t="s">
        <v>190</v>
      </c>
    </row>
    <row r="47" spans="2:23" x14ac:dyDescent="0.25">
      <c r="B47" s="102" t="s">
        <v>202</v>
      </c>
      <c r="C47" s="103"/>
      <c r="D47" s="7" t="s">
        <v>14</v>
      </c>
      <c r="E47" s="7" t="s">
        <v>15</v>
      </c>
      <c r="F47" s="7" t="s">
        <v>16</v>
      </c>
      <c r="G47" s="7" t="s">
        <v>17</v>
      </c>
      <c r="H47" s="7" t="s">
        <v>18</v>
      </c>
      <c r="I47" s="7" t="s">
        <v>19</v>
      </c>
      <c r="J47" s="7" t="s">
        <v>20</v>
      </c>
      <c r="K47" s="7" t="s">
        <v>21</v>
      </c>
      <c r="L47" s="7" t="s">
        <v>22</v>
      </c>
      <c r="M47" s="7" t="s">
        <v>23</v>
      </c>
      <c r="N47" s="7" t="s">
        <v>24</v>
      </c>
      <c r="O47" s="7" t="s">
        <v>25</v>
      </c>
    </row>
    <row r="48" spans="2:23" x14ac:dyDescent="0.25">
      <c r="B48" s="90" t="s">
        <v>126</v>
      </c>
      <c r="C48" s="91"/>
      <c r="D48" s="20"/>
      <c r="E48" s="20"/>
      <c r="F48" s="22">
        <f>$T$13+(((F6*$T$35*$T$17/3600)+(F7*$T$17))/($T$16/10)/$T$23)+(2*$T$37*$T$36/$T$16/$T$23)</f>
        <v>0.95347546153971352</v>
      </c>
      <c r="G48" s="22">
        <f>$T$13+(((((G6+G8)/2)*$T$35*$T$17/3600)+(((G7+G9)/2)*$T$17))/($T$16/10)/$T$23)+(2*$T$37*$T$36/$T$16/$T$23)</f>
        <v>0.7065026431007605</v>
      </c>
      <c r="H48" s="22">
        <f>$T$13+(((((H6+H8+H10)/3)*$T$35*$T$17/3600)+(((H7+H9+H11)/3)*$T$17))/($T$16/10)/$T$23)+(2*$T$37*$T$36/$T$16/$T$23)</f>
        <v>0.60100233866076713</v>
      </c>
      <c r="I48" s="22">
        <f>$T$13+(((((I8+I10+I12)/3)*$T$35*$T$17/3600)+(((I9+I11+I13)/3)*$T$17))/($T$16/10)/$T$23)+(2*$T$37*$T$36/$T$16/$T$23)</f>
        <v>0.5229780045970831</v>
      </c>
      <c r="J48" s="22">
        <f>$T$13+(((((J8+J10+J12)/3)*$T$35*$T$17/3600)+(((J9+J11+J13)/3)*$T$17))/($T$16/10)/$T$23)+(2*$T$37*$T$36/$T$16/$T$23)</f>
        <v>0.47872373471219093</v>
      </c>
      <c r="K48" s="22">
        <f>$T$13+(((((K12+K14+K16)/3)*$T$35*$T$17/3600)+(((K13+K15+K17)/3)*$T$17))/($T$16/10)/$T$23)+(2*$T$37*$T$36/$T$16/$T$23)</f>
        <v>0.50494345086706838</v>
      </c>
      <c r="L48" s="22">
        <f>$T$13+(((((L14+L16+L18)/3)*$T$35*$T$17/3600)+(((L15+L17+L19)/3)*$T$17))/($T$16/10)/$T$23)+(2*$T$37*$T$36/$T$16/$T$23)</f>
        <v>0.55094676635649054</v>
      </c>
      <c r="M48" s="22">
        <f>$T$13+(((((M16+M18+M20)/3)*$T$35*$T$17/3600)+(((M17+M19+M21)/3)*$T$17))/($T$16/10)/$T$23)+(2*$T$37*$T$36/$T$16/$T$23)</f>
        <v>0.65829091276240326</v>
      </c>
      <c r="N48" s="22">
        <f>$T$13+(((((N18+N20)/2)*$T$35*$T$17/3600)+(((N19+N21)/2)*$T$17))/($T$16/10)/$T$23)+(2*$T$37*$T$36/$T$16/$T$23)</f>
        <v>0.80456138237204933</v>
      </c>
      <c r="O48" s="22">
        <f>$T$13+(((((O20))*$T$35*$T$17/3600)+(((O21))*$T$17))/($T$16/10)/$T$23)+(2*$T$37*$T$36/$T$16/$T$23)</f>
        <v>1.0340635099513285</v>
      </c>
    </row>
  </sheetData>
  <mergeCells count="17">
    <mergeCell ref="B47:C47"/>
    <mergeCell ref="B48:C48"/>
    <mergeCell ref="S33:U33"/>
    <mergeCell ref="B12:B13"/>
    <mergeCell ref="B18:B19"/>
    <mergeCell ref="B27:C27"/>
    <mergeCell ref="B28:C28"/>
    <mergeCell ref="W3:W5"/>
    <mergeCell ref="B22:C22"/>
    <mergeCell ref="B8:B9"/>
    <mergeCell ref="B16:B17"/>
    <mergeCell ref="B20:B21"/>
    <mergeCell ref="B10:B11"/>
    <mergeCell ref="W20:W21"/>
    <mergeCell ref="B6:B7"/>
    <mergeCell ref="B14:B15"/>
    <mergeCell ref="W7:W8"/>
  </mergeCells>
  <pageMargins left="0.75" right="0.75" top="1" bottom="1" header="0.5" footer="0.5"/>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W54"/>
  <sheetViews>
    <sheetView topLeftCell="K1" workbookViewId="0">
      <selection activeCell="V12" sqref="V12"/>
    </sheetView>
  </sheetViews>
  <sheetFormatPr defaultRowHeight="15" x14ac:dyDescent="0.25"/>
  <cols>
    <col min="2" max="2" width="29.28515625" style="1" customWidth="1"/>
    <col min="3" max="3" width="29.140625" customWidth="1"/>
    <col min="5" max="7" width="10.5703125" bestFit="1" customWidth="1"/>
    <col min="8" max="9" width="9.5703125" bestFit="1" customWidth="1"/>
    <col min="10" max="12" width="8.5703125" bestFit="1" customWidth="1"/>
    <col min="13" max="13" width="9.5703125" bestFit="1" customWidth="1"/>
    <col min="14" max="14" width="10.5703125" bestFit="1" customWidth="1"/>
    <col min="15" max="15" width="9.5703125" bestFit="1" customWidth="1"/>
    <col min="19" max="19" width="23.28515625" bestFit="1" customWidth="1"/>
    <col min="20" max="20" width="10.28515625" customWidth="1"/>
    <col min="21" max="21" width="16.5703125" bestFit="1" customWidth="1"/>
    <col min="22" max="22" width="62.140625" bestFit="1" customWidth="1"/>
    <col min="23" max="23" width="117.28515625" customWidth="1"/>
  </cols>
  <sheetData>
    <row r="1" spans="2:23" x14ac:dyDescent="0.25">
      <c r="B1" s="32" t="s">
        <v>127</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4" t="s">
        <v>105</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94" t="s">
        <v>12</v>
      </c>
      <c r="C6" s="3" t="s">
        <v>106</v>
      </c>
      <c r="D6" s="37" t="s">
        <v>29</v>
      </c>
      <c r="E6" s="11">
        <v>2440786.5499999998</v>
      </c>
      <c r="F6" s="3"/>
      <c r="G6" s="3"/>
      <c r="H6" s="3"/>
      <c r="I6" s="3"/>
      <c r="J6" s="3"/>
      <c r="K6" s="3"/>
      <c r="L6" s="3"/>
      <c r="M6" s="3"/>
      <c r="N6" s="3"/>
      <c r="O6" s="3"/>
      <c r="S6" s="3" t="s">
        <v>31</v>
      </c>
      <c r="T6" s="61">
        <v>0.216</v>
      </c>
      <c r="U6" s="3" t="s">
        <v>32</v>
      </c>
      <c r="V6" s="16" t="s">
        <v>128</v>
      </c>
      <c r="W6" s="19" t="s">
        <v>65</v>
      </c>
    </row>
    <row r="7" spans="2:23" ht="16.899999999999999" customHeight="1" x14ac:dyDescent="0.25">
      <c r="B7" s="85"/>
      <c r="C7" s="3" t="s">
        <v>109</v>
      </c>
      <c r="D7" s="37" t="s">
        <v>29</v>
      </c>
      <c r="E7" s="11">
        <v>160666.67000000001</v>
      </c>
      <c r="F7" s="3"/>
      <c r="G7" s="3"/>
      <c r="H7" s="3"/>
      <c r="I7" s="3"/>
      <c r="J7" s="3"/>
      <c r="K7" s="3"/>
      <c r="L7" s="3"/>
      <c r="M7" s="3"/>
      <c r="N7" s="3"/>
      <c r="O7" s="3"/>
      <c r="S7" s="3" t="s">
        <v>36</v>
      </c>
      <c r="T7" s="61">
        <v>2.6199999999999999E-3</v>
      </c>
      <c r="U7" s="16" t="s">
        <v>37</v>
      </c>
      <c r="V7" s="16" t="s">
        <v>203</v>
      </c>
      <c r="W7" s="86" t="s">
        <v>151</v>
      </c>
    </row>
    <row r="8" spans="2:23" ht="16.899999999999999" customHeight="1" x14ac:dyDescent="0.25">
      <c r="B8" s="94" t="s">
        <v>46</v>
      </c>
      <c r="C8" s="3" t="s">
        <v>106</v>
      </c>
      <c r="D8" s="3"/>
      <c r="E8" s="37" t="s">
        <v>29</v>
      </c>
      <c r="F8" s="11">
        <v>1657423.5</v>
      </c>
      <c r="G8" s="3"/>
      <c r="H8" s="3"/>
      <c r="I8" s="3"/>
      <c r="J8" s="3"/>
      <c r="K8" s="3"/>
      <c r="L8" s="3"/>
      <c r="M8" s="3"/>
      <c r="N8" s="3"/>
      <c r="O8" s="3"/>
      <c r="S8" s="3" t="s">
        <v>39</v>
      </c>
      <c r="T8" s="61">
        <v>5.13E-3</v>
      </c>
      <c r="U8" s="3" t="s">
        <v>37</v>
      </c>
      <c r="V8" s="16" t="s">
        <v>204</v>
      </c>
      <c r="W8" s="84"/>
    </row>
    <row r="9" spans="2:23" ht="16.899999999999999" customHeight="1" x14ac:dyDescent="0.25">
      <c r="B9" s="85"/>
      <c r="C9" s="3" t="s">
        <v>109</v>
      </c>
      <c r="D9" s="3"/>
      <c r="E9" s="37" t="s">
        <v>29</v>
      </c>
      <c r="F9" s="11">
        <v>90666.67</v>
      </c>
      <c r="G9" s="3"/>
      <c r="H9" s="3"/>
      <c r="I9" s="3"/>
      <c r="J9" s="3"/>
      <c r="K9" s="3"/>
      <c r="L9" s="3"/>
      <c r="M9" s="3"/>
      <c r="N9" s="3"/>
      <c r="O9" s="3"/>
      <c r="S9" s="3" t="s">
        <v>41</v>
      </c>
      <c r="T9" s="61">
        <v>5.5099999999999995E-4</v>
      </c>
      <c r="U9" s="3" t="s">
        <v>37</v>
      </c>
      <c r="V9" s="16" t="s">
        <v>205</v>
      </c>
      <c r="W9" s="85"/>
    </row>
    <row r="10" spans="2:23" ht="16.899999999999999" customHeight="1" x14ac:dyDescent="0.25">
      <c r="B10" s="94" t="s">
        <v>116</v>
      </c>
      <c r="C10" s="3" t="s">
        <v>106</v>
      </c>
      <c r="D10" s="3"/>
      <c r="E10" s="3"/>
      <c r="F10" s="37" t="s">
        <v>29</v>
      </c>
      <c r="G10" s="11">
        <v>1368387.23</v>
      </c>
      <c r="H10" s="3"/>
      <c r="I10" s="3"/>
      <c r="J10" s="3"/>
      <c r="K10" s="3"/>
      <c r="L10" s="3"/>
      <c r="M10" s="3"/>
      <c r="N10" s="3"/>
      <c r="O10" s="3"/>
      <c r="S10" s="59" t="s">
        <v>43</v>
      </c>
      <c r="T10" s="21">
        <f>18.7/T16</f>
        <v>0.35150375939849621</v>
      </c>
      <c r="U10" s="3" t="s">
        <v>37</v>
      </c>
      <c r="V10" t="s">
        <v>132</v>
      </c>
      <c r="W10" s="19" t="s">
        <v>65</v>
      </c>
    </row>
    <row r="11" spans="2:23" ht="15.6" customHeight="1" x14ac:dyDescent="0.25">
      <c r="B11" s="85"/>
      <c r="C11" s="3" t="s">
        <v>109</v>
      </c>
      <c r="D11" s="3"/>
      <c r="E11" s="3"/>
      <c r="F11" s="37" t="s">
        <v>29</v>
      </c>
      <c r="G11" s="11">
        <v>40666.67</v>
      </c>
      <c r="H11" s="3"/>
      <c r="I11" s="3"/>
      <c r="J11" s="3"/>
      <c r="K11" s="3"/>
      <c r="L11" s="3"/>
      <c r="M11" s="3"/>
      <c r="N11" s="3"/>
      <c r="O11" s="3"/>
      <c r="S11" s="53" t="s">
        <v>47</v>
      </c>
      <c r="T11" s="54">
        <v>9.0999999999999998E-2</v>
      </c>
      <c r="U11" s="53" t="s">
        <v>37</v>
      </c>
      <c r="V11" s="64" t="s">
        <v>48</v>
      </c>
      <c r="W11" s="53" t="s">
        <v>49</v>
      </c>
    </row>
    <row r="12" spans="2:23" ht="15.6" customHeight="1" x14ac:dyDescent="0.25">
      <c r="B12" s="94" t="s">
        <v>118</v>
      </c>
      <c r="C12" s="3" t="s">
        <v>106</v>
      </c>
      <c r="D12" s="3"/>
      <c r="E12" s="3"/>
      <c r="F12" s="3"/>
      <c r="G12" s="37" t="s">
        <v>29</v>
      </c>
      <c r="H12" s="11">
        <v>855407.12</v>
      </c>
      <c r="I12" s="3"/>
      <c r="J12" s="3"/>
      <c r="K12" s="3"/>
      <c r="L12" s="3"/>
      <c r="M12" s="3"/>
      <c r="N12" s="3"/>
      <c r="O12" s="3"/>
      <c r="S12" s="3" t="s">
        <v>50</v>
      </c>
      <c r="T12" s="61">
        <v>0.01</v>
      </c>
      <c r="U12" s="3" t="s">
        <v>37</v>
      </c>
      <c r="V12" s="3" t="s">
        <v>179</v>
      </c>
      <c r="W12" s="3" t="s">
        <v>52</v>
      </c>
    </row>
    <row r="13" spans="2:23" x14ac:dyDescent="0.25">
      <c r="B13" s="85"/>
      <c r="C13" s="3" t="s">
        <v>109</v>
      </c>
      <c r="D13" s="3"/>
      <c r="E13" s="3"/>
      <c r="F13" s="3"/>
      <c r="G13" s="37" t="s">
        <v>29</v>
      </c>
      <c r="H13" s="11">
        <v>19000</v>
      </c>
      <c r="I13" s="3"/>
      <c r="J13" s="3"/>
      <c r="K13" s="3"/>
      <c r="L13" s="3"/>
      <c r="M13" s="3"/>
      <c r="N13" s="3"/>
      <c r="O13" s="3"/>
      <c r="S13" s="60" t="s">
        <v>53</v>
      </c>
      <c r="T13" s="62">
        <f>(SUM(T3:T6)/60)+SUM(T7:T12)</f>
        <v>0.52742142606516285</v>
      </c>
      <c r="U13" s="60" t="s">
        <v>37</v>
      </c>
      <c r="V13" s="60" t="s">
        <v>54</v>
      </c>
    </row>
    <row r="14" spans="2:23" x14ac:dyDescent="0.25">
      <c r="B14" s="94" t="s">
        <v>119</v>
      </c>
      <c r="C14" s="3" t="s">
        <v>106</v>
      </c>
      <c r="D14" s="3"/>
      <c r="E14" s="3"/>
      <c r="F14" s="3"/>
      <c r="G14" s="3"/>
      <c r="H14" s="37" t="s">
        <v>29</v>
      </c>
      <c r="I14" s="11">
        <v>278818.46999999997</v>
      </c>
      <c r="J14" s="3"/>
      <c r="K14" s="3"/>
      <c r="L14" s="3"/>
      <c r="M14" s="3"/>
      <c r="N14" s="3"/>
      <c r="O14" s="3"/>
    </row>
    <row r="15" spans="2:23" ht="16.149999999999999" customHeight="1" x14ac:dyDescent="0.25">
      <c r="B15" s="85"/>
      <c r="C15" s="3" t="s">
        <v>109</v>
      </c>
      <c r="D15" s="3"/>
      <c r="E15" s="3"/>
      <c r="F15" s="3"/>
      <c r="G15" s="3"/>
      <c r="H15" s="37" t="s">
        <v>29</v>
      </c>
      <c r="I15" s="11">
        <v>11666.67</v>
      </c>
      <c r="J15" s="3"/>
      <c r="K15" s="3"/>
      <c r="L15" s="3"/>
      <c r="M15" s="3"/>
      <c r="N15" s="3"/>
      <c r="O15" s="3"/>
      <c r="S15" s="2" t="s">
        <v>55</v>
      </c>
      <c r="T15" s="2" t="s">
        <v>2</v>
      </c>
      <c r="U15" s="2" t="s">
        <v>3</v>
      </c>
      <c r="V15" s="2" t="s">
        <v>4</v>
      </c>
      <c r="W15" s="2" t="s">
        <v>5</v>
      </c>
    </row>
    <row r="16" spans="2:23" ht="15.6" customHeight="1" x14ac:dyDescent="0.25">
      <c r="B16" s="94" t="s">
        <v>120</v>
      </c>
      <c r="C16" s="3" t="s">
        <v>106</v>
      </c>
      <c r="D16" s="3"/>
      <c r="E16" s="3"/>
      <c r="F16" s="3"/>
      <c r="G16" s="3"/>
      <c r="H16" s="3"/>
      <c r="I16" s="37" t="s">
        <v>29</v>
      </c>
      <c r="J16" s="11">
        <v>17115.099999999999</v>
      </c>
      <c r="K16" s="3"/>
      <c r="L16" s="3"/>
      <c r="M16" s="3"/>
      <c r="N16" s="3"/>
      <c r="O16" s="3"/>
      <c r="S16" s="3" t="s">
        <v>56</v>
      </c>
      <c r="T16" s="25">
        <v>53.2</v>
      </c>
      <c r="U16" s="3" t="s">
        <v>57</v>
      </c>
      <c r="V16" s="3"/>
      <c r="W16" s="3" t="s">
        <v>65</v>
      </c>
    </row>
    <row r="17" spans="2:23" ht="15.6" customHeight="1" x14ac:dyDescent="0.25">
      <c r="B17" s="85"/>
      <c r="C17" s="3" t="s">
        <v>109</v>
      </c>
      <c r="D17" s="3"/>
      <c r="E17" s="3"/>
      <c r="F17" s="3"/>
      <c r="G17" s="3"/>
      <c r="H17" s="3"/>
      <c r="I17" s="37" t="s">
        <v>29</v>
      </c>
      <c r="J17" s="11">
        <v>7000</v>
      </c>
      <c r="K17" s="3"/>
      <c r="L17" s="3"/>
      <c r="M17" s="3"/>
      <c r="N17" s="3"/>
      <c r="O17" s="3"/>
      <c r="S17" s="53" t="s">
        <v>60</v>
      </c>
      <c r="T17" s="58">
        <v>0.128</v>
      </c>
      <c r="U17" s="53" t="s">
        <v>61</v>
      </c>
      <c r="V17" s="55"/>
      <c r="W17" s="67" t="s">
        <v>154</v>
      </c>
    </row>
    <row r="18" spans="2:23" ht="16.149999999999999" customHeight="1" x14ac:dyDescent="0.25">
      <c r="B18" s="94" t="s">
        <v>121</v>
      </c>
      <c r="C18" s="3" t="s">
        <v>106</v>
      </c>
      <c r="D18" s="3"/>
      <c r="E18" s="3"/>
      <c r="F18" s="3"/>
      <c r="G18" s="3"/>
      <c r="H18" s="3"/>
      <c r="I18" s="3"/>
      <c r="J18" s="37" t="s">
        <v>29</v>
      </c>
      <c r="K18" s="11">
        <v>21307.71</v>
      </c>
      <c r="L18" s="3"/>
      <c r="M18" s="3"/>
      <c r="N18" s="3"/>
      <c r="O18" s="3"/>
      <c r="S18" s="3" t="s">
        <v>63</v>
      </c>
      <c r="T18" s="4">
        <v>1.78</v>
      </c>
      <c r="U18" s="16" t="s">
        <v>64</v>
      </c>
      <c r="V18" s="3"/>
      <c r="W18" s="3" t="s">
        <v>65</v>
      </c>
    </row>
    <row r="19" spans="2:23" x14ac:dyDescent="0.25">
      <c r="B19" s="85"/>
      <c r="C19" s="3" t="s">
        <v>109</v>
      </c>
      <c r="D19" s="3"/>
      <c r="E19" s="3"/>
      <c r="F19" s="3"/>
      <c r="G19" s="3"/>
      <c r="H19" s="3"/>
      <c r="I19" s="3"/>
      <c r="J19" s="37" t="s">
        <v>29</v>
      </c>
      <c r="K19" s="11">
        <v>13333.33</v>
      </c>
      <c r="L19" s="3"/>
      <c r="M19" s="3"/>
      <c r="N19" s="3"/>
      <c r="O19" s="3"/>
      <c r="S19" s="3" t="s">
        <v>66</v>
      </c>
      <c r="T19" s="4">
        <v>36</v>
      </c>
      <c r="U19" s="3" t="s">
        <v>67</v>
      </c>
      <c r="V19" s="3"/>
    </row>
    <row r="20" spans="2:23" x14ac:dyDescent="0.25">
      <c r="B20" s="94" t="s">
        <v>122</v>
      </c>
      <c r="C20" s="3" t="s">
        <v>106</v>
      </c>
      <c r="D20" s="3"/>
      <c r="E20" s="3"/>
      <c r="F20" s="3"/>
      <c r="G20" s="3"/>
      <c r="H20" s="3"/>
      <c r="I20" s="3"/>
      <c r="J20" s="3"/>
      <c r="K20" s="37" t="s">
        <v>29</v>
      </c>
      <c r="L20" s="11">
        <v>55740.27</v>
      </c>
      <c r="M20" s="3"/>
      <c r="N20" s="3"/>
      <c r="O20" s="3"/>
      <c r="S20" s="19" t="s">
        <v>68</v>
      </c>
      <c r="T20" s="4">
        <v>0.5</v>
      </c>
      <c r="U20" s="17" t="s">
        <v>69</v>
      </c>
      <c r="V20" s="3"/>
      <c r="W20" s="95" t="s">
        <v>9</v>
      </c>
    </row>
    <row r="21" spans="2:23" x14ac:dyDescent="0.25">
      <c r="B21" s="85"/>
      <c r="C21" s="3" t="s">
        <v>109</v>
      </c>
      <c r="D21" s="3"/>
      <c r="E21" s="3"/>
      <c r="F21" s="3"/>
      <c r="G21" s="3"/>
      <c r="H21" s="3"/>
      <c r="I21" s="3"/>
      <c r="J21" s="3"/>
      <c r="K21" s="37" t="s">
        <v>29</v>
      </c>
      <c r="L21" s="11">
        <v>31666.67</v>
      </c>
      <c r="M21" s="3"/>
      <c r="N21" s="3"/>
      <c r="O21" s="3"/>
      <c r="S21" s="19" t="s">
        <v>70</v>
      </c>
      <c r="T21" s="4">
        <v>0.4</v>
      </c>
      <c r="U21" s="18" t="s">
        <v>69</v>
      </c>
      <c r="V21" s="3"/>
      <c r="W21" s="85"/>
    </row>
    <row r="22" spans="2:23" x14ac:dyDescent="0.25">
      <c r="B22" s="94" t="s">
        <v>133</v>
      </c>
      <c r="C22" s="3" t="s">
        <v>106</v>
      </c>
      <c r="D22" s="3"/>
      <c r="E22" s="3"/>
      <c r="F22" s="3"/>
      <c r="G22" s="3"/>
      <c r="H22" s="3"/>
      <c r="I22" s="3"/>
      <c r="J22" s="3"/>
      <c r="K22" s="3"/>
      <c r="L22" s="37" t="s">
        <v>29</v>
      </c>
      <c r="M22" s="11">
        <v>424035.34</v>
      </c>
      <c r="N22" s="3"/>
      <c r="O22" s="3"/>
      <c r="S22" s="3" t="s">
        <v>71</v>
      </c>
      <c r="T22" s="4" t="s">
        <v>72</v>
      </c>
      <c r="U22" s="3"/>
      <c r="V22" s="3"/>
      <c r="W22" s="3"/>
    </row>
    <row r="23" spans="2:23" x14ac:dyDescent="0.25">
      <c r="B23" s="85"/>
      <c r="C23" s="3" t="s">
        <v>109</v>
      </c>
      <c r="D23" s="3"/>
      <c r="E23" s="3"/>
      <c r="F23" s="3"/>
      <c r="G23" s="3"/>
      <c r="H23" s="3"/>
      <c r="I23" s="3"/>
      <c r="J23" s="3"/>
      <c r="K23" s="3"/>
      <c r="L23" s="37" t="s">
        <v>29</v>
      </c>
      <c r="M23" s="11">
        <v>70000</v>
      </c>
      <c r="N23" s="3"/>
      <c r="O23" s="3"/>
      <c r="S23" s="3" t="s">
        <v>74</v>
      </c>
      <c r="T23" s="4">
        <v>10000</v>
      </c>
      <c r="U23" s="3" t="s">
        <v>75</v>
      </c>
      <c r="V23" s="3" t="s">
        <v>76</v>
      </c>
      <c r="W23" s="3"/>
    </row>
    <row r="24" spans="2:23" ht="16.149999999999999" customHeight="1" x14ac:dyDescent="0.25">
      <c r="B24" s="94" t="s">
        <v>134</v>
      </c>
      <c r="C24" s="3" t="s">
        <v>106</v>
      </c>
      <c r="D24" s="3"/>
      <c r="E24" s="3"/>
      <c r="F24" s="3"/>
      <c r="G24" s="3"/>
      <c r="H24" s="3"/>
      <c r="I24" s="3"/>
      <c r="J24" s="3"/>
      <c r="K24" s="3"/>
      <c r="L24" s="3"/>
      <c r="M24" s="37" t="s">
        <v>29</v>
      </c>
      <c r="N24" s="11">
        <v>1344483.76</v>
      </c>
      <c r="O24" s="3"/>
      <c r="S24" s="3" t="s">
        <v>79</v>
      </c>
      <c r="T24" s="76" t="s">
        <v>124</v>
      </c>
      <c r="U24" s="3" t="s">
        <v>81</v>
      </c>
      <c r="V24" s="3" t="s">
        <v>125</v>
      </c>
      <c r="W24" s="6" t="s">
        <v>83</v>
      </c>
    </row>
    <row r="25" spans="2:23" x14ac:dyDescent="0.25">
      <c r="B25" s="85"/>
      <c r="C25" s="3" t="s">
        <v>109</v>
      </c>
      <c r="D25" s="3"/>
      <c r="E25" s="3"/>
      <c r="F25" s="3"/>
      <c r="G25" s="3"/>
      <c r="H25" s="3"/>
      <c r="I25" s="3"/>
      <c r="J25" s="3"/>
      <c r="K25" s="3"/>
      <c r="L25" s="3"/>
      <c r="M25" s="37" t="s">
        <v>29</v>
      </c>
      <c r="N25" s="11">
        <v>134333.32999999999</v>
      </c>
      <c r="O25" s="3"/>
      <c r="S25" s="3" t="s">
        <v>85</v>
      </c>
      <c r="T25" s="76">
        <v>10.8</v>
      </c>
      <c r="U25" s="3" t="s">
        <v>86</v>
      </c>
      <c r="V25" s="3" t="s">
        <v>87</v>
      </c>
      <c r="W25" s="6" t="s">
        <v>88</v>
      </c>
    </row>
    <row r="26" spans="2:23" ht="15.6" customHeight="1" x14ac:dyDescent="0.25">
      <c r="B26" s="94" t="s">
        <v>135</v>
      </c>
      <c r="C26" s="3" t="s">
        <v>106</v>
      </c>
      <c r="D26" s="3"/>
      <c r="E26" s="3"/>
      <c r="F26" s="3"/>
      <c r="G26" s="3"/>
      <c r="H26" s="3"/>
      <c r="I26" s="3"/>
      <c r="J26" s="3"/>
      <c r="K26" s="3"/>
      <c r="L26" s="3"/>
      <c r="M26" s="3"/>
      <c r="N26" s="37" t="s">
        <v>29</v>
      </c>
      <c r="O26" s="11">
        <v>2220037.71</v>
      </c>
      <c r="S26" s="3" t="s">
        <v>90</v>
      </c>
      <c r="T26" s="76">
        <v>15</v>
      </c>
      <c r="U26" s="3" t="s">
        <v>91</v>
      </c>
      <c r="V26" s="3" t="s">
        <v>92</v>
      </c>
      <c r="W26" s="3" t="s">
        <v>93</v>
      </c>
    </row>
    <row r="27" spans="2:23" ht="16.149999999999999" customHeight="1" x14ac:dyDescent="0.25">
      <c r="B27" s="85"/>
      <c r="C27" s="3" t="s">
        <v>109</v>
      </c>
      <c r="D27" s="3"/>
      <c r="E27" s="3"/>
      <c r="F27" s="3"/>
      <c r="G27" s="3"/>
      <c r="H27" s="3"/>
      <c r="I27" s="3"/>
      <c r="J27" s="3"/>
      <c r="K27" s="3"/>
      <c r="L27" s="3"/>
      <c r="M27" s="3"/>
      <c r="N27" s="37" t="s">
        <v>29</v>
      </c>
      <c r="O27" s="11">
        <v>193666.67</v>
      </c>
      <c r="S27" s="3" t="s">
        <v>94</v>
      </c>
      <c r="T27" s="76">
        <v>100</v>
      </c>
      <c r="U27" s="3" t="s">
        <v>95</v>
      </c>
      <c r="V27" s="3" t="s">
        <v>96</v>
      </c>
      <c r="W27" s="3" t="s">
        <v>97</v>
      </c>
    </row>
    <row r="28" spans="2:23" ht="15.6" customHeight="1" x14ac:dyDescent="0.25">
      <c r="B28" s="96" t="s">
        <v>123</v>
      </c>
      <c r="C28" s="97"/>
      <c r="D28" s="20"/>
      <c r="E28" s="22">
        <f>$T$13+((E6*$T$18/$T$19)+(E7*$T$17))/($T$16/11)/$T$23</f>
        <v>3.4479766066186288</v>
      </c>
      <c r="F28" s="22">
        <f>$T$13+((F8*$T$18/$T$19)+(F9*$T$17))/($T$16/11)/10000</f>
        <v>2.4618441651503753</v>
      </c>
      <c r="G28" s="22">
        <f>$T$13+((G10*$T$18/$T$19)+(G11*$T$17))/($T$16/11)/10000</f>
        <v>2.0340178197765244</v>
      </c>
      <c r="H28" s="22">
        <f>$T$13+((H12*$T$18/$T$19)+(H13*$T$17))/($T$16/11)/10000</f>
        <v>1.452230501336675</v>
      </c>
      <c r="I28" s="22">
        <f>$T$13+((I14*$T$18/$T$19)+(I15*$T$17))/($T$16/11)/10000</f>
        <v>0.84334800352756889</v>
      </c>
      <c r="J28" s="22">
        <f>$T$13+((J16*$T$18/$T$19)+(J17*$T$17))/($T$16/11)/10000</f>
        <v>0.56344532215956555</v>
      </c>
      <c r="K28" s="22">
        <f>$T$13+((K18*$T$18/$T$19)+(K19*$T$17))/($T$16/11)/10000</f>
        <v>0.58449352260025056</v>
      </c>
      <c r="L28" s="22">
        <f>$T$13+((L20*$T$18/$T$19)+(L21*$T$17))/($T$16/11)/10000</f>
        <v>0.66821688635964904</v>
      </c>
      <c r="M28" s="22">
        <f>$T$13+((M22*$T$18/$T$19)+(M23*$T$17))/($T$16/11)/10000</f>
        <v>1.1461960687761068</v>
      </c>
      <c r="N28" s="22">
        <f>$T$13+((N24*$T$18/$T$19)+(N25*$T$17))/($T$16/11)/10000</f>
        <v>2.2574798978613195</v>
      </c>
      <c r="O28" s="22">
        <f>$T$13+((O26*$T$18/$T$19)+(O27*$T$17))/($T$16/11)/10000</f>
        <v>3.3096329199436081</v>
      </c>
      <c r="S28" s="3" t="s">
        <v>98</v>
      </c>
      <c r="T28" s="76">
        <v>100</v>
      </c>
      <c r="U28" s="3" t="s">
        <v>99</v>
      </c>
      <c r="V28" s="3"/>
      <c r="W28" s="6" t="s">
        <v>100</v>
      </c>
    </row>
    <row r="29" spans="2:23" ht="115.15" customHeight="1" x14ac:dyDescent="0.25">
      <c r="S29" s="80" t="s">
        <v>101</v>
      </c>
      <c r="T29" s="79">
        <v>20</v>
      </c>
      <c r="U29" s="80" t="s">
        <v>102</v>
      </c>
      <c r="V29" s="80"/>
      <c r="W29" s="81" t="s">
        <v>103</v>
      </c>
    </row>
    <row r="33" spans="2:23" x14ac:dyDescent="0.25">
      <c r="B33" s="102" t="s">
        <v>181</v>
      </c>
      <c r="C33" s="103"/>
      <c r="D33" s="7" t="s">
        <v>14</v>
      </c>
      <c r="E33" s="7" t="s">
        <v>15</v>
      </c>
      <c r="F33" s="7" t="s">
        <v>16</v>
      </c>
      <c r="G33" s="7" t="s">
        <v>17</v>
      </c>
      <c r="H33" s="7" t="s">
        <v>18</v>
      </c>
      <c r="I33" s="7" t="s">
        <v>19</v>
      </c>
      <c r="J33" s="7" t="s">
        <v>20</v>
      </c>
      <c r="K33" s="7" t="s">
        <v>21</v>
      </c>
      <c r="L33" s="7" t="s">
        <v>22</v>
      </c>
      <c r="M33" s="7" t="s">
        <v>23</v>
      </c>
      <c r="N33" s="7" t="s">
        <v>24</v>
      </c>
      <c r="O33" s="7" t="s">
        <v>25</v>
      </c>
      <c r="S33" s="100" t="s">
        <v>182</v>
      </c>
      <c r="T33" s="91"/>
      <c r="U33" s="91"/>
    </row>
    <row r="34" spans="2:23" ht="15.6" customHeight="1" x14ac:dyDescent="0.25">
      <c r="B34" s="90" t="s">
        <v>136</v>
      </c>
      <c r="C34" s="91"/>
      <c r="D34" s="22"/>
      <c r="E34" s="22">
        <f t="shared" ref="E34:O34" si="0">E28</f>
        <v>3.4479766066186288</v>
      </c>
      <c r="F34" s="22">
        <f t="shared" si="0"/>
        <v>2.4618441651503753</v>
      </c>
      <c r="G34" s="22">
        <f t="shared" si="0"/>
        <v>2.0340178197765244</v>
      </c>
      <c r="H34" s="22">
        <f t="shared" si="0"/>
        <v>1.452230501336675</v>
      </c>
      <c r="I34" s="22">
        <f t="shared" si="0"/>
        <v>0.84334800352756889</v>
      </c>
      <c r="J34" s="22">
        <f t="shared" si="0"/>
        <v>0.56344532215956555</v>
      </c>
      <c r="K34" s="22">
        <f t="shared" si="0"/>
        <v>0.58449352260025056</v>
      </c>
      <c r="L34" s="22">
        <f t="shared" si="0"/>
        <v>0.66821688635964904</v>
      </c>
      <c r="M34" s="22">
        <f t="shared" si="0"/>
        <v>1.1461960687761068</v>
      </c>
      <c r="N34" s="22">
        <f t="shared" si="0"/>
        <v>2.2574798978613195</v>
      </c>
      <c r="O34" s="22">
        <f t="shared" si="0"/>
        <v>3.3096329199436081</v>
      </c>
      <c r="S34" s="2" t="s">
        <v>1</v>
      </c>
      <c r="T34" s="2" t="s">
        <v>2</v>
      </c>
      <c r="U34" s="2" t="s">
        <v>3</v>
      </c>
      <c r="V34" s="2" t="s">
        <v>4</v>
      </c>
      <c r="W34" s="2" t="s">
        <v>5</v>
      </c>
    </row>
    <row r="35" spans="2:23" x14ac:dyDescent="0.25">
      <c r="S35" s="16" t="s">
        <v>183</v>
      </c>
      <c r="T35" s="71">
        <v>2.7E-2</v>
      </c>
      <c r="U35" s="16" t="s">
        <v>184</v>
      </c>
      <c r="V35" s="3" t="s">
        <v>185</v>
      </c>
      <c r="W35" s="3" t="s">
        <v>186</v>
      </c>
    </row>
    <row r="36" spans="2:23" x14ac:dyDescent="0.25">
      <c r="S36" s="3" t="s">
        <v>187</v>
      </c>
      <c r="T36" s="4">
        <v>1000</v>
      </c>
      <c r="U36" s="3" t="s">
        <v>188</v>
      </c>
      <c r="V36" s="3" t="s">
        <v>189</v>
      </c>
      <c r="W36" s="3" t="s">
        <v>190</v>
      </c>
    </row>
    <row r="37" spans="2:23" x14ac:dyDescent="0.25">
      <c r="S37" s="72" t="s">
        <v>191</v>
      </c>
      <c r="T37" s="4">
        <v>2.4630000000000001</v>
      </c>
      <c r="U37" s="3" t="s">
        <v>192</v>
      </c>
      <c r="V37" s="3" t="s">
        <v>193</v>
      </c>
      <c r="W37" s="3" t="s">
        <v>154</v>
      </c>
    </row>
    <row r="38" spans="2:23" x14ac:dyDescent="0.25">
      <c r="S38" s="3" t="s">
        <v>194</v>
      </c>
      <c r="T38" s="4">
        <v>20</v>
      </c>
      <c r="U38" s="3" t="s">
        <v>195</v>
      </c>
      <c r="V38" s="3" t="s">
        <v>196</v>
      </c>
      <c r="W38" s="3" t="s">
        <v>190</v>
      </c>
    </row>
    <row r="53" spans="2:15" x14ac:dyDescent="0.25">
      <c r="B53" s="102" t="s">
        <v>202</v>
      </c>
      <c r="C53" s="103"/>
      <c r="D53" s="7" t="s">
        <v>14</v>
      </c>
      <c r="E53" s="7" t="s">
        <v>15</v>
      </c>
      <c r="F53" s="7" t="s">
        <v>16</v>
      </c>
      <c r="G53" s="7" t="s">
        <v>17</v>
      </c>
      <c r="H53" s="7" t="s">
        <v>18</v>
      </c>
      <c r="I53" s="7" t="s">
        <v>19</v>
      </c>
      <c r="J53" s="7" t="s">
        <v>20</v>
      </c>
      <c r="K53" s="7" t="s">
        <v>21</v>
      </c>
      <c r="L53" s="7" t="s">
        <v>22</v>
      </c>
      <c r="M53" s="7" t="s">
        <v>23</v>
      </c>
      <c r="N53" s="7" t="s">
        <v>24</v>
      </c>
      <c r="O53" s="7" t="s">
        <v>25</v>
      </c>
    </row>
    <row r="54" spans="2:15" x14ac:dyDescent="0.25">
      <c r="B54" s="90" t="s">
        <v>136</v>
      </c>
      <c r="C54" s="91"/>
      <c r="D54" s="22"/>
      <c r="E54" s="22">
        <f>$T$13+(((E6*$T$35*$T$17/3600)+(E7*$T$17))/($T$16/11)/$T$23)+(2*$T$37*$T$36/$T$16/$T$23)</f>
        <v>0.96195233972299743</v>
      </c>
      <c r="F54" s="22">
        <f>$T$13+(((F8*$T$35*$T$17/3600)+(F9*$T$17))/($T$16/11)/$T$23)+(2*$T$37*$T$36/$T$16/$T$23)</f>
        <v>0.77667363236621545</v>
      </c>
      <c r="G54" s="22">
        <f>$T$13+(((G10*$T$35*$T$17/3600)+(G11*$T$17))/($T$16/11)/$T$23)+(2*$T$37*$T$36/$T$16/$T$23)</f>
        <v>0.644337068037247</v>
      </c>
      <c r="H54" s="22">
        <f>$T$13+(((H12*$T$35*$T$17/3600)+(H13*$T$17))/($T$16/11)/$T$23)+(2*$T$37*$T$36/$T$16/$T$23)</f>
        <v>0.58698351835686813</v>
      </c>
      <c r="I54" s="22">
        <f>$T$13+(((I14*$T$35*$T$17/3600)+(I15*$T$17))/($T$16/11)/$T$23)+(2*$T$37*$T$36/$T$16/$T$23)</f>
        <v>0.56756356080772519</v>
      </c>
      <c r="J54" s="22">
        <f>$T$13+(((J16*$T$35*$T$17/3600)+(J17*$T$17))/($T$16/11)/$T$23)+(2*$T$37*$T$36/$T$16/$T$23)</f>
        <v>0.55520748007917786</v>
      </c>
      <c r="K54" s="22">
        <f>$T$13+(((K18*$T$35*$T$17/3600)+(K19*$T$17))/($T$16/11)/$T$23)+(2*$T$37*$T$36/$T$16/$T$23)</f>
        <v>0.57196945924075981</v>
      </c>
      <c r="L54" s="22">
        <f>$T$13+(((L20*$T$35*$T$17/3600)+(L21*$T$17))/($T$16/11)/$T$23)+(2*$T$37*$T$36/$T$16/$T$23)</f>
        <v>0.62049146361638685</v>
      </c>
      <c r="M54" s="22">
        <f>$T$13+(((M22*$T$35*$T$17/3600)+(M23*$T$17))/($T$16/11)/$T$23)+(2*$T$37*$T$36/$T$16/$T$23)</f>
        <v>0.72195239939822753</v>
      </c>
      <c r="N54" s="22">
        <f>$T$13+(((N24*$T$35*$T$17/3600)+(N25*$T$17))/($T$16/11)/$T$23)+(2*$T$37*$T$36/$T$16/$T$23)</f>
        <v>0.89223632529167696</v>
      </c>
      <c r="O54" s="22">
        <f>$T$13+(((O26*$T$35*$T$17/3600)+(O27*$T$17))/($T$16/11)/$T$23)+(2*$T$37*$T$36/$T$16/$T$23)</f>
        <v>1.0492863038061733</v>
      </c>
    </row>
  </sheetData>
  <mergeCells count="20">
    <mergeCell ref="B54:C54"/>
    <mergeCell ref="B12:B13"/>
    <mergeCell ref="B18:B19"/>
    <mergeCell ref="B8:B9"/>
    <mergeCell ref="W20:W21"/>
    <mergeCell ref="B14:B15"/>
    <mergeCell ref="S33:U33"/>
    <mergeCell ref="B10:B11"/>
    <mergeCell ref="W7:W9"/>
    <mergeCell ref="W3:W5"/>
    <mergeCell ref="B26:B27"/>
    <mergeCell ref="B6:B7"/>
    <mergeCell ref="B24:B25"/>
    <mergeCell ref="B53:C53"/>
    <mergeCell ref="B34:C34"/>
    <mergeCell ref="B28:C28"/>
    <mergeCell ref="B20:B21"/>
    <mergeCell ref="B33:C33"/>
    <mergeCell ref="B22:B23"/>
    <mergeCell ref="B16:B17"/>
  </mergeCells>
  <pageMargins left="0.75" right="0.75" top="1" bottom="1" header="0.5" footer="0.5"/>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W38"/>
  <sheetViews>
    <sheetView topLeftCell="W13" workbookViewId="0">
      <selection activeCell="W24" sqref="W24"/>
    </sheetView>
  </sheetViews>
  <sheetFormatPr defaultRowHeight="15" x14ac:dyDescent="0.25"/>
  <cols>
    <col min="2" max="2" width="25" customWidth="1"/>
    <col min="3" max="3" width="32.28515625" customWidth="1"/>
    <col min="6" max="6" width="9.5703125" bestFit="1" customWidth="1"/>
    <col min="7" max="7" width="10.5703125" bestFit="1" customWidth="1"/>
    <col min="8" max="8" width="8.5703125" bestFit="1" customWidth="1"/>
    <col min="9" max="10" width="9.5703125" bestFit="1" customWidth="1"/>
    <col min="11" max="12" width="8.5703125" bestFit="1" customWidth="1"/>
    <col min="13" max="13" width="9.5703125" bestFit="1" customWidth="1"/>
    <col min="14" max="14" width="10.5703125" bestFit="1" customWidth="1"/>
    <col min="19" max="19" width="23.28515625" bestFit="1" customWidth="1"/>
    <col min="20" max="20" width="11.7109375" customWidth="1"/>
    <col min="21" max="21" width="16.5703125" bestFit="1" customWidth="1"/>
    <col min="22" max="22" width="61.7109375" bestFit="1" customWidth="1"/>
    <col min="23" max="23" width="107.85546875" customWidth="1"/>
  </cols>
  <sheetData>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94" t="s">
        <v>46</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84"/>
      <c r="C6" s="3" t="s">
        <v>28</v>
      </c>
      <c r="D6" s="8"/>
      <c r="E6" s="8"/>
      <c r="F6" s="12">
        <v>3492504.88</v>
      </c>
      <c r="G6" s="12">
        <v>1521837.41</v>
      </c>
      <c r="H6" s="12">
        <v>1021995.1</v>
      </c>
      <c r="I6" s="12">
        <v>620423.4</v>
      </c>
      <c r="J6" s="12">
        <v>317496.17</v>
      </c>
      <c r="K6" s="12">
        <v>164663.57999999999</v>
      </c>
      <c r="L6" s="12">
        <v>218911.6</v>
      </c>
      <c r="M6" s="12">
        <v>638072.46</v>
      </c>
      <c r="N6" s="12">
        <v>2189655.77</v>
      </c>
      <c r="O6" s="10"/>
      <c r="S6" s="3" t="s">
        <v>31</v>
      </c>
      <c r="T6" s="61">
        <v>0.151</v>
      </c>
      <c r="U6" s="16" t="s">
        <v>32</v>
      </c>
      <c r="V6" s="16" t="s">
        <v>107</v>
      </c>
      <c r="W6" s="3" t="s">
        <v>113</v>
      </c>
    </row>
    <row r="7" spans="2:23" ht="16.899999999999999" customHeight="1" x14ac:dyDescent="0.25">
      <c r="B7" s="85"/>
      <c r="C7" s="3" t="s">
        <v>35</v>
      </c>
      <c r="D7" s="8"/>
      <c r="E7" s="8"/>
      <c r="F7" s="12">
        <v>276305.56</v>
      </c>
      <c r="G7" s="12">
        <v>105583.33</v>
      </c>
      <c r="H7" s="12">
        <v>51916.67</v>
      </c>
      <c r="I7" s="12">
        <v>28000</v>
      </c>
      <c r="J7" s="12">
        <v>22944.44</v>
      </c>
      <c r="K7" s="12">
        <v>21000</v>
      </c>
      <c r="L7" s="12">
        <v>35194.44</v>
      </c>
      <c r="M7" s="12">
        <v>89638.89</v>
      </c>
      <c r="N7" s="12">
        <v>238583.33</v>
      </c>
      <c r="O7" s="10"/>
      <c r="S7" s="3" t="s">
        <v>36</v>
      </c>
      <c r="T7" s="61">
        <v>6.1900000000000002E-3</v>
      </c>
      <c r="U7" s="3" t="s">
        <v>37</v>
      </c>
      <c r="V7" s="16" t="s">
        <v>206</v>
      </c>
      <c r="W7" s="86" t="s">
        <v>151</v>
      </c>
    </row>
    <row r="8" spans="2:23" ht="16.899999999999999" customHeight="1" x14ac:dyDescent="0.25">
      <c r="B8" s="98"/>
      <c r="C8" s="91"/>
      <c r="S8" s="3" t="s">
        <v>39</v>
      </c>
      <c r="T8" s="61">
        <v>7.2399999999999999E-3</v>
      </c>
      <c r="U8" s="3" t="s">
        <v>37</v>
      </c>
      <c r="V8" s="16" t="s">
        <v>207</v>
      </c>
      <c r="W8" s="84"/>
    </row>
    <row r="9" spans="2:23" ht="16.899999999999999" customHeight="1" x14ac:dyDescent="0.25">
      <c r="S9" s="3" t="s">
        <v>41</v>
      </c>
      <c r="T9" s="61">
        <v>1.7799999999999999E-3</v>
      </c>
      <c r="U9" s="3" t="s">
        <v>37</v>
      </c>
      <c r="V9" s="16" t="s">
        <v>208</v>
      </c>
      <c r="W9" s="85"/>
    </row>
    <row r="10" spans="2:23" ht="16.899999999999999" customHeight="1" x14ac:dyDescent="0.25">
      <c r="S10" s="59" t="s">
        <v>43</v>
      </c>
      <c r="T10" s="21">
        <f>16/T16</f>
        <v>0.53333333333333333</v>
      </c>
      <c r="U10" s="3" t="s">
        <v>37</v>
      </c>
      <c r="V10" t="s">
        <v>140</v>
      </c>
      <c r="W10" s="3" t="s">
        <v>45</v>
      </c>
    </row>
    <row r="11" spans="2:23" ht="15.6" customHeight="1" x14ac:dyDescent="0.25">
      <c r="S11" s="53" t="s">
        <v>47</v>
      </c>
      <c r="T11" s="54">
        <v>9.0999999999999998E-2</v>
      </c>
      <c r="U11" s="53" t="s">
        <v>37</v>
      </c>
      <c r="V11" s="64" t="s">
        <v>48</v>
      </c>
      <c r="W11" s="53" t="s">
        <v>49</v>
      </c>
    </row>
    <row r="12" spans="2:23" ht="15.6" customHeight="1" x14ac:dyDescent="0.25">
      <c r="B12" s="28" t="s">
        <v>181</v>
      </c>
      <c r="C12" s="29" t="s">
        <v>73</v>
      </c>
      <c r="D12" s="5" t="s">
        <v>14</v>
      </c>
      <c r="E12" s="5" t="s">
        <v>15</v>
      </c>
      <c r="F12" s="5" t="s">
        <v>16</v>
      </c>
      <c r="G12" s="5" t="s">
        <v>17</v>
      </c>
      <c r="H12" s="5" t="s">
        <v>18</v>
      </c>
      <c r="I12" s="5" t="s">
        <v>19</v>
      </c>
      <c r="J12" s="5" t="s">
        <v>20</v>
      </c>
      <c r="K12" s="5" t="s">
        <v>21</v>
      </c>
      <c r="L12" s="5" t="s">
        <v>22</v>
      </c>
      <c r="M12" s="5" t="s">
        <v>23</v>
      </c>
      <c r="N12" s="5" t="s">
        <v>24</v>
      </c>
      <c r="O12" s="5" t="s">
        <v>25</v>
      </c>
      <c r="S12" s="3" t="s">
        <v>50</v>
      </c>
      <c r="T12" s="61">
        <v>8.5999999999999993E-2</v>
      </c>
      <c r="U12" s="3" t="s">
        <v>37</v>
      </c>
      <c r="V12" s="3" t="s">
        <v>179</v>
      </c>
      <c r="W12" s="3" t="s">
        <v>52</v>
      </c>
    </row>
    <row r="13" spans="2:23" x14ac:dyDescent="0.25">
      <c r="B13" s="26" t="s">
        <v>78</v>
      </c>
      <c r="C13" s="26" t="s">
        <v>78</v>
      </c>
      <c r="D13" s="27"/>
      <c r="E13" s="27"/>
      <c r="F13" s="27">
        <f t="shared" ref="F13:N13" si="0">$T$13+((F6*$T$18/$T$19)+(F7*$T$17))/($T$16/9)/10000</f>
        <v>7.0326389224000003</v>
      </c>
      <c r="G13" s="27">
        <f t="shared" si="0"/>
        <v>3.4539088120333332</v>
      </c>
      <c r="H13" s="27">
        <f t="shared" si="0"/>
        <v>2.5063960777999998</v>
      </c>
      <c r="I13" s="27">
        <f t="shared" si="0"/>
        <v>1.8188913766666666</v>
      </c>
      <c r="J13" s="27">
        <f t="shared" si="0"/>
        <v>1.3501359684333332</v>
      </c>
      <c r="K13" s="27">
        <f t="shared" si="0"/>
        <v>1.1159676436666666</v>
      </c>
      <c r="L13" s="27">
        <f t="shared" si="0"/>
        <v>1.2509421895999999</v>
      </c>
      <c r="M13" s="27">
        <f t="shared" si="0"/>
        <v>2.0817641532666666</v>
      </c>
      <c r="N13" s="27">
        <f t="shared" si="0"/>
        <v>4.9552260460333333</v>
      </c>
      <c r="O13" s="27"/>
      <c r="S13" s="60" t="s">
        <v>53</v>
      </c>
      <c r="T13" s="62">
        <f>(SUM(T3:T6)/60)+SUM(T7:T12)</f>
        <v>0.79107666666666665</v>
      </c>
      <c r="U13" s="60" t="s">
        <v>37</v>
      </c>
      <c r="V13" s="60" t="s">
        <v>54</v>
      </c>
    </row>
    <row r="15" spans="2:23" ht="16.149999999999999" customHeight="1" x14ac:dyDescent="0.25">
      <c r="S15" s="2" t="s">
        <v>55</v>
      </c>
      <c r="T15" s="2" t="s">
        <v>2</v>
      </c>
      <c r="U15" s="2" t="s">
        <v>3</v>
      </c>
      <c r="V15" s="2" t="s">
        <v>4</v>
      </c>
      <c r="W15" s="2" t="s">
        <v>5</v>
      </c>
    </row>
    <row r="16" spans="2:23" ht="15.6" customHeight="1" x14ac:dyDescent="0.25">
      <c r="S16" s="3" t="s">
        <v>56</v>
      </c>
      <c r="T16" s="25">
        <v>30</v>
      </c>
      <c r="U16" s="3" t="s">
        <v>57</v>
      </c>
      <c r="V16" s="3"/>
      <c r="W16" s="3" t="s">
        <v>113</v>
      </c>
    </row>
    <row r="17" spans="2:23" ht="15.6" customHeight="1" x14ac:dyDescent="0.25">
      <c r="S17" s="53" t="s">
        <v>60</v>
      </c>
      <c r="T17" s="58">
        <v>0.128</v>
      </c>
      <c r="U17" s="53" t="s">
        <v>61</v>
      </c>
      <c r="V17" s="53"/>
      <c r="W17" s="67" t="s">
        <v>154</v>
      </c>
    </row>
    <row r="18" spans="2:23" ht="16.149999999999999" customHeight="1" x14ac:dyDescent="0.25">
      <c r="S18" s="3" t="s">
        <v>63</v>
      </c>
      <c r="T18" s="4">
        <v>1.78</v>
      </c>
      <c r="U18" s="16" t="s">
        <v>64</v>
      </c>
      <c r="V18" s="3"/>
      <c r="W18" s="3" t="s">
        <v>65</v>
      </c>
    </row>
    <row r="19" spans="2:23" x14ac:dyDescent="0.25">
      <c r="S19" s="3" t="s">
        <v>66</v>
      </c>
      <c r="T19" s="4">
        <v>36</v>
      </c>
      <c r="U19" s="3" t="s">
        <v>67</v>
      </c>
      <c r="V19" s="3"/>
    </row>
    <row r="20" spans="2:23" x14ac:dyDescent="0.25">
      <c r="S20" s="19" t="s">
        <v>68</v>
      </c>
      <c r="T20" s="4">
        <v>0.5</v>
      </c>
      <c r="U20" s="17" t="s">
        <v>69</v>
      </c>
      <c r="V20" s="3"/>
      <c r="W20" s="86" t="s">
        <v>9</v>
      </c>
    </row>
    <row r="21" spans="2:23" x14ac:dyDescent="0.25">
      <c r="S21" s="19" t="s">
        <v>70</v>
      </c>
      <c r="T21" s="4">
        <v>0.4</v>
      </c>
      <c r="U21" s="18" t="s">
        <v>69</v>
      </c>
      <c r="V21" s="3"/>
      <c r="W21" s="85"/>
    </row>
    <row r="22" spans="2:23" x14ac:dyDescent="0.25">
      <c r="S22" s="3" t="s">
        <v>71</v>
      </c>
      <c r="T22" s="4" t="s">
        <v>72</v>
      </c>
      <c r="U22" s="3"/>
      <c r="V22" s="3"/>
      <c r="W22" s="3"/>
    </row>
    <row r="23" spans="2:23" ht="16.149999999999999" customHeight="1" x14ac:dyDescent="0.25">
      <c r="S23" s="3" t="s">
        <v>74</v>
      </c>
      <c r="T23" s="4">
        <v>10000</v>
      </c>
      <c r="U23" s="3" t="s">
        <v>75</v>
      </c>
      <c r="V23" s="3" t="s">
        <v>76</v>
      </c>
      <c r="W23" s="3"/>
    </row>
    <row r="24" spans="2:23" ht="16.149999999999999" customHeight="1" x14ac:dyDescent="0.25">
      <c r="S24" s="3" t="s">
        <v>79</v>
      </c>
      <c r="T24" s="76" t="s">
        <v>80</v>
      </c>
      <c r="U24" s="3" t="s">
        <v>81</v>
      </c>
      <c r="V24" s="3" t="s">
        <v>82</v>
      </c>
      <c r="W24" s="6" t="s">
        <v>83</v>
      </c>
    </row>
    <row r="25" spans="2:23" x14ac:dyDescent="0.25">
      <c r="S25" s="3" t="s">
        <v>85</v>
      </c>
      <c r="T25" s="76">
        <v>10.8</v>
      </c>
      <c r="U25" s="3" t="s">
        <v>86</v>
      </c>
      <c r="V25" s="3" t="s">
        <v>87</v>
      </c>
      <c r="W25" s="6" t="s">
        <v>88</v>
      </c>
    </row>
    <row r="26" spans="2:23" x14ac:dyDescent="0.25">
      <c r="S26" s="3" t="s">
        <v>90</v>
      </c>
      <c r="T26" s="76">
        <v>15</v>
      </c>
      <c r="U26" s="3" t="s">
        <v>91</v>
      </c>
      <c r="V26" s="3" t="s">
        <v>92</v>
      </c>
      <c r="W26" s="3" t="s">
        <v>93</v>
      </c>
    </row>
    <row r="27" spans="2:23" ht="16.149999999999999" customHeight="1" x14ac:dyDescent="0.25">
      <c r="S27" s="3" t="s">
        <v>94</v>
      </c>
      <c r="T27" s="76">
        <v>110</v>
      </c>
      <c r="U27" s="3" t="s">
        <v>95</v>
      </c>
      <c r="V27" s="3" t="s">
        <v>96</v>
      </c>
      <c r="W27" s="3" t="s">
        <v>97</v>
      </c>
    </row>
    <row r="28" spans="2:23" ht="16.149999999999999" customHeight="1" x14ac:dyDescent="0.25">
      <c r="S28" s="3" t="s">
        <v>98</v>
      </c>
      <c r="T28" s="76">
        <v>175</v>
      </c>
      <c r="U28" s="3" t="s">
        <v>99</v>
      </c>
      <c r="V28" s="3"/>
      <c r="W28" s="6" t="s">
        <v>100</v>
      </c>
    </row>
    <row r="29" spans="2:23" ht="129.6" customHeight="1" x14ac:dyDescent="0.25">
      <c r="S29" s="80" t="s">
        <v>101</v>
      </c>
      <c r="T29" s="79">
        <v>30</v>
      </c>
      <c r="U29" s="80" t="s">
        <v>102</v>
      </c>
      <c r="V29" s="80"/>
      <c r="W29" s="81" t="s">
        <v>103</v>
      </c>
    </row>
    <row r="32" spans="2:23" ht="15.6" customHeight="1" x14ac:dyDescent="0.25">
      <c r="B32" s="36" t="s">
        <v>197</v>
      </c>
      <c r="C32" s="29" t="s">
        <v>73</v>
      </c>
      <c r="D32" s="7" t="s">
        <v>14</v>
      </c>
      <c r="E32" s="7" t="s">
        <v>15</v>
      </c>
      <c r="F32" s="7" t="s">
        <v>16</v>
      </c>
      <c r="G32" s="7" t="s">
        <v>17</v>
      </c>
      <c r="H32" s="7" t="s">
        <v>18</v>
      </c>
      <c r="I32" s="7" t="s">
        <v>19</v>
      </c>
      <c r="J32" s="7" t="s">
        <v>20</v>
      </c>
      <c r="K32" s="7" t="s">
        <v>21</v>
      </c>
      <c r="L32" s="7" t="s">
        <v>22</v>
      </c>
      <c r="M32" s="7" t="s">
        <v>23</v>
      </c>
      <c r="N32" s="7" t="s">
        <v>24</v>
      </c>
      <c r="O32" s="7" t="s">
        <v>25</v>
      </c>
    </row>
    <row r="33" spans="2:23" x14ac:dyDescent="0.25">
      <c r="B33" s="26" t="s">
        <v>12</v>
      </c>
      <c r="C33" s="26" t="s">
        <v>78</v>
      </c>
      <c r="D33" s="30"/>
      <c r="E33" s="30"/>
      <c r="F33" s="27">
        <f t="shared" ref="F33:N33" si="1">$T$13+(((F6*$T$35*$T$17/3600)+(F7*$T$17))/($T$16/9)/$T$23)+(2*$T$37*$T$36/$T$16/$T$23)</f>
        <v>1.8686106012072108</v>
      </c>
      <c r="G33" s="27">
        <f t="shared" si="1"/>
        <v>1.2129804827840747</v>
      </c>
      <c r="H33" s="27">
        <f t="shared" si="1"/>
        <v>1.0068861129255466</v>
      </c>
      <c r="I33" s="27">
        <f t="shared" si="1"/>
        <v>0.91503453486058661</v>
      </c>
      <c r="J33" s="27">
        <f t="shared" si="1"/>
        <v>0.89561246015636264</v>
      </c>
      <c r="K33" s="27">
        <f t="shared" si="1"/>
        <v>0.88814140897777061</v>
      </c>
      <c r="L33" s="27">
        <f t="shared" si="1"/>
        <v>0.94264962092074667</v>
      </c>
      <c r="M33" s="27">
        <f t="shared" si="1"/>
        <v>1.1517283807535148</v>
      </c>
      <c r="N33" s="27">
        <f t="shared" si="1"/>
        <v>1.7237197159528428</v>
      </c>
      <c r="O33" s="30"/>
      <c r="S33" s="100" t="s">
        <v>182</v>
      </c>
      <c r="T33" s="91"/>
      <c r="U33" s="91"/>
    </row>
    <row r="34" spans="2:23" x14ac:dyDescent="0.25">
      <c r="S34" s="2" t="s">
        <v>1</v>
      </c>
      <c r="T34" s="2" t="s">
        <v>2</v>
      </c>
      <c r="U34" s="2" t="s">
        <v>3</v>
      </c>
      <c r="V34" s="2" t="s">
        <v>4</v>
      </c>
      <c r="W34" s="2" t="s">
        <v>5</v>
      </c>
    </row>
    <row r="35" spans="2:23" x14ac:dyDescent="0.25">
      <c r="S35" s="16" t="s">
        <v>183</v>
      </c>
      <c r="T35" s="71">
        <v>2.7E-2</v>
      </c>
      <c r="U35" s="16" t="s">
        <v>184</v>
      </c>
      <c r="V35" s="3" t="s">
        <v>185</v>
      </c>
      <c r="W35" s="3" t="s">
        <v>186</v>
      </c>
    </row>
    <row r="36" spans="2:23" x14ac:dyDescent="0.25">
      <c r="S36" s="3" t="s">
        <v>187</v>
      </c>
      <c r="T36" s="4">
        <v>1000</v>
      </c>
      <c r="U36" s="3" t="s">
        <v>188</v>
      </c>
      <c r="V36" s="3" t="s">
        <v>189</v>
      </c>
      <c r="W36" s="3" t="s">
        <v>190</v>
      </c>
    </row>
    <row r="37" spans="2:23" x14ac:dyDescent="0.25">
      <c r="S37" s="72" t="s">
        <v>191</v>
      </c>
      <c r="T37" s="4">
        <v>2.4630000000000001</v>
      </c>
      <c r="U37" s="3" t="s">
        <v>192</v>
      </c>
      <c r="V37" s="3" t="s">
        <v>193</v>
      </c>
      <c r="W37" s="3" t="s">
        <v>154</v>
      </c>
    </row>
    <row r="38" spans="2:23" x14ac:dyDescent="0.25">
      <c r="S38" s="3" t="s">
        <v>194</v>
      </c>
      <c r="T38" s="4">
        <v>20</v>
      </c>
      <c r="U38" s="3" t="s">
        <v>195</v>
      </c>
      <c r="V38" s="3" t="s">
        <v>196</v>
      </c>
      <c r="W38" s="3" t="s">
        <v>190</v>
      </c>
    </row>
  </sheetData>
  <mergeCells count="6">
    <mergeCell ref="W7:W9"/>
    <mergeCell ref="S33:U33"/>
    <mergeCell ref="W3:W5"/>
    <mergeCell ref="W20:W21"/>
    <mergeCell ref="B8:C8"/>
    <mergeCell ref="B5:B7"/>
  </mergeCells>
  <pageMargins left="0.75" right="0.75" top="1" bottom="1" header="0.5" footer="0.5"/>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W38"/>
  <sheetViews>
    <sheetView topLeftCell="W17" workbookViewId="0">
      <selection activeCell="W25" sqref="W25"/>
    </sheetView>
  </sheetViews>
  <sheetFormatPr defaultRowHeight="15" x14ac:dyDescent="0.25"/>
  <cols>
    <col min="2" max="2" width="27.42578125" customWidth="1"/>
    <col min="3" max="3" width="29.7109375" customWidth="1"/>
    <col min="7" max="7" width="10.5703125" bestFit="1" customWidth="1"/>
    <col min="8" max="10" width="9.5703125" bestFit="1" customWidth="1"/>
    <col min="11" max="11" width="9" bestFit="1" customWidth="1"/>
    <col min="12" max="14" width="8.5703125" bestFit="1" customWidth="1"/>
    <col min="15" max="15" width="10.5703125" bestFit="1" customWidth="1"/>
    <col min="19" max="19" width="23.28515625" bestFit="1" customWidth="1"/>
    <col min="20" max="20" width="12.85546875" customWidth="1"/>
    <col min="21" max="21" width="16.5703125" bestFit="1" customWidth="1"/>
    <col min="22" max="22" width="79.7109375" customWidth="1"/>
    <col min="23" max="23" width="109" customWidth="1"/>
  </cols>
  <sheetData>
    <row r="1" spans="2:23" x14ac:dyDescent="0.25">
      <c r="B1" s="28" t="s">
        <v>209</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94" t="s">
        <v>142</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84"/>
      <c r="C6" s="3" t="s">
        <v>106</v>
      </c>
      <c r="D6" s="8" t="s">
        <v>210</v>
      </c>
      <c r="E6" s="8" t="s">
        <v>210</v>
      </c>
      <c r="F6" s="8" t="s">
        <v>210</v>
      </c>
      <c r="G6" s="13">
        <v>1630610.74</v>
      </c>
      <c r="H6" s="13">
        <v>542818.86</v>
      </c>
      <c r="I6" s="13">
        <v>280777.09000000003</v>
      </c>
      <c r="J6" s="13">
        <v>126834.73</v>
      </c>
      <c r="K6" s="13">
        <v>43178.48</v>
      </c>
      <c r="L6" s="13">
        <v>17038.439999999999</v>
      </c>
      <c r="M6" s="13">
        <v>56879.3</v>
      </c>
      <c r="N6" s="13">
        <v>329614.67</v>
      </c>
      <c r="O6" s="13">
        <v>1130048.8799999999</v>
      </c>
      <c r="S6" s="3" t="s">
        <v>31</v>
      </c>
      <c r="T6" s="61">
        <v>1.08</v>
      </c>
      <c r="U6" s="16" t="s">
        <v>32</v>
      </c>
      <c r="V6" s="16" t="s">
        <v>143</v>
      </c>
      <c r="W6" s="2" t="s">
        <v>144</v>
      </c>
    </row>
    <row r="7" spans="2:23" ht="16.899999999999999" customHeight="1" x14ac:dyDescent="0.25">
      <c r="B7" s="85"/>
      <c r="C7" s="3" t="s">
        <v>109</v>
      </c>
      <c r="D7" s="8" t="s">
        <v>210</v>
      </c>
      <c r="E7" s="8" t="s">
        <v>210</v>
      </c>
      <c r="F7" s="8" t="s">
        <v>210</v>
      </c>
      <c r="G7" s="13">
        <v>185863.89</v>
      </c>
      <c r="H7" s="13">
        <v>57272.22</v>
      </c>
      <c r="I7" s="13">
        <v>20005.560000000001</v>
      </c>
      <c r="J7" s="13">
        <v>8341.67</v>
      </c>
      <c r="K7" s="13">
        <v>8125</v>
      </c>
      <c r="L7" s="13">
        <v>12350</v>
      </c>
      <c r="M7" s="13">
        <v>31200</v>
      </c>
      <c r="N7" s="13">
        <v>86558.33</v>
      </c>
      <c r="O7" s="13">
        <v>221650</v>
      </c>
      <c r="S7" s="3" t="s">
        <v>36</v>
      </c>
      <c r="T7" s="61">
        <v>2.3099999999999999E-2</v>
      </c>
      <c r="U7" s="3" t="s">
        <v>37</v>
      </c>
      <c r="V7" s="16" t="s">
        <v>145</v>
      </c>
      <c r="W7" s="3" t="s">
        <v>146</v>
      </c>
    </row>
    <row r="8" spans="2:23" ht="16.899999999999999" customHeight="1" x14ac:dyDescent="0.25">
      <c r="B8" s="98"/>
      <c r="C8" s="91"/>
      <c r="S8" s="3" t="s">
        <v>39</v>
      </c>
      <c r="T8" s="61">
        <v>8.3000000000000001E-3</v>
      </c>
      <c r="U8" s="3" t="s">
        <v>37</v>
      </c>
      <c r="V8" s="16" t="s">
        <v>147</v>
      </c>
      <c r="W8" s="3" t="s">
        <v>113</v>
      </c>
    </row>
    <row r="9" spans="2:23" ht="16.899999999999999" customHeight="1" x14ac:dyDescent="0.25">
      <c r="S9" s="3" t="s">
        <v>41</v>
      </c>
      <c r="T9" s="61">
        <v>3.41E-6</v>
      </c>
      <c r="U9" s="3" t="s">
        <v>37</v>
      </c>
      <c r="V9" s="16" t="s">
        <v>148</v>
      </c>
      <c r="W9" s="3" t="s">
        <v>146</v>
      </c>
    </row>
    <row r="10" spans="2:23" ht="16.899999999999999" customHeight="1" x14ac:dyDescent="0.25">
      <c r="S10" s="59" t="s">
        <v>43</v>
      </c>
      <c r="T10" s="21">
        <f>15/T16</f>
        <v>0.81081081081081086</v>
      </c>
      <c r="U10" s="3" t="s">
        <v>37</v>
      </c>
      <c r="V10" t="s">
        <v>149</v>
      </c>
      <c r="W10" s="3" t="s">
        <v>45</v>
      </c>
    </row>
    <row r="11" spans="2:23" ht="15.6" customHeight="1" x14ac:dyDescent="0.25">
      <c r="S11" s="53" t="s">
        <v>47</v>
      </c>
      <c r="T11" s="54">
        <v>2.2100000000000002E-2</v>
      </c>
      <c r="U11" s="53" t="s">
        <v>37</v>
      </c>
      <c r="V11" s="64" t="s">
        <v>150</v>
      </c>
      <c r="W11" s="53" t="s">
        <v>151</v>
      </c>
    </row>
    <row r="12" spans="2:23" ht="15.6" customHeight="1" x14ac:dyDescent="0.25">
      <c r="B12" s="36" t="s">
        <v>181</v>
      </c>
      <c r="C12" s="29" t="s">
        <v>73</v>
      </c>
      <c r="D12" s="5" t="s">
        <v>14</v>
      </c>
      <c r="E12" s="5" t="s">
        <v>15</v>
      </c>
      <c r="F12" s="5" t="s">
        <v>16</v>
      </c>
      <c r="G12" s="5" t="s">
        <v>17</v>
      </c>
      <c r="H12" s="5" t="s">
        <v>18</v>
      </c>
      <c r="I12" s="5" t="s">
        <v>19</v>
      </c>
      <c r="J12" s="5" t="s">
        <v>20</v>
      </c>
      <c r="K12" s="5" t="s">
        <v>21</v>
      </c>
      <c r="L12" s="5" t="s">
        <v>22</v>
      </c>
      <c r="M12" s="5" t="s">
        <v>23</v>
      </c>
      <c r="N12" s="5" t="s">
        <v>24</v>
      </c>
      <c r="O12" s="5" t="s">
        <v>25</v>
      </c>
      <c r="S12" s="3" t="s">
        <v>50</v>
      </c>
      <c r="T12" s="61">
        <v>0.01</v>
      </c>
      <c r="U12" s="3" t="s">
        <v>37</v>
      </c>
      <c r="V12" s="3" t="s">
        <v>179</v>
      </c>
      <c r="W12" s="3" t="s">
        <v>52</v>
      </c>
    </row>
    <row r="13" spans="2:23" x14ac:dyDescent="0.25">
      <c r="B13" s="26" t="s">
        <v>142</v>
      </c>
      <c r="C13" s="26" t="s">
        <v>78</v>
      </c>
      <c r="D13" s="27"/>
      <c r="E13" s="27"/>
      <c r="F13" s="27"/>
      <c r="G13" s="27">
        <f t="shared" ref="G13:O13" si="0">$T$13+((G6*$T$18/$T$19)+(G7*$T$17))/($T$16/9)/10000</f>
        <v>6.0349902419639658</v>
      </c>
      <c r="H13" s="27">
        <f t="shared" si="0"/>
        <v>2.6176659693153157</v>
      </c>
      <c r="I13" s="27">
        <f t="shared" si="0"/>
        <v>1.7552887802882886</v>
      </c>
      <c r="J13" s="27">
        <f t="shared" si="0"/>
        <v>1.3123636371531533</v>
      </c>
      <c r="K13" s="27">
        <f t="shared" si="0"/>
        <v>1.1097872312612613</v>
      </c>
      <c r="L13" s="27">
        <f t="shared" si="0"/>
        <v>1.073219026936937</v>
      </c>
      <c r="M13" s="27">
        <f t="shared" si="0"/>
        <v>1.2864319063963965</v>
      </c>
      <c r="N13" s="27">
        <f t="shared" si="0"/>
        <v>2.2871888567207206</v>
      </c>
      <c r="O13" s="27">
        <f t="shared" si="0"/>
        <v>5.0537771123423427</v>
      </c>
      <c r="S13" s="60" t="s">
        <v>53</v>
      </c>
      <c r="T13" s="62">
        <f>(SUM(T3:T6)/60)+SUM(T7:T12)</f>
        <v>0.95533088747747752</v>
      </c>
      <c r="U13" s="60" t="s">
        <v>37</v>
      </c>
      <c r="V13" s="60" t="s">
        <v>54</v>
      </c>
    </row>
    <row r="15" spans="2:23" ht="16.149999999999999" customHeight="1" x14ac:dyDescent="0.25">
      <c r="S15" s="2" t="s">
        <v>55</v>
      </c>
      <c r="T15" s="2" t="s">
        <v>2</v>
      </c>
      <c r="U15" s="2" t="s">
        <v>3</v>
      </c>
      <c r="V15" s="2" t="s">
        <v>4</v>
      </c>
      <c r="W15" s="2" t="s">
        <v>5</v>
      </c>
    </row>
    <row r="16" spans="2:23" ht="43.15" customHeight="1" x14ac:dyDescent="0.25">
      <c r="S16" s="80" t="s">
        <v>56</v>
      </c>
      <c r="T16" s="58">
        <v>18.5</v>
      </c>
      <c r="U16" s="80" t="s">
        <v>57</v>
      </c>
      <c r="V16" s="81" t="s">
        <v>211</v>
      </c>
      <c r="W16" s="82" t="s">
        <v>153</v>
      </c>
    </row>
    <row r="17" spans="2:23" ht="15.6" customHeight="1" x14ac:dyDescent="0.25">
      <c r="S17" s="3" t="s">
        <v>60</v>
      </c>
      <c r="T17" s="25">
        <v>0.128</v>
      </c>
      <c r="U17" s="16" t="s">
        <v>61</v>
      </c>
      <c r="V17" s="3"/>
      <c r="W17" s="2" t="s">
        <v>154</v>
      </c>
    </row>
    <row r="18" spans="2:23" ht="16.149999999999999" customHeight="1" x14ac:dyDescent="0.25">
      <c r="S18" s="3" t="s">
        <v>63</v>
      </c>
      <c r="T18" s="4">
        <v>1.78</v>
      </c>
      <c r="U18" s="16" t="s">
        <v>64</v>
      </c>
      <c r="V18" s="3"/>
      <c r="W18" s="3" t="s">
        <v>65</v>
      </c>
    </row>
    <row r="19" spans="2:23" x14ac:dyDescent="0.25">
      <c r="S19" s="3" t="s">
        <v>66</v>
      </c>
      <c r="T19" s="4">
        <v>36</v>
      </c>
      <c r="U19" s="3" t="s">
        <v>67</v>
      </c>
      <c r="V19" s="3"/>
      <c r="W19" s="3"/>
    </row>
    <row r="20" spans="2:23" x14ac:dyDescent="0.25">
      <c r="M20" s="70"/>
      <c r="S20" s="19" t="s">
        <v>68</v>
      </c>
      <c r="T20" s="4">
        <v>0.5</v>
      </c>
      <c r="U20" s="17" t="s">
        <v>69</v>
      </c>
      <c r="V20" s="3"/>
      <c r="W20" s="86" t="s">
        <v>9</v>
      </c>
    </row>
    <row r="21" spans="2:23" ht="14.45" customHeight="1" x14ac:dyDescent="0.25">
      <c r="S21" s="19" t="s">
        <v>70</v>
      </c>
      <c r="T21" s="4">
        <v>0.4</v>
      </c>
      <c r="U21" s="18" t="s">
        <v>69</v>
      </c>
      <c r="V21" s="3"/>
      <c r="W21" s="85"/>
    </row>
    <row r="22" spans="2:23" x14ac:dyDescent="0.25">
      <c r="M22" s="70"/>
      <c r="S22" s="3" t="s">
        <v>71</v>
      </c>
      <c r="T22" s="4" t="s">
        <v>72</v>
      </c>
      <c r="U22" s="3"/>
      <c r="V22" s="3"/>
      <c r="W22" s="3"/>
    </row>
    <row r="23" spans="2:23" ht="14.45" customHeight="1" x14ac:dyDescent="0.25">
      <c r="S23" s="3" t="s">
        <v>74</v>
      </c>
      <c r="T23" s="4">
        <v>10000</v>
      </c>
      <c r="U23" s="3" t="s">
        <v>75</v>
      </c>
      <c r="V23" s="3" t="s">
        <v>76</v>
      </c>
      <c r="W23" s="3"/>
    </row>
    <row r="24" spans="2:23" ht="16.149999999999999" customHeight="1" x14ac:dyDescent="0.25">
      <c r="S24" s="3" t="s">
        <v>79</v>
      </c>
      <c r="T24" s="76" t="s">
        <v>156</v>
      </c>
      <c r="U24" s="3" t="s">
        <v>81</v>
      </c>
      <c r="V24" s="3" t="s">
        <v>157</v>
      </c>
      <c r="W24" s="3" t="s">
        <v>158</v>
      </c>
    </row>
    <row r="25" spans="2:23" ht="14.45" customHeight="1" x14ac:dyDescent="0.25">
      <c r="S25" s="3" t="s">
        <v>85</v>
      </c>
      <c r="T25" s="76">
        <v>10.8</v>
      </c>
      <c r="U25" s="3" t="s">
        <v>86</v>
      </c>
      <c r="V25" s="3" t="s">
        <v>87</v>
      </c>
      <c r="W25" s="6" t="s">
        <v>88</v>
      </c>
    </row>
    <row r="26" spans="2:23" x14ac:dyDescent="0.25">
      <c r="S26" s="3" t="s">
        <v>90</v>
      </c>
      <c r="T26" s="76">
        <v>15</v>
      </c>
      <c r="U26" s="3" t="s">
        <v>91</v>
      </c>
      <c r="V26" s="3" t="s">
        <v>92</v>
      </c>
      <c r="W26" s="3" t="s">
        <v>93</v>
      </c>
    </row>
    <row r="27" spans="2:23" ht="16.149999999999999" customHeight="1" x14ac:dyDescent="0.25">
      <c r="S27" s="3" t="s">
        <v>94</v>
      </c>
      <c r="T27" s="76">
        <v>100</v>
      </c>
      <c r="U27" s="3" t="s">
        <v>95</v>
      </c>
      <c r="V27" s="3" t="s">
        <v>96</v>
      </c>
      <c r="W27" s="3" t="s">
        <v>97</v>
      </c>
    </row>
    <row r="28" spans="2:23" ht="16.149999999999999" customHeight="1" x14ac:dyDescent="0.25">
      <c r="S28" s="3" t="s">
        <v>98</v>
      </c>
      <c r="T28" s="76">
        <v>130</v>
      </c>
      <c r="U28" s="3" t="s">
        <v>99</v>
      </c>
      <c r="V28" s="3"/>
      <c r="W28" s="3" t="s">
        <v>159</v>
      </c>
    </row>
    <row r="29" spans="2:23" ht="129.6" customHeight="1" x14ac:dyDescent="0.25">
      <c r="S29" s="80" t="s">
        <v>101</v>
      </c>
      <c r="T29" s="79">
        <v>20</v>
      </c>
      <c r="U29" s="80" t="s">
        <v>102</v>
      </c>
      <c r="V29" s="80"/>
      <c r="W29" s="81" t="s">
        <v>103</v>
      </c>
    </row>
    <row r="32" spans="2:23" ht="15.6" customHeight="1" x14ac:dyDescent="0.25">
      <c r="B32" s="36" t="s">
        <v>197</v>
      </c>
      <c r="C32" s="29" t="s">
        <v>73</v>
      </c>
      <c r="D32" s="7" t="s">
        <v>14</v>
      </c>
      <c r="E32" s="7" t="s">
        <v>15</v>
      </c>
      <c r="F32" s="7" t="s">
        <v>16</v>
      </c>
      <c r="G32" s="7" t="s">
        <v>17</v>
      </c>
      <c r="H32" s="7" t="s">
        <v>18</v>
      </c>
      <c r="I32" s="7" t="s">
        <v>19</v>
      </c>
      <c r="J32" s="7" t="s">
        <v>20</v>
      </c>
      <c r="K32" s="7" t="s">
        <v>21</v>
      </c>
      <c r="L32" s="7" t="s">
        <v>22</v>
      </c>
      <c r="M32" s="7" t="s">
        <v>23</v>
      </c>
      <c r="N32" s="7" t="s">
        <v>24</v>
      </c>
      <c r="O32" s="7" t="s">
        <v>25</v>
      </c>
      <c r="T32" s="15"/>
    </row>
    <row r="33" spans="2:23" x14ac:dyDescent="0.25">
      <c r="B33" s="26" t="s">
        <v>142</v>
      </c>
      <c r="C33" s="26" t="s">
        <v>78</v>
      </c>
      <c r="D33" s="27"/>
      <c r="E33" s="27"/>
      <c r="F33" s="27"/>
      <c r="G33" s="27">
        <f t="shared" ref="G33:O33" si="1">$T$13+(((G6*$T$35*$T$17/3600)+(G7*$T$17))/($T$16/9)/$T$23)+(2*$T$37*$T$36/$T$16/$T$23)</f>
        <v>2.1394135348114975</v>
      </c>
      <c r="H33" s="27">
        <f t="shared" si="1"/>
        <v>1.3386189274501825</v>
      </c>
      <c r="I33" s="27">
        <f t="shared" si="1"/>
        <v>1.1065461903642755</v>
      </c>
      <c r="J33" s="27">
        <f t="shared" si="1"/>
        <v>1.0339076425697327</v>
      </c>
      <c r="K33" s="27">
        <f t="shared" si="1"/>
        <v>1.0325545256508137</v>
      </c>
      <c r="L33" s="27">
        <f t="shared" si="1"/>
        <v>1.0588624940294862</v>
      </c>
      <c r="M33" s="27">
        <f t="shared" si="1"/>
        <v>1.1762438141647855</v>
      </c>
      <c r="N33" s="27">
        <f t="shared" si="1"/>
        <v>1.5209743687247683</v>
      </c>
      <c r="O33" s="27">
        <f t="shared" si="1"/>
        <v>2.3622312313819278</v>
      </c>
      <c r="S33" s="100" t="s">
        <v>182</v>
      </c>
      <c r="T33" s="91"/>
      <c r="U33" s="91"/>
    </row>
    <row r="34" spans="2:23" x14ac:dyDescent="0.25">
      <c r="S34" s="2" t="s">
        <v>1</v>
      </c>
      <c r="T34" s="2" t="s">
        <v>2</v>
      </c>
      <c r="U34" s="2" t="s">
        <v>3</v>
      </c>
      <c r="V34" s="2" t="s">
        <v>4</v>
      </c>
      <c r="W34" s="2" t="s">
        <v>5</v>
      </c>
    </row>
    <row r="35" spans="2:23" x14ac:dyDescent="0.25">
      <c r="S35" s="16" t="s">
        <v>183</v>
      </c>
      <c r="T35" s="71">
        <v>2.7E-2</v>
      </c>
      <c r="U35" s="16" t="s">
        <v>184</v>
      </c>
      <c r="V35" s="3" t="s">
        <v>185</v>
      </c>
      <c r="W35" s="3" t="s">
        <v>186</v>
      </c>
    </row>
    <row r="36" spans="2:23" x14ac:dyDescent="0.25">
      <c r="S36" s="3" t="s">
        <v>187</v>
      </c>
      <c r="T36" s="4">
        <v>1000</v>
      </c>
      <c r="U36" s="3" t="s">
        <v>188</v>
      </c>
      <c r="V36" s="3" t="s">
        <v>189</v>
      </c>
      <c r="W36" s="3" t="s">
        <v>190</v>
      </c>
    </row>
    <row r="37" spans="2:23" x14ac:dyDescent="0.25">
      <c r="S37" s="72" t="s">
        <v>191</v>
      </c>
      <c r="T37" s="4">
        <v>2.4630000000000001</v>
      </c>
      <c r="U37" s="3" t="s">
        <v>192</v>
      </c>
      <c r="V37" s="3" t="s">
        <v>193</v>
      </c>
      <c r="W37" s="3" t="s">
        <v>154</v>
      </c>
    </row>
    <row r="38" spans="2:23" x14ac:dyDescent="0.25">
      <c r="S38" s="3" t="s">
        <v>194</v>
      </c>
      <c r="T38" s="4">
        <v>20</v>
      </c>
      <c r="U38" s="3" t="s">
        <v>195</v>
      </c>
      <c r="V38" s="3" t="s">
        <v>196</v>
      </c>
      <c r="W38" s="3" t="s">
        <v>190</v>
      </c>
    </row>
  </sheetData>
  <mergeCells count="5">
    <mergeCell ref="S33:U33"/>
    <mergeCell ref="W3:W5"/>
    <mergeCell ref="W20:W21"/>
    <mergeCell ref="B8:C8"/>
    <mergeCell ref="B5:B7"/>
  </mergeCells>
  <pageMargins left="0.75" right="0.75" top="1" bottom="1"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29"/>
  <sheetViews>
    <sheetView topLeftCell="N1" workbookViewId="0">
      <selection activeCell="V12" sqref="V12"/>
    </sheetView>
  </sheetViews>
  <sheetFormatPr defaultRowHeight="15" x14ac:dyDescent="0.25"/>
  <cols>
    <col min="2" max="2" width="28.7109375" style="1" customWidth="1"/>
    <col min="3" max="3" width="27.28515625" customWidth="1"/>
    <col min="5" max="5" width="8.5703125" customWidth="1"/>
    <col min="6" max="6" width="10.5703125" bestFit="1" customWidth="1"/>
    <col min="7" max="7" width="9.5703125" bestFit="1" customWidth="1"/>
    <col min="8" max="8" width="10.5703125" bestFit="1" customWidth="1"/>
    <col min="9" max="10" width="9.5703125" bestFit="1" customWidth="1"/>
    <col min="11" max="11" width="8.5703125" bestFit="1" customWidth="1"/>
    <col min="12" max="14" width="9.5703125" bestFit="1" customWidth="1"/>
    <col min="15" max="15" width="10.5703125" bestFit="1" customWidth="1"/>
    <col min="19" max="19" width="29.5703125" customWidth="1"/>
    <col min="20" max="20" width="13.7109375" customWidth="1"/>
    <col min="21" max="21" width="16.5703125" bestFit="1" customWidth="1"/>
    <col min="22" max="22" width="61.7109375" bestFit="1" customWidth="1"/>
    <col min="23" max="23" width="114.7109375" customWidth="1"/>
  </cols>
  <sheetData>
    <row r="1" spans="2:23" x14ac:dyDescent="0.25">
      <c r="B1" s="32" t="s">
        <v>104</v>
      </c>
    </row>
    <row r="2" spans="2:23" x14ac:dyDescent="0.25">
      <c r="S2" s="2" t="s">
        <v>1</v>
      </c>
      <c r="T2" s="2" t="s">
        <v>2</v>
      </c>
      <c r="U2" s="2" t="s">
        <v>3</v>
      </c>
      <c r="V2" s="2" t="s">
        <v>4</v>
      </c>
      <c r="W2" s="2" t="s">
        <v>5</v>
      </c>
    </row>
    <row r="3" spans="2:23" ht="16.899999999999999" customHeight="1" x14ac:dyDescent="0.25">
      <c r="S3" s="53" t="s">
        <v>6</v>
      </c>
      <c r="T3" s="54">
        <v>2.86</v>
      </c>
      <c r="U3" s="53" t="s">
        <v>7</v>
      </c>
      <c r="V3" s="53" t="s">
        <v>8</v>
      </c>
      <c r="W3" s="87" t="s">
        <v>9</v>
      </c>
    </row>
    <row r="4" spans="2:23" ht="16.899999999999999" customHeight="1" x14ac:dyDescent="0.25">
      <c r="S4" s="53" t="s">
        <v>10</v>
      </c>
      <c r="T4" s="54">
        <v>0.22</v>
      </c>
      <c r="U4" s="53" t="s">
        <v>7</v>
      </c>
      <c r="V4" s="53" t="s">
        <v>11</v>
      </c>
      <c r="W4" s="84"/>
    </row>
    <row r="5" spans="2:23" ht="16.899999999999999" customHeight="1" thickBot="1" x14ac:dyDescent="0.3">
      <c r="B5" s="46" t="s">
        <v>105</v>
      </c>
      <c r="C5" s="43" t="s">
        <v>13</v>
      </c>
      <c r="D5" s="51" t="s">
        <v>14</v>
      </c>
      <c r="E5" s="51" t="s">
        <v>15</v>
      </c>
      <c r="F5" s="51" t="s">
        <v>16</v>
      </c>
      <c r="G5" s="51" t="s">
        <v>17</v>
      </c>
      <c r="H5" s="51" t="s">
        <v>18</v>
      </c>
      <c r="I5" s="51" t="s">
        <v>19</v>
      </c>
      <c r="J5" s="51" t="s">
        <v>20</v>
      </c>
      <c r="K5" s="51" t="s">
        <v>21</v>
      </c>
      <c r="L5" s="51" t="s">
        <v>22</v>
      </c>
      <c r="M5" s="51" t="s">
        <v>23</v>
      </c>
      <c r="N5" s="51" t="s">
        <v>24</v>
      </c>
      <c r="O5" s="51" t="s">
        <v>25</v>
      </c>
      <c r="S5" s="53" t="s">
        <v>26</v>
      </c>
      <c r="T5" s="54">
        <v>0.70099999999999996</v>
      </c>
      <c r="U5" s="53" t="s">
        <v>7</v>
      </c>
      <c r="V5" s="53" t="s">
        <v>27</v>
      </c>
      <c r="W5" s="85"/>
    </row>
    <row r="6" spans="2:23" ht="16.899999999999999" customHeight="1" x14ac:dyDescent="0.25">
      <c r="B6" s="93" t="s">
        <v>12</v>
      </c>
      <c r="C6" s="23" t="s">
        <v>106</v>
      </c>
      <c r="D6" s="41" t="s">
        <v>29</v>
      </c>
      <c r="E6" s="41" t="s">
        <v>29</v>
      </c>
      <c r="F6" s="42">
        <v>2238639.6800000002</v>
      </c>
      <c r="G6" s="42">
        <v>1246668</v>
      </c>
      <c r="H6" s="42">
        <v>1000175.66</v>
      </c>
      <c r="I6" s="40"/>
      <c r="J6" s="40"/>
      <c r="K6" s="40"/>
      <c r="L6" s="40"/>
      <c r="M6" s="40"/>
      <c r="N6" s="40"/>
      <c r="O6" s="40"/>
      <c r="S6" s="3" t="s">
        <v>31</v>
      </c>
      <c r="T6" s="61">
        <v>0.151</v>
      </c>
      <c r="U6" s="16" t="s">
        <v>32</v>
      </c>
      <c r="V6" s="16" t="s">
        <v>107</v>
      </c>
      <c r="W6" s="3" t="s">
        <v>108</v>
      </c>
    </row>
    <row r="7" spans="2:23" ht="16.899999999999999" customHeight="1" thickBot="1" x14ac:dyDescent="0.3">
      <c r="B7" s="89"/>
      <c r="C7" s="43" t="s">
        <v>109</v>
      </c>
      <c r="D7" s="44" t="s">
        <v>29</v>
      </c>
      <c r="E7" s="44" t="s">
        <v>29</v>
      </c>
      <c r="F7" s="45">
        <v>401444.44</v>
      </c>
      <c r="G7" s="45">
        <v>169111.11</v>
      </c>
      <c r="H7" s="45">
        <v>111444.44</v>
      </c>
      <c r="I7" s="46"/>
      <c r="J7" s="46"/>
      <c r="K7" s="46"/>
      <c r="L7" s="46"/>
      <c r="M7" s="46"/>
      <c r="N7" s="46"/>
      <c r="O7" s="46"/>
      <c r="S7" s="3" t="s">
        <v>36</v>
      </c>
      <c r="T7" s="61">
        <v>2.64E-3</v>
      </c>
      <c r="U7" s="3" t="s">
        <v>37</v>
      </c>
      <c r="V7" s="16" t="s">
        <v>110</v>
      </c>
      <c r="W7" s="3" t="s">
        <v>111</v>
      </c>
    </row>
    <row r="8" spans="2:23" ht="16.899999999999999" customHeight="1" x14ac:dyDescent="0.25">
      <c r="B8" s="88" t="s">
        <v>46</v>
      </c>
      <c r="C8" s="47" t="s">
        <v>106</v>
      </c>
      <c r="D8" s="48"/>
      <c r="E8" s="49" t="s">
        <v>29</v>
      </c>
      <c r="F8" s="49" t="s">
        <v>29</v>
      </c>
      <c r="G8" s="50">
        <v>1876772.1</v>
      </c>
      <c r="H8" s="50">
        <v>845037.19</v>
      </c>
      <c r="I8" s="50">
        <v>482038.13</v>
      </c>
      <c r="J8" s="48"/>
      <c r="K8" s="48"/>
      <c r="L8" s="48"/>
      <c r="M8" s="48"/>
      <c r="N8" s="48"/>
      <c r="O8" s="48"/>
      <c r="S8" s="3" t="s">
        <v>39</v>
      </c>
      <c r="T8" s="61">
        <v>7.0400000000000003E-3</v>
      </c>
      <c r="U8" s="3" t="s">
        <v>37</v>
      </c>
      <c r="V8" s="16" t="s">
        <v>112</v>
      </c>
      <c r="W8" s="3" t="s">
        <v>113</v>
      </c>
    </row>
    <row r="9" spans="2:23" ht="16.899999999999999" customHeight="1" thickBot="1" x14ac:dyDescent="0.3">
      <c r="B9" s="89"/>
      <c r="C9" s="43" t="s">
        <v>109</v>
      </c>
      <c r="D9" s="46"/>
      <c r="E9" s="44" t="s">
        <v>29</v>
      </c>
      <c r="F9" s="44" t="s">
        <v>29</v>
      </c>
      <c r="G9" s="45">
        <v>279666.67</v>
      </c>
      <c r="H9" s="45">
        <v>105333.33</v>
      </c>
      <c r="I9" s="45">
        <v>55000</v>
      </c>
      <c r="J9" s="46"/>
      <c r="K9" s="46"/>
      <c r="L9" s="46"/>
      <c r="M9" s="46"/>
      <c r="N9" s="46"/>
      <c r="O9" s="46"/>
      <c r="S9" s="3" t="s">
        <v>41</v>
      </c>
      <c r="T9" s="21">
        <v>1.55E-4</v>
      </c>
      <c r="U9" s="3" t="s">
        <v>37</v>
      </c>
      <c r="V9" s="3" t="s">
        <v>114</v>
      </c>
      <c r="W9" s="19" t="s">
        <v>115</v>
      </c>
    </row>
    <row r="10" spans="2:23" ht="16.899999999999999" customHeight="1" x14ac:dyDescent="0.25">
      <c r="B10" s="88" t="s">
        <v>116</v>
      </c>
      <c r="C10" s="47" t="s">
        <v>106</v>
      </c>
      <c r="D10" s="48"/>
      <c r="E10" s="48"/>
      <c r="F10" s="49" t="s">
        <v>29</v>
      </c>
      <c r="G10" s="49" t="s">
        <v>29</v>
      </c>
      <c r="H10" s="50">
        <v>1332206.03</v>
      </c>
      <c r="I10" s="50">
        <v>507797.22</v>
      </c>
      <c r="J10" s="50">
        <v>189615.88</v>
      </c>
      <c r="K10" s="48"/>
      <c r="L10" s="48"/>
      <c r="M10" s="48"/>
      <c r="N10" s="48"/>
      <c r="O10" s="48"/>
      <c r="S10" s="59" t="s">
        <v>43</v>
      </c>
      <c r="T10" s="21">
        <f>20/T16</f>
        <v>0.24691358024691357</v>
      </c>
      <c r="U10" s="3" t="s">
        <v>37</v>
      </c>
      <c r="V10" t="s">
        <v>117</v>
      </c>
      <c r="W10" t="s">
        <v>45</v>
      </c>
    </row>
    <row r="11" spans="2:23" ht="15.6" customHeight="1" thickBot="1" x14ac:dyDescent="0.3">
      <c r="B11" s="89"/>
      <c r="C11" s="43" t="s">
        <v>109</v>
      </c>
      <c r="D11" s="46"/>
      <c r="E11" s="46"/>
      <c r="F11" s="44" t="s">
        <v>29</v>
      </c>
      <c r="G11" s="44" t="s">
        <v>29</v>
      </c>
      <c r="H11" s="45">
        <v>175444.44</v>
      </c>
      <c r="I11" s="45">
        <v>48777.78</v>
      </c>
      <c r="J11" s="45">
        <v>51777.78</v>
      </c>
      <c r="K11" s="46"/>
      <c r="L11" s="46"/>
      <c r="M11" s="46"/>
      <c r="N11" s="46"/>
      <c r="O11" s="46"/>
      <c r="S11" s="53" t="s">
        <v>47</v>
      </c>
      <c r="T11" s="54">
        <v>9.0999999999999998E-2</v>
      </c>
      <c r="U11" s="53" t="s">
        <v>37</v>
      </c>
      <c r="V11" s="53" t="s">
        <v>48</v>
      </c>
      <c r="W11" s="53" t="s">
        <v>49</v>
      </c>
    </row>
    <row r="12" spans="2:23" ht="15.6" customHeight="1" x14ac:dyDescent="0.25">
      <c r="B12" s="88" t="s">
        <v>118</v>
      </c>
      <c r="C12" s="47" t="s">
        <v>106</v>
      </c>
      <c r="D12" s="48"/>
      <c r="E12" s="48"/>
      <c r="F12" s="48"/>
      <c r="G12" s="49" t="s">
        <v>29</v>
      </c>
      <c r="H12" s="49" t="s">
        <v>29</v>
      </c>
      <c r="I12" s="50">
        <v>911995.22</v>
      </c>
      <c r="J12" s="50">
        <v>219997.48</v>
      </c>
      <c r="K12" s="50">
        <v>74557.36</v>
      </c>
      <c r="L12" s="48"/>
      <c r="M12" s="48"/>
      <c r="N12" s="48"/>
      <c r="O12" s="48"/>
      <c r="S12" s="3" t="s">
        <v>50</v>
      </c>
      <c r="T12" s="61">
        <v>8.5999999999999993E-2</v>
      </c>
      <c r="U12" s="3" t="s">
        <v>37</v>
      </c>
      <c r="V12" s="66" t="s">
        <v>51</v>
      </c>
      <c r="W12" s="3" t="s">
        <v>52</v>
      </c>
    </row>
    <row r="13" spans="2:23" ht="15" customHeight="1" thickBot="1" x14ac:dyDescent="0.3">
      <c r="B13" s="89"/>
      <c r="C13" s="43" t="s">
        <v>109</v>
      </c>
      <c r="D13" s="46"/>
      <c r="E13" s="46"/>
      <c r="F13" s="46"/>
      <c r="G13" s="44" t="s">
        <v>29</v>
      </c>
      <c r="H13" s="44" t="s">
        <v>29</v>
      </c>
      <c r="I13" s="45">
        <v>79444.44</v>
      </c>
      <c r="J13" s="45">
        <v>40444.44</v>
      </c>
      <c r="K13" s="45">
        <v>59444.44</v>
      </c>
      <c r="L13" s="46"/>
      <c r="M13" s="46"/>
      <c r="N13" s="46"/>
      <c r="O13" s="46"/>
      <c r="S13" s="60" t="s">
        <v>53</v>
      </c>
      <c r="T13" s="62">
        <f>(SUM(T3:T6)/60)+SUM(T7:T12)</f>
        <v>0.49928191358024687</v>
      </c>
      <c r="U13" s="60" t="s">
        <v>37</v>
      </c>
      <c r="V13" s="60" t="s">
        <v>54</v>
      </c>
    </row>
    <row r="14" spans="2:23" x14ac:dyDescent="0.25">
      <c r="B14" s="88" t="s">
        <v>119</v>
      </c>
      <c r="C14" s="47" t="s">
        <v>106</v>
      </c>
      <c r="D14" s="48"/>
      <c r="E14" s="48"/>
      <c r="F14" s="48"/>
      <c r="G14" s="48"/>
      <c r="H14" s="49" t="s">
        <v>29</v>
      </c>
      <c r="I14" s="49" t="s">
        <v>29</v>
      </c>
      <c r="J14" s="50">
        <v>404333.73</v>
      </c>
      <c r="K14" s="50">
        <v>62238.559999999998</v>
      </c>
      <c r="L14" s="50">
        <v>67321.259999999995</v>
      </c>
      <c r="M14" s="48"/>
      <c r="N14" s="48"/>
      <c r="O14" s="48"/>
    </row>
    <row r="15" spans="2:23" ht="16.149999999999999" customHeight="1" thickBot="1" x14ac:dyDescent="0.3">
      <c r="B15" s="89"/>
      <c r="C15" s="43" t="s">
        <v>109</v>
      </c>
      <c r="D15" s="46"/>
      <c r="E15" s="46"/>
      <c r="F15" s="46"/>
      <c r="G15" s="46"/>
      <c r="H15" s="44" t="s">
        <v>29</v>
      </c>
      <c r="I15" s="44" t="s">
        <v>29</v>
      </c>
      <c r="J15" s="45">
        <v>58000</v>
      </c>
      <c r="K15" s="45">
        <v>38000</v>
      </c>
      <c r="L15" s="45">
        <v>124666.67</v>
      </c>
      <c r="M15" s="46"/>
      <c r="N15" s="46"/>
      <c r="O15" s="46"/>
      <c r="S15" s="2" t="s">
        <v>55</v>
      </c>
      <c r="T15" s="2" t="s">
        <v>2</v>
      </c>
      <c r="U15" s="2" t="s">
        <v>3</v>
      </c>
      <c r="V15" s="2" t="s">
        <v>4</v>
      </c>
      <c r="W15" s="2" t="s">
        <v>5</v>
      </c>
    </row>
    <row r="16" spans="2:23" ht="15.6" customHeight="1" x14ac:dyDescent="0.25">
      <c r="B16" s="88" t="s">
        <v>120</v>
      </c>
      <c r="C16" s="47" t="s">
        <v>106</v>
      </c>
      <c r="D16" s="48"/>
      <c r="E16" s="48"/>
      <c r="F16" s="48"/>
      <c r="G16" s="48"/>
      <c r="H16" s="48"/>
      <c r="I16" s="49" t="s">
        <v>29</v>
      </c>
      <c r="J16" s="49" t="s">
        <v>29</v>
      </c>
      <c r="K16" s="50">
        <v>95533.24</v>
      </c>
      <c r="L16" s="50">
        <v>48869.26</v>
      </c>
      <c r="M16" s="50">
        <v>235147.38</v>
      </c>
      <c r="N16" s="48"/>
      <c r="O16" s="48"/>
      <c r="S16" s="3" t="s">
        <v>56</v>
      </c>
      <c r="T16" s="25">
        <v>81</v>
      </c>
      <c r="U16" s="3" t="s">
        <v>57</v>
      </c>
      <c r="V16" s="3"/>
      <c r="W16" s="3" t="s">
        <v>113</v>
      </c>
    </row>
    <row r="17" spans="2:23" ht="15.6" customHeight="1" thickBot="1" x14ac:dyDescent="0.3">
      <c r="B17" s="89"/>
      <c r="C17" s="43" t="s">
        <v>109</v>
      </c>
      <c r="D17" s="46"/>
      <c r="E17" s="46"/>
      <c r="F17" s="46"/>
      <c r="G17" s="46"/>
      <c r="H17" s="46"/>
      <c r="I17" s="44" t="s">
        <v>29</v>
      </c>
      <c r="J17" s="44" t="s">
        <v>29</v>
      </c>
      <c r="K17" s="45">
        <v>45222.22</v>
      </c>
      <c r="L17" s="45">
        <v>75555.56</v>
      </c>
      <c r="M17" s="45">
        <v>239888.89</v>
      </c>
      <c r="N17" s="46"/>
      <c r="O17" s="46"/>
      <c r="S17" s="53" t="s">
        <v>60</v>
      </c>
      <c r="T17" s="58">
        <v>0.49099999999999999</v>
      </c>
      <c r="U17" s="53" t="s">
        <v>61</v>
      </c>
      <c r="V17" s="53"/>
      <c r="W17" s="53" t="s">
        <v>62</v>
      </c>
    </row>
    <row r="18" spans="2:23" ht="16.149999999999999" customHeight="1" x14ac:dyDescent="0.25">
      <c r="B18" s="88" t="s">
        <v>121</v>
      </c>
      <c r="C18" s="47" t="s">
        <v>106</v>
      </c>
      <c r="D18" s="48"/>
      <c r="E18" s="48"/>
      <c r="F18" s="48"/>
      <c r="G18" s="48"/>
      <c r="H18" s="48"/>
      <c r="I18" s="48"/>
      <c r="J18" s="49" t="s">
        <v>29</v>
      </c>
      <c r="K18" s="49" t="s">
        <v>29</v>
      </c>
      <c r="L18" s="50">
        <v>66790.45</v>
      </c>
      <c r="M18" s="50">
        <v>132111.98000000001</v>
      </c>
      <c r="N18" s="50">
        <v>744422.41</v>
      </c>
      <c r="O18" s="48"/>
      <c r="S18" s="3" t="s">
        <v>63</v>
      </c>
      <c r="T18" s="4">
        <v>1.78</v>
      </c>
      <c r="U18" s="16" t="s">
        <v>64</v>
      </c>
      <c r="V18" s="3"/>
      <c r="W18" s="3" t="s">
        <v>65</v>
      </c>
    </row>
    <row r="19" spans="2:23" ht="15" customHeight="1" thickBot="1" x14ac:dyDescent="0.3">
      <c r="B19" s="89"/>
      <c r="C19" s="43" t="s">
        <v>109</v>
      </c>
      <c r="D19" s="46"/>
      <c r="E19" s="46"/>
      <c r="F19" s="46"/>
      <c r="G19" s="46"/>
      <c r="H19" s="46"/>
      <c r="I19" s="46"/>
      <c r="J19" s="44" t="s">
        <v>29</v>
      </c>
      <c r="K19" s="44" t="s">
        <v>29</v>
      </c>
      <c r="L19" s="45">
        <v>81111.11</v>
      </c>
      <c r="M19" s="45">
        <v>140777.78</v>
      </c>
      <c r="N19" s="45">
        <v>352777.78</v>
      </c>
      <c r="O19" s="46"/>
      <c r="S19" s="3" t="s">
        <v>66</v>
      </c>
      <c r="T19" s="4">
        <v>36</v>
      </c>
      <c r="U19" s="3" t="s">
        <v>67</v>
      </c>
      <c r="V19" s="3"/>
      <c r="W19" s="3"/>
    </row>
    <row r="20" spans="2:23" ht="15.6" customHeight="1" thickBot="1" x14ac:dyDescent="0.3">
      <c r="B20" s="88" t="s">
        <v>122</v>
      </c>
      <c r="C20" s="47" t="s">
        <v>106</v>
      </c>
      <c r="D20" s="48"/>
      <c r="E20" s="48"/>
      <c r="F20" s="48"/>
      <c r="G20" s="48"/>
      <c r="H20" s="48"/>
      <c r="I20" s="48"/>
      <c r="J20" s="48"/>
      <c r="K20" s="49" t="s">
        <v>29</v>
      </c>
      <c r="L20" s="49" t="s">
        <v>29</v>
      </c>
      <c r="M20" s="50">
        <v>121360.81</v>
      </c>
      <c r="N20" s="50">
        <v>401908.56</v>
      </c>
      <c r="O20" s="50">
        <v>1541169.33</v>
      </c>
      <c r="S20" s="19" t="s">
        <v>68</v>
      </c>
      <c r="T20" s="4">
        <v>0.5</v>
      </c>
      <c r="U20" s="17" t="s">
        <v>69</v>
      </c>
      <c r="V20" s="3"/>
      <c r="W20" s="86" t="s">
        <v>9</v>
      </c>
    </row>
    <row r="21" spans="2:23" ht="15" customHeight="1" thickBot="1" x14ac:dyDescent="0.3">
      <c r="B21" s="89"/>
      <c r="C21" s="43" t="s">
        <v>109</v>
      </c>
      <c r="D21" s="46"/>
      <c r="E21" s="46"/>
      <c r="F21" s="46"/>
      <c r="G21" s="46"/>
      <c r="H21" s="46"/>
      <c r="I21" s="46"/>
      <c r="J21" s="46"/>
      <c r="K21" s="44" t="s">
        <v>29</v>
      </c>
      <c r="L21" s="44" t="s">
        <v>29</v>
      </c>
      <c r="M21" s="45">
        <v>146111.10999999999</v>
      </c>
      <c r="N21" s="45">
        <v>223111.11</v>
      </c>
      <c r="O21" s="45">
        <v>466777.78</v>
      </c>
      <c r="S21" s="19" t="s">
        <v>70</v>
      </c>
      <c r="T21" s="4">
        <v>0.4</v>
      </c>
      <c r="U21" s="18" t="s">
        <v>69</v>
      </c>
      <c r="V21" s="3"/>
      <c r="W21" s="85"/>
    </row>
    <row r="22" spans="2:23" ht="15.6" customHeight="1" x14ac:dyDescent="0.25">
      <c r="B22" s="92" t="s">
        <v>123</v>
      </c>
      <c r="C22" s="91"/>
      <c r="D22" s="38"/>
      <c r="E22" s="38"/>
      <c r="F22" s="39">
        <f>$T$13+((F6*$T$18/$T$19)+(F7*$T$17))/($T$16/10)/10000</f>
        <v>4.2992512386282584</v>
      </c>
      <c r="G22" s="39">
        <f>$T$13+((((G6+G8)/2)*$T$18/$T$19)+(((G7+G9)/2)*$T$17))/($T$16/10)/10000</f>
        <v>2.8127797560493826</v>
      </c>
      <c r="H22" s="39">
        <f>$T$13+((((H6+H8+H10)/3)*$T$18/$T$19)+(((H7+H9+H11)/3)*$T$17))/($T$16/10)/10000</f>
        <v>1.9383223102834934</v>
      </c>
      <c r="I22" s="39">
        <f>$T$13+((((I8+I10+I12)/3)*$T$18/$T$19)+(((I9+I11+I13)/3)*$T$17))/($T$16/10)/10000</f>
        <v>1.2564714855189758</v>
      </c>
      <c r="J22" s="39">
        <f>$T$13+((((J10+J12+J14)/3)*$T$18/$T$19)+(((J11+J13+J15)/3)*$T$17))/($T$16/10)/10000</f>
        <v>0.96843529502972103</v>
      </c>
      <c r="K22" s="39">
        <f>$T$13+((((K12+K14+K16)/3)*$T$18/$T$19)+(((K13+K15+K17)/3)*$T$17))/($T$16/10)/10000</f>
        <v>0.83482395598536807</v>
      </c>
      <c r="L22" s="39">
        <f>$T$13+((((L14+L16+L18)/3)*$T$18/$T$19)+(((L15+L17+L19)/3)*$T$17))/($T$16/10)/10000</f>
        <v>1.104969412944673</v>
      </c>
      <c r="M22" s="39">
        <f>$T$13+((((M16+M18+M20)/3)*$T$18/$T$19)+(((M17+M19+M21)/3)*$T$17))/($T$16/10)/10000</f>
        <v>1.663098550740741</v>
      </c>
      <c r="N22" s="39">
        <f>$T$13+((((N18+N20)/2)*$T$18/$T$19)+(((N19+N21)/2)*$T$17))/($T$16/10)/10000</f>
        <v>2.5945976108093278</v>
      </c>
      <c r="O22" s="39">
        <f>$T$13+((O20*$T$18/$T$19)+(O21*$T$17))/($T$16/10)/10000</f>
        <v>4.2695306950205767</v>
      </c>
      <c r="S22" s="3" t="s">
        <v>71</v>
      </c>
      <c r="T22" s="4" t="s">
        <v>72</v>
      </c>
      <c r="U22" s="3"/>
      <c r="V22" s="3"/>
      <c r="W22" s="3"/>
    </row>
    <row r="23" spans="2:23" x14ac:dyDescent="0.25">
      <c r="S23" s="3" t="s">
        <v>74</v>
      </c>
      <c r="T23" s="4">
        <v>10000</v>
      </c>
      <c r="U23" s="3" t="s">
        <v>75</v>
      </c>
      <c r="V23" s="3" t="s">
        <v>76</v>
      </c>
      <c r="W23" s="3"/>
    </row>
    <row r="24" spans="2:23" ht="16.149999999999999" customHeight="1" x14ac:dyDescent="0.25">
      <c r="S24" s="3" t="s">
        <v>79</v>
      </c>
      <c r="T24" s="76" t="s">
        <v>124</v>
      </c>
      <c r="U24" s="3" t="s">
        <v>81</v>
      </c>
      <c r="V24" s="3" t="s">
        <v>125</v>
      </c>
      <c r="W24" s="6" t="s">
        <v>83</v>
      </c>
    </row>
    <row r="25" spans="2:23" x14ac:dyDescent="0.25">
      <c r="S25" s="3" t="s">
        <v>85</v>
      </c>
      <c r="T25" s="76">
        <v>10.8</v>
      </c>
      <c r="U25" s="3" t="s">
        <v>86</v>
      </c>
      <c r="V25" s="3" t="s">
        <v>87</v>
      </c>
      <c r="W25" s="6" t="s">
        <v>88</v>
      </c>
    </row>
    <row r="26" spans="2:23" x14ac:dyDescent="0.25">
      <c r="S26" s="3" t="s">
        <v>90</v>
      </c>
      <c r="T26" s="76">
        <v>15</v>
      </c>
      <c r="U26" s="3" t="s">
        <v>91</v>
      </c>
      <c r="V26" s="3" t="s">
        <v>92</v>
      </c>
      <c r="W26" s="3" t="s">
        <v>93</v>
      </c>
    </row>
    <row r="27" spans="2:23" ht="15.6" customHeight="1" x14ac:dyDescent="0.25">
      <c r="D27" s="7" t="s">
        <v>14</v>
      </c>
      <c r="E27" s="7" t="s">
        <v>15</v>
      </c>
      <c r="F27" s="7" t="s">
        <v>16</v>
      </c>
      <c r="G27" s="7" t="s">
        <v>17</v>
      </c>
      <c r="H27" s="7" t="s">
        <v>18</v>
      </c>
      <c r="I27" s="7" t="s">
        <v>19</v>
      </c>
      <c r="J27" s="7" t="s">
        <v>20</v>
      </c>
      <c r="K27" s="7" t="s">
        <v>21</v>
      </c>
      <c r="L27" s="7" t="s">
        <v>22</v>
      </c>
      <c r="M27" s="7" t="s">
        <v>23</v>
      </c>
      <c r="N27" s="7" t="s">
        <v>24</v>
      </c>
      <c r="O27" s="7" t="s">
        <v>25</v>
      </c>
      <c r="S27" s="3" t="s">
        <v>94</v>
      </c>
      <c r="T27" s="76">
        <v>130</v>
      </c>
      <c r="U27" s="3" t="s">
        <v>95</v>
      </c>
      <c r="V27" s="3" t="s">
        <v>96</v>
      </c>
      <c r="W27" s="3" t="s">
        <v>97</v>
      </c>
    </row>
    <row r="28" spans="2:23" ht="15.6" customHeight="1" x14ac:dyDescent="0.25">
      <c r="B28" s="90" t="s">
        <v>126</v>
      </c>
      <c r="C28" s="91"/>
      <c r="D28" s="20"/>
      <c r="E28" s="20"/>
      <c r="F28" s="20">
        <f t="shared" ref="F28:O28" si="0">F22</f>
        <v>4.2992512386282584</v>
      </c>
      <c r="G28" s="20">
        <f t="shared" si="0"/>
        <v>2.8127797560493826</v>
      </c>
      <c r="H28" s="20">
        <f t="shared" si="0"/>
        <v>1.9383223102834934</v>
      </c>
      <c r="I28" s="20">
        <f t="shared" si="0"/>
        <v>1.2564714855189758</v>
      </c>
      <c r="J28" s="20">
        <f t="shared" si="0"/>
        <v>0.96843529502972103</v>
      </c>
      <c r="K28" s="20">
        <f t="shared" si="0"/>
        <v>0.83482395598536807</v>
      </c>
      <c r="L28" s="20">
        <f t="shared" si="0"/>
        <v>1.104969412944673</v>
      </c>
      <c r="M28" s="20">
        <f t="shared" si="0"/>
        <v>1.663098550740741</v>
      </c>
      <c r="N28" s="20">
        <f t="shared" si="0"/>
        <v>2.5945976108093278</v>
      </c>
      <c r="O28" s="20">
        <f t="shared" si="0"/>
        <v>4.2695306950205767</v>
      </c>
      <c r="S28" s="3" t="s">
        <v>98</v>
      </c>
      <c r="T28" s="76">
        <v>200</v>
      </c>
      <c r="U28" s="3" t="s">
        <v>99</v>
      </c>
      <c r="V28" s="3"/>
      <c r="W28" s="6" t="s">
        <v>100</v>
      </c>
    </row>
    <row r="29" spans="2:23" ht="115.15" customHeight="1" x14ac:dyDescent="0.25">
      <c r="S29" s="80" t="s">
        <v>101</v>
      </c>
      <c r="T29" s="79">
        <v>30</v>
      </c>
      <c r="U29" s="80" t="s">
        <v>102</v>
      </c>
      <c r="V29" s="80"/>
      <c r="W29" s="81" t="s">
        <v>103</v>
      </c>
    </row>
  </sheetData>
  <mergeCells count="12">
    <mergeCell ref="B12:B13"/>
    <mergeCell ref="B18:B19"/>
    <mergeCell ref="B28:C28"/>
    <mergeCell ref="W3:W5"/>
    <mergeCell ref="B22:C22"/>
    <mergeCell ref="B8:B9"/>
    <mergeCell ref="B16:B17"/>
    <mergeCell ref="B20:B21"/>
    <mergeCell ref="B10:B11"/>
    <mergeCell ref="W20:W21"/>
    <mergeCell ref="B6:B7"/>
    <mergeCell ref="B14:B15"/>
  </mergeCells>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34"/>
  <sheetViews>
    <sheetView topLeftCell="J1" workbookViewId="0">
      <selection activeCell="V12" sqref="V12"/>
    </sheetView>
  </sheetViews>
  <sheetFormatPr defaultRowHeight="15" x14ac:dyDescent="0.25"/>
  <cols>
    <col min="2" max="2" width="29.28515625" style="1" customWidth="1"/>
    <col min="3" max="3" width="29.140625" customWidth="1"/>
    <col min="4" max="4" width="11.85546875" customWidth="1"/>
    <col min="5" max="6" width="10.5703125" bestFit="1" customWidth="1"/>
    <col min="7" max="7" width="8.5703125" bestFit="1" customWidth="1"/>
    <col min="8" max="9" width="9.5703125" bestFit="1" customWidth="1"/>
    <col min="10" max="13" width="8.5703125" bestFit="1" customWidth="1"/>
    <col min="14" max="15" width="9.5703125" bestFit="1" customWidth="1"/>
    <col min="19" max="19" width="37.28515625" customWidth="1"/>
    <col min="20" max="20" width="10.28515625" customWidth="1"/>
    <col min="21" max="21" width="16.5703125" bestFit="1" customWidth="1"/>
    <col min="22" max="22" width="62.140625" bestFit="1" customWidth="1"/>
    <col min="23" max="23" width="105.28515625" customWidth="1"/>
  </cols>
  <sheetData>
    <row r="1" spans="2:23" x14ac:dyDescent="0.25">
      <c r="B1" s="32" t="s">
        <v>127</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4" t="s">
        <v>105</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94" t="s">
        <v>12</v>
      </c>
      <c r="C6" s="3" t="s">
        <v>106</v>
      </c>
      <c r="D6" s="37" t="s">
        <v>29</v>
      </c>
      <c r="E6" s="11">
        <v>1590970.82</v>
      </c>
      <c r="F6" s="3"/>
      <c r="G6" s="3"/>
      <c r="H6" s="3"/>
      <c r="I6" s="3"/>
      <c r="J6" s="3"/>
      <c r="K6" s="3"/>
      <c r="L6" s="3"/>
      <c r="M6" s="3"/>
      <c r="N6" s="3"/>
      <c r="O6" s="3"/>
      <c r="S6" s="3" t="s">
        <v>31</v>
      </c>
      <c r="T6" s="61">
        <v>0.216</v>
      </c>
      <c r="U6" s="3" t="s">
        <v>32</v>
      </c>
      <c r="V6" s="16" t="s">
        <v>128</v>
      </c>
      <c r="W6" s="86" t="s">
        <v>65</v>
      </c>
    </row>
    <row r="7" spans="2:23" ht="16.899999999999999" customHeight="1" x14ac:dyDescent="0.25">
      <c r="B7" s="85"/>
      <c r="C7" s="3" t="s">
        <v>109</v>
      </c>
      <c r="D7" s="37" t="s">
        <v>29</v>
      </c>
      <c r="E7" s="11">
        <v>208000</v>
      </c>
      <c r="F7" s="3"/>
      <c r="G7" s="3"/>
      <c r="H7" s="3"/>
      <c r="I7" s="3"/>
      <c r="J7" s="3"/>
      <c r="K7" s="3"/>
      <c r="L7" s="3"/>
      <c r="M7" s="3"/>
      <c r="N7" s="3"/>
      <c r="O7" s="3"/>
      <c r="S7" s="3" t="s">
        <v>36</v>
      </c>
      <c r="T7" s="61">
        <v>2.5399999999999999E-4</v>
      </c>
      <c r="U7" s="3" t="s">
        <v>37</v>
      </c>
      <c r="V7" s="16" t="s">
        <v>129</v>
      </c>
      <c r="W7" s="84"/>
    </row>
    <row r="8" spans="2:23" ht="16.899999999999999" customHeight="1" x14ac:dyDescent="0.25">
      <c r="B8" s="94" t="s">
        <v>46</v>
      </c>
      <c r="C8" s="3" t="s">
        <v>106</v>
      </c>
      <c r="D8" s="3"/>
      <c r="E8" s="37" t="s">
        <v>29</v>
      </c>
      <c r="F8" s="11">
        <v>1262698.06</v>
      </c>
      <c r="G8" s="3"/>
      <c r="H8" s="3"/>
      <c r="I8" s="3"/>
      <c r="J8" s="3"/>
      <c r="K8" s="3"/>
      <c r="L8" s="3"/>
      <c r="M8" s="3"/>
      <c r="N8" s="3"/>
      <c r="O8" s="3"/>
      <c r="S8" s="3" t="s">
        <v>39</v>
      </c>
      <c r="T8" s="61">
        <v>4.3699999999999998E-3</v>
      </c>
      <c r="U8" s="3" t="s">
        <v>37</v>
      </c>
      <c r="V8" s="16" t="s">
        <v>130</v>
      </c>
      <c r="W8" s="84"/>
    </row>
    <row r="9" spans="2:23" ht="16.899999999999999" customHeight="1" x14ac:dyDescent="0.25">
      <c r="B9" s="85"/>
      <c r="C9" s="3" t="s">
        <v>109</v>
      </c>
      <c r="D9" s="3"/>
      <c r="E9" s="37" t="s">
        <v>29</v>
      </c>
      <c r="F9" s="11">
        <v>133666.67000000001</v>
      </c>
      <c r="G9" s="3"/>
      <c r="H9" s="3"/>
      <c r="I9" s="3"/>
      <c r="J9" s="3"/>
      <c r="K9" s="3"/>
      <c r="L9" s="3"/>
      <c r="M9" s="3"/>
      <c r="N9" s="3"/>
      <c r="O9" s="3"/>
      <c r="S9" s="3" t="s">
        <v>41</v>
      </c>
      <c r="T9" s="61">
        <v>5.1199999999999998E-4</v>
      </c>
      <c r="U9" s="3" t="s">
        <v>37</v>
      </c>
      <c r="V9" s="16" t="s">
        <v>131</v>
      </c>
      <c r="W9" s="84"/>
    </row>
    <row r="10" spans="2:23" ht="16.899999999999999" customHeight="1" x14ac:dyDescent="0.25">
      <c r="B10" s="94" t="s">
        <v>116</v>
      </c>
      <c r="C10" s="3" t="s">
        <v>106</v>
      </c>
      <c r="D10" s="3"/>
      <c r="E10" s="3"/>
      <c r="F10" s="37" t="s">
        <v>29</v>
      </c>
      <c r="G10" s="11">
        <v>893589.2</v>
      </c>
      <c r="H10" s="3"/>
      <c r="I10" s="3"/>
      <c r="J10" s="3"/>
      <c r="K10" s="3"/>
      <c r="L10" s="3"/>
      <c r="M10" s="3"/>
      <c r="N10" s="3"/>
      <c r="O10" s="3"/>
      <c r="S10" s="59" t="s">
        <v>43</v>
      </c>
      <c r="T10" s="21">
        <f>18.7/T16</f>
        <v>0.35150375939849621</v>
      </c>
      <c r="U10" s="3" t="s">
        <v>37</v>
      </c>
      <c r="V10" t="s">
        <v>132</v>
      </c>
      <c r="W10" s="85"/>
    </row>
    <row r="11" spans="2:23" ht="15.6" customHeight="1" x14ac:dyDescent="0.25">
      <c r="B11" s="85"/>
      <c r="C11" s="3" t="s">
        <v>109</v>
      </c>
      <c r="D11" s="3"/>
      <c r="E11" s="3"/>
      <c r="F11" s="37" t="s">
        <v>29</v>
      </c>
      <c r="G11" s="11">
        <v>60666.67</v>
      </c>
      <c r="H11" s="3"/>
      <c r="I11" s="3"/>
      <c r="J11" s="3"/>
      <c r="K11" s="3"/>
      <c r="L11" s="3"/>
      <c r="M11" s="3"/>
      <c r="N11" s="3"/>
      <c r="O11" s="3"/>
      <c r="S11" s="53" t="s">
        <v>47</v>
      </c>
      <c r="T11" s="54">
        <v>9.0999999999999998E-2</v>
      </c>
      <c r="U11" s="53" t="s">
        <v>37</v>
      </c>
      <c r="V11" s="64" t="s">
        <v>48</v>
      </c>
      <c r="W11" s="53" t="s">
        <v>49</v>
      </c>
    </row>
    <row r="12" spans="2:23" ht="15.6" customHeight="1" x14ac:dyDescent="0.25">
      <c r="B12" s="94" t="s">
        <v>118</v>
      </c>
      <c r="C12" s="3" t="s">
        <v>106</v>
      </c>
      <c r="D12" s="3"/>
      <c r="E12" s="3"/>
      <c r="F12" s="3"/>
      <c r="G12" s="37" t="s">
        <v>29</v>
      </c>
      <c r="H12" s="11">
        <v>520370.33</v>
      </c>
      <c r="I12" s="3"/>
      <c r="J12" s="3"/>
      <c r="K12" s="3"/>
      <c r="L12" s="3"/>
      <c r="M12" s="3"/>
      <c r="N12" s="3"/>
      <c r="O12" s="3"/>
      <c r="S12" s="3" t="s">
        <v>50</v>
      </c>
      <c r="T12" s="61">
        <v>8.5999999999999993E-2</v>
      </c>
      <c r="U12" s="3" t="s">
        <v>37</v>
      </c>
      <c r="V12" s="66" t="s">
        <v>51</v>
      </c>
      <c r="W12" s="3" t="s">
        <v>52</v>
      </c>
    </row>
    <row r="13" spans="2:23" x14ac:dyDescent="0.25">
      <c r="B13" s="85"/>
      <c r="C13" s="3" t="s">
        <v>109</v>
      </c>
      <c r="D13" s="3"/>
      <c r="E13" s="3"/>
      <c r="F13" s="3"/>
      <c r="G13" s="37" t="s">
        <v>29</v>
      </c>
      <c r="H13" s="11">
        <v>22666.67</v>
      </c>
      <c r="I13" s="3"/>
      <c r="J13" s="3"/>
      <c r="K13" s="3"/>
      <c r="L13" s="3"/>
      <c r="M13" s="3"/>
      <c r="N13" s="3"/>
      <c r="O13" s="3"/>
      <c r="S13" s="60" t="s">
        <v>53</v>
      </c>
      <c r="T13" s="62">
        <f>(SUM(T3:T6)/60)+SUM(T7:T12)</f>
        <v>0.60025642606516283</v>
      </c>
      <c r="U13" s="60" t="s">
        <v>37</v>
      </c>
      <c r="V13" s="60" t="s">
        <v>54</v>
      </c>
    </row>
    <row r="14" spans="2:23" x14ac:dyDescent="0.25">
      <c r="B14" s="94" t="s">
        <v>119</v>
      </c>
      <c r="C14" s="3" t="s">
        <v>106</v>
      </c>
      <c r="D14" s="3"/>
      <c r="E14" s="3"/>
      <c r="F14" s="3"/>
      <c r="G14" s="3"/>
      <c r="H14" s="37" t="s">
        <v>29</v>
      </c>
      <c r="I14" s="11">
        <v>120243.45</v>
      </c>
      <c r="J14" s="3"/>
      <c r="K14" s="3"/>
      <c r="L14" s="3"/>
      <c r="M14" s="3"/>
      <c r="N14" s="3"/>
      <c r="O14" s="3"/>
    </row>
    <row r="15" spans="2:23" ht="16.149999999999999" customHeight="1" x14ac:dyDescent="0.25">
      <c r="B15" s="85"/>
      <c r="C15" s="3" t="s">
        <v>109</v>
      </c>
      <c r="D15" s="3"/>
      <c r="E15" s="3"/>
      <c r="F15" s="3"/>
      <c r="G15" s="3"/>
      <c r="H15" s="37" t="s">
        <v>29</v>
      </c>
      <c r="I15" s="11">
        <v>11666.67</v>
      </c>
      <c r="J15" s="3"/>
      <c r="K15" s="3"/>
      <c r="L15" s="3"/>
      <c r="M15" s="3"/>
      <c r="N15" s="3"/>
      <c r="O15" s="3"/>
      <c r="S15" s="2" t="s">
        <v>55</v>
      </c>
      <c r="T15" s="2" t="s">
        <v>2</v>
      </c>
      <c r="U15" s="2" t="s">
        <v>3</v>
      </c>
      <c r="V15" s="2" t="s">
        <v>4</v>
      </c>
      <c r="W15" s="2" t="s">
        <v>5</v>
      </c>
    </row>
    <row r="16" spans="2:23" ht="15.6" customHeight="1" x14ac:dyDescent="0.25">
      <c r="B16" s="94" t="s">
        <v>120</v>
      </c>
      <c r="C16" s="3" t="s">
        <v>106</v>
      </c>
      <c r="D16" s="3"/>
      <c r="E16" s="3"/>
      <c r="F16" s="3"/>
      <c r="G16" s="3"/>
      <c r="H16" s="3"/>
      <c r="I16" s="37" t="s">
        <v>29</v>
      </c>
      <c r="J16" s="11">
        <v>3989.57</v>
      </c>
      <c r="K16" s="3"/>
      <c r="L16" s="3"/>
      <c r="M16" s="3"/>
      <c r="N16" s="3"/>
      <c r="O16" s="3"/>
      <c r="S16" s="3" t="s">
        <v>56</v>
      </c>
      <c r="T16" s="25">
        <v>53.2</v>
      </c>
      <c r="U16" s="3" t="s">
        <v>57</v>
      </c>
      <c r="V16" s="3"/>
      <c r="W16" s="3" t="s">
        <v>65</v>
      </c>
    </row>
    <row r="17" spans="2:23" ht="15.6" customHeight="1" x14ac:dyDescent="0.25">
      <c r="B17" s="85"/>
      <c r="C17" s="3" t="s">
        <v>109</v>
      </c>
      <c r="D17" s="3"/>
      <c r="E17" s="3"/>
      <c r="F17" s="3"/>
      <c r="G17" s="3"/>
      <c r="H17" s="3"/>
      <c r="I17" s="37" t="s">
        <v>29</v>
      </c>
      <c r="J17" s="11">
        <v>7000</v>
      </c>
      <c r="K17" s="3"/>
      <c r="L17" s="3"/>
      <c r="M17" s="3"/>
      <c r="N17" s="3"/>
      <c r="O17" s="3"/>
      <c r="S17" s="53" t="s">
        <v>60</v>
      </c>
      <c r="T17" s="58">
        <v>0.49099999999999999</v>
      </c>
      <c r="U17" s="53" t="s">
        <v>61</v>
      </c>
      <c r="V17" s="53"/>
      <c r="W17" s="53" t="s">
        <v>62</v>
      </c>
    </row>
    <row r="18" spans="2:23" ht="16.149999999999999" customHeight="1" x14ac:dyDescent="0.25">
      <c r="B18" s="94" t="s">
        <v>121</v>
      </c>
      <c r="C18" s="3" t="s">
        <v>106</v>
      </c>
      <c r="D18" s="3"/>
      <c r="E18" s="3"/>
      <c r="F18" s="3"/>
      <c r="G18" s="3"/>
      <c r="H18" s="3"/>
      <c r="I18" s="3"/>
      <c r="J18" s="37" t="s">
        <v>29</v>
      </c>
      <c r="K18" s="11">
        <v>60.19</v>
      </c>
      <c r="L18" s="3"/>
      <c r="M18" s="3"/>
      <c r="N18" s="3"/>
      <c r="O18" s="3"/>
      <c r="S18" s="3" t="s">
        <v>63</v>
      </c>
      <c r="T18" s="4">
        <v>1.78</v>
      </c>
      <c r="U18" s="16" t="s">
        <v>64</v>
      </c>
      <c r="V18" s="3"/>
      <c r="W18" s="3" t="s">
        <v>65</v>
      </c>
    </row>
    <row r="19" spans="2:23" x14ac:dyDescent="0.25">
      <c r="B19" s="85"/>
      <c r="C19" s="3" t="s">
        <v>109</v>
      </c>
      <c r="D19" s="3"/>
      <c r="E19" s="3"/>
      <c r="F19" s="3"/>
      <c r="G19" s="3"/>
      <c r="H19" s="3"/>
      <c r="I19" s="3"/>
      <c r="J19" s="37" t="s">
        <v>29</v>
      </c>
      <c r="K19" s="11">
        <v>13666.67</v>
      </c>
      <c r="L19" s="3"/>
      <c r="M19" s="3"/>
      <c r="N19" s="3"/>
      <c r="O19" s="3"/>
      <c r="S19" s="3" t="s">
        <v>66</v>
      </c>
      <c r="T19" s="4">
        <v>36</v>
      </c>
      <c r="U19" s="3" t="s">
        <v>67</v>
      </c>
      <c r="V19" s="3"/>
      <c r="W19" s="3"/>
    </row>
    <row r="20" spans="2:23" x14ac:dyDescent="0.25">
      <c r="B20" s="94" t="s">
        <v>122</v>
      </c>
      <c r="C20" s="3" t="s">
        <v>106</v>
      </c>
      <c r="D20" s="3"/>
      <c r="E20" s="3"/>
      <c r="F20" s="3"/>
      <c r="G20" s="3"/>
      <c r="H20" s="3"/>
      <c r="I20" s="3"/>
      <c r="J20" s="3"/>
      <c r="K20" s="37" t="s">
        <v>29</v>
      </c>
      <c r="L20" s="11">
        <v>1115.68</v>
      </c>
      <c r="M20" s="3"/>
      <c r="N20" s="3"/>
      <c r="O20" s="3"/>
      <c r="S20" s="19" t="s">
        <v>68</v>
      </c>
      <c r="T20" s="4">
        <v>0.5</v>
      </c>
      <c r="U20" s="17" t="s">
        <v>69</v>
      </c>
      <c r="V20" s="3"/>
      <c r="W20" s="95" t="s">
        <v>9</v>
      </c>
    </row>
    <row r="21" spans="2:23" x14ac:dyDescent="0.25">
      <c r="B21" s="85"/>
      <c r="C21" s="3" t="s">
        <v>109</v>
      </c>
      <c r="D21" s="3"/>
      <c r="E21" s="3"/>
      <c r="F21" s="3"/>
      <c r="G21" s="3"/>
      <c r="H21" s="3"/>
      <c r="I21" s="3"/>
      <c r="J21" s="3"/>
      <c r="K21" s="37" t="s">
        <v>29</v>
      </c>
      <c r="L21" s="11">
        <v>34000</v>
      </c>
      <c r="M21" s="3"/>
      <c r="N21" s="3"/>
      <c r="O21" s="3"/>
      <c r="S21" s="19" t="s">
        <v>70</v>
      </c>
      <c r="T21" s="4">
        <v>0.4</v>
      </c>
      <c r="U21" s="18" t="s">
        <v>69</v>
      </c>
      <c r="V21" s="3"/>
      <c r="W21" s="85"/>
    </row>
    <row r="22" spans="2:23" x14ac:dyDescent="0.25">
      <c r="B22" s="94" t="s">
        <v>133</v>
      </c>
      <c r="C22" s="3" t="s">
        <v>106</v>
      </c>
      <c r="D22" s="3"/>
      <c r="E22" s="3"/>
      <c r="F22" s="3"/>
      <c r="G22" s="3"/>
      <c r="H22" s="3"/>
      <c r="I22" s="3"/>
      <c r="J22" s="3"/>
      <c r="K22" s="3"/>
      <c r="L22" s="37" t="s">
        <v>29</v>
      </c>
      <c r="M22" s="11">
        <v>20982.81</v>
      </c>
      <c r="N22" s="3"/>
      <c r="O22" s="3"/>
      <c r="S22" s="3" t="s">
        <v>71</v>
      </c>
      <c r="T22" s="4" t="s">
        <v>72</v>
      </c>
      <c r="U22" s="3"/>
      <c r="V22" s="3"/>
      <c r="W22" s="3"/>
    </row>
    <row r="23" spans="2:23" x14ac:dyDescent="0.25">
      <c r="B23" s="85"/>
      <c r="C23" s="3" t="s">
        <v>109</v>
      </c>
      <c r="D23" s="3"/>
      <c r="E23" s="3"/>
      <c r="F23" s="3"/>
      <c r="G23" s="3"/>
      <c r="H23" s="3"/>
      <c r="I23" s="3"/>
      <c r="J23" s="3"/>
      <c r="K23" s="3"/>
      <c r="L23" s="37" t="s">
        <v>29</v>
      </c>
      <c r="M23" s="11">
        <v>101333.33</v>
      </c>
      <c r="N23" s="3"/>
      <c r="O23" s="3"/>
      <c r="S23" s="3" t="s">
        <v>74</v>
      </c>
      <c r="T23" s="4">
        <v>10000</v>
      </c>
      <c r="U23" s="3" t="s">
        <v>75</v>
      </c>
      <c r="V23" s="3" t="s">
        <v>76</v>
      </c>
      <c r="W23" s="3"/>
    </row>
    <row r="24" spans="2:23" ht="16.149999999999999" customHeight="1" x14ac:dyDescent="0.25">
      <c r="B24" s="94" t="s">
        <v>134</v>
      </c>
      <c r="C24" s="3" t="s">
        <v>106</v>
      </c>
      <c r="D24" s="3"/>
      <c r="E24" s="3"/>
      <c r="F24" s="3"/>
      <c r="G24" s="3"/>
      <c r="H24" s="3"/>
      <c r="I24" s="3"/>
      <c r="J24" s="3"/>
      <c r="K24" s="3"/>
      <c r="L24" s="3"/>
      <c r="M24" s="37" t="s">
        <v>29</v>
      </c>
      <c r="N24" s="11">
        <v>240463.11</v>
      </c>
      <c r="O24" s="3"/>
      <c r="S24" s="3" t="s">
        <v>79</v>
      </c>
      <c r="T24" s="76" t="s">
        <v>124</v>
      </c>
      <c r="U24" s="3" t="s">
        <v>81</v>
      </c>
      <c r="V24" s="3" t="s">
        <v>125</v>
      </c>
      <c r="W24" s="6" t="s">
        <v>83</v>
      </c>
    </row>
    <row r="25" spans="2:23" x14ac:dyDescent="0.25">
      <c r="B25" s="85"/>
      <c r="C25" s="3" t="s">
        <v>109</v>
      </c>
      <c r="D25" s="3"/>
      <c r="E25" s="3"/>
      <c r="F25" s="3"/>
      <c r="G25" s="3"/>
      <c r="H25" s="3"/>
      <c r="I25" s="3"/>
      <c r="J25" s="3"/>
      <c r="K25" s="3"/>
      <c r="L25" s="3"/>
      <c r="M25" s="37" t="s">
        <v>29</v>
      </c>
      <c r="N25" s="11">
        <v>184000</v>
      </c>
      <c r="O25" s="3"/>
      <c r="S25" s="3" t="s">
        <v>85</v>
      </c>
      <c r="T25" s="76">
        <v>10.8</v>
      </c>
      <c r="U25" s="3" t="s">
        <v>86</v>
      </c>
      <c r="V25" s="3" t="s">
        <v>87</v>
      </c>
      <c r="W25" s="6" t="s">
        <v>88</v>
      </c>
    </row>
    <row r="26" spans="2:23" ht="15.6" customHeight="1" x14ac:dyDescent="0.25">
      <c r="B26" s="94" t="s">
        <v>135</v>
      </c>
      <c r="C26" s="3" t="s">
        <v>106</v>
      </c>
      <c r="D26" s="3"/>
      <c r="E26" s="3"/>
      <c r="F26" s="3"/>
      <c r="G26" s="3"/>
      <c r="H26" s="3"/>
      <c r="I26" s="3"/>
      <c r="J26" s="3"/>
      <c r="K26" s="3"/>
      <c r="L26" s="3"/>
      <c r="M26" s="3"/>
      <c r="N26" s="37" t="s">
        <v>29</v>
      </c>
      <c r="O26" s="11">
        <v>815957.88</v>
      </c>
      <c r="S26" s="3" t="s">
        <v>90</v>
      </c>
      <c r="T26" s="76">
        <v>15</v>
      </c>
      <c r="U26" s="3" t="s">
        <v>91</v>
      </c>
      <c r="V26" s="3" t="s">
        <v>92</v>
      </c>
      <c r="W26" s="3" t="s">
        <v>93</v>
      </c>
    </row>
    <row r="27" spans="2:23" ht="16.149999999999999" customHeight="1" x14ac:dyDescent="0.25">
      <c r="B27" s="85"/>
      <c r="C27" s="3" t="s">
        <v>109</v>
      </c>
      <c r="D27" s="3"/>
      <c r="E27" s="3"/>
      <c r="F27" s="3"/>
      <c r="G27" s="3"/>
      <c r="H27" s="3"/>
      <c r="I27" s="3"/>
      <c r="J27" s="3"/>
      <c r="K27" s="3"/>
      <c r="L27" s="3"/>
      <c r="M27" s="3"/>
      <c r="N27" s="37" t="s">
        <v>29</v>
      </c>
      <c r="O27" s="11">
        <v>247000</v>
      </c>
      <c r="S27" s="3" t="s">
        <v>94</v>
      </c>
      <c r="T27" s="76">
        <v>100</v>
      </c>
      <c r="U27" s="3" t="s">
        <v>95</v>
      </c>
      <c r="V27" s="3" t="s">
        <v>96</v>
      </c>
      <c r="W27" s="3" t="s">
        <v>97</v>
      </c>
    </row>
    <row r="28" spans="2:23" ht="15.6" customHeight="1" x14ac:dyDescent="0.25">
      <c r="B28" s="96" t="s">
        <v>123</v>
      </c>
      <c r="C28" s="97"/>
      <c r="D28" s="20"/>
      <c r="E28" s="22">
        <f>$T$13+((E6*$T$18/$T$19)+(E7*$T$17))/($T$16/11)/10000</f>
        <v>4.3384506958855473</v>
      </c>
      <c r="F28" s="22">
        <f>$T$13+((F8*$T$18/$T$19)+(F9*$T$17))/($T$16/11)/10000</f>
        <v>3.2481908800605686</v>
      </c>
      <c r="G28" s="22">
        <f>$T$13+((G10*$T$18/$T$19)+(G11*$T$17))/($T$16/11)/10000</f>
        <v>2.1297186850522136</v>
      </c>
      <c r="H28" s="22">
        <f>$T$13+((H12*$T$18/$T$19)+(H13*$T$17))/($T$16/11)/10000</f>
        <v>1.3623735788178779</v>
      </c>
      <c r="I28" s="22">
        <f>$T$13+((I14*$T$18/$T$19)+(I15*$T$17))/($T$16/11)/10000</f>
        <v>0.84163003713032569</v>
      </c>
      <c r="J28" s="22">
        <f>$T$13+((J16*$T$18/$T$19)+(J17*$T$17))/($T$16/11)/10000</f>
        <v>0.67540094259607342</v>
      </c>
      <c r="K28" s="22">
        <f>$T$13+((K18*$T$18/$T$19)+(K19*$T$17))/($T$16/11)/10000</f>
        <v>0.73906548873851285</v>
      </c>
      <c r="L28" s="22">
        <f>$T$13+((L20*$T$18/$T$19)+(L21*$T$17))/($T$16/11)/10000</f>
        <v>0.94657373049289872</v>
      </c>
      <c r="M28" s="22">
        <f>$T$13+((M22*$T$18/$T$19)+(M23*$T$17))/($T$16/11)/10000</f>
        <v>1.6504700210776939</v>
      </c>
      <c r="N28" s="22">
        <f>$T$13+((N24*$T$18/$T$19)+(N25*$T$17))/($T$16/11)/10000</f>
        <v>2.7141083315476191</v>
      </c>
      <c r="O28" s="22">
        <f>$T$13+((O26*$T$18/$T$19)+(O27*$T$17))/($T$16/11)/10000</f>
        <v>3.9420560966165414</v>
      </c>
      <c r="S28" s="3" t="s">
        <v>98</v>
      </c>
      <c r="T28" s="76">
        <v>100</v>
      </c>
      <c r="U28" s="3" t="s">
        <v>99</v>
      </c>
      <c r="V28" s="3"/>
      <c r="W28" s="6" t="s">
        <v>100</v>
      </c>
    </row>
    <row r="29" spans="2:23" ht="129.6" customHeight="1" x14ac:dyDescent="0.25">
      <c r="S29" s="80" t="s">
        <v>101</v>
      </c>
      <c r="T29" s="79">
        <v>20</v>
      </c>
      <c r="U29" s="80" t="s">
        <v>102</v>
      </c>
      <c r="V29" s="80"/>
      <c r="W29" s="81" t="s">
        <v>103</v>
      </c>
    </row>
    <row r="33" spans="2:15" x14ac:dyDescent="0.25">
      <c r="D33" s="7" t="s">
        <v>14</v>
      </c>
      <c r="E33" s="7" t="s">
        <v>15</v>
      </c>
      <c r="F33" s="7" t="s">
        <v>16</v>
      </c>
      <c r="G33" s="7" t="s">
        <v>17</v>
      </c>
      <c r="H33" s="7" t="s">
        <v>18</v>
      </c>
      <c r="I33" s="7" t="s">
        <v>19</v>
      </c>
      <c r="J33" s="7" t="s">
        <v>20</v>
      </c>
      <c r="K33" s="7" t="s">
        <v>21</v>
      </c>
      <c r="L33" s="7" t="s">
        <v>22</v>
      </c>
      <c r="M33" s="7" t="s">
        <v>23</v>
      </c>
      <c r="N33" s="7" t="s">
        <v>24</v>
      </c>
      <c r="O33" s="7" t="s">
        <v>25</v>
      </c>
    </row>
    <row r="34" spans="2:15" ht="15.6" customHeight="1" x14ac:dyDescent="0.25">
      <c r="B34" s="90" t="s">
        <v>136</v>
      </c>
      <c r="C34" s="91"/>
      <c r="D34" s="22">
        <f t="shared" ref="D34:O34" si="0">D28</f>
        <v>0</v>
      </c>
      <c r="E34" s="22">
        <f t="shared" si="0"/>
        <v>4.3384506958855473</v>
      </c>
      <c r="F34" s="22">
        <f t="shared" si="0"/>
        <v>3.2481908800605686</v>
      </c>
      <c r="G34" s="22">
        <f t="shared" si="0"/>
        <v>2.1297186850522136</v>
      </c>
      <c r="H34" s="22">
        <f t="shared" si="0"/>
        <v>1.3623735788178779</v>
      </c>
      <c r="I34" s="22">
        <f t="shared" si="0"/>
        <v>0.84163003713032569</v>
      </c>
      <c r="J34" s="22">
        <f t="shared" si="0"/>
        <v>0.67540094259607342</v>
      </c>
      <c r="K34" s="22">
        <f t="shared" si="0"/>
        <v>0.73906548873851285</v>
      </c>
      <c r="L34" s="22">
        <f t="shared" si="0"/>
        <v>0.94657373049289872</v>
      </c>
      <c r="M34" s="22">
        <f t="shared" si="0"/>
        <v>1.6504700210776939</v>
      </c>
      <c r="N34" s="22">
        <f t="shared" si="0"/>
        <v>2.7141083315476191</v>
      </c>
      <c r="O34" s="22">
        <f t="shared" si="0"/>
        <v>3.9420560966165414</v>
      </c>
    </row>
  </sheetData>
  <mergeCells count="16">
    <mergeCell ref="B22:B23"/>
    <mergeCell ref="B18:B19"/>
    <mergeCell ref="B34:C34"/>
    <mergeCell ref="B28:C28"/>
    <mergeCell ref="B26:B27"/>
    <mergeCell ref="B24:B25"/>
    <mergeCell ref="W3:W5"/>
    <mergeCell ref="B8:B9"/>
    <mergeCell ref="B16:B17"/>
    <mergeCell ref="B10:B11"/>
    <mergeCell ref="B20:B21"/>
    <mergeCell ref="W20:W21"/>
    <mergeCell ref="B6:B7"/>
    <mergeCell ref="B14:B15"/>
    <mergeCell ref="W6:W10"/>
    <mergeCell ref="B12:B13"/>
  </mergeCells>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W29"/>
  <sheetViews>
    <sheetView topLeftCell="O1" workbookViewId="0">
      <selection activeCell="V12" sqref="V12"/>
    </sheetView>
  </sheetViews>
  <sheetFormatPr defaultRowHeight="15" x14ac:dyDescent="0.25"/>
  <cols>
    <col min="2" max="2" width="25" customWidth="1"/>
    <col min="3" max="3" width="32.28515625" customWidth="1"/>
    <col min="6" max="6" width="9.5703125" bestFit="1" customWidth="1"/>
    <col min="7" max="7" width="10.5703125" bestFit="1" customWidth="1"/>
    <col min="8" max="8" width="8.5703125" bestFit="1" customWidth="1"/>
    <col min="9" max="10" width="9.5703125" bestFit="1" customWidth="1"/>
    <col min="11" max="12" width="8.5703125" bestFit="1" customWidth="1"/>
    <col min="13" max="13" width="9.5703125" bestFit="1" customWidth="1"/>
    <col min="14" max="14" width="10.5703125" bestFit="1" customWidth="1"/>
    <col min="19" max="19" width="36" bestFit="1" customWidth="1"/>
    <col min="20" max="20" width="11.7109375" customWidth="1"/>
    <col min="21" max="21" width="16.5703125" bestFit="1" customWidth="1"/>
    <col min="22" max="22" width="61.7109375" bestFit="1" customWidth="1"/>
    <col min="23" max="23" width="114.7109375" customWidth="1"/>
  </cols>
  <sheetData>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94" t="s">
        <v>46</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84"/>
      <c r="C6" s="3" t="s">
        <v>28</v>
      </c>
      <c r="D6" s="37" t="s">
        <v>29</v>
      </c>
      <c r="E6" s="37" t="s">
        <v>29</v>
      </c>
      <c r="F6" s="12">
        <v>2658115.5</v>
      </c>
      <c r="G6" s="12">
        <v>1346331.55</v>
      </c>
      <c r="H6" s="12">
        <v>799775.6</v>
      </c>
      <c r="I6" s="12">
        <v>485589.26</v>
      </c>
      <c r="J6" s="12">
        <v>210472.49</v>
      </c>
      <c r="K6" s="12">
        <v>64947.78</v>
      </c>
      <c r="L6" s="12">
        <v>52974.239999999998</v>
      </c>
      <c r="M6" s="12">
        <v>239664.95</v>
      </c>
      <c r="N6" s="12">
        <v>1104029.45</v>
      </c>
      <c r="O6" s="52" t="s">
        <v>30</v>
      </c>
      <c r="S6" s="3" t="s">
        <v>31</v>
      </c>
      <c r="T6" s="61">
        <v>0.151</v>
      </c>
      <c r="U6" s="16" t="s">
        <v>32</v>
      </c>
      <c r="V6" s="16" t="s">
        <v>107</v>
      </c>
      <c r="W6" s="3" t="s">
        <v>113</v>
      </c>
    </row>
    <row r="7" spans="2:23" ht="16.899999999999999" customHeight="1" x14ac:dyDescent="0.25">
      <c r="B7" s="85"/>
      <c r="C7" s="3" t="s">
        <v>35</v>
      </c>
      <c r="D7" s="37" t="s">
        <v>29</v>
      </c>
      <c r="E7" s="37" t="s">
        <v>29</v>
      </c>
      <c r="F7" s="12">
        <v>335513.89</v>
      </c>
      <c r="G7" s="12">
        <v>131347.22</v>
      </c>
      <c r="H7" s="12">
        <v>61638.89</v>
      </c>
      <c r="I7" s="12">
        <v>28777.78</v>
      </c>
      <c r="J7" s="12">
        <v>21777.78</v>
      </c>
      <c r="K7" s="12">
        <v>21583.33</v>
      </c>
      <c r="L7" s="12">
        <v>44138.89</v>
      </c>
      <c r="M7" s="12">
        <v>110347.22</v>
      </c>
      <c r="N7" s="12">
        <v>291958.33</v>
      </c>
      <c r="O7" s="52" t="s">
        <v>30</v>
      </c>
      <c r="S7" s="3" t="s">
        <v>36</v>
      </c>
      <c r="T7" s="61">
        <v>4.8199999999999996E-3</v>
      </c>
      <c r="U7" s="3" t="s">
        <v>37</v>
      </c>
      <c r="V7" s="16" t="s">
        <v>137</v>
      </c>
      <c r="W7" s="63" t="s">
        <v>138</v>
      </c>
    </row>
    <row r="8" spans="2:23" ht="16.899999999999999" customHeight="1" x14ac:dyDescent="0.25">
      <c r="B8" s="98"/>
      <c r="C8" s="91"/>
      <c r="S8" s="3" t="s">
        <v>39</v>
      </c>
      <c r="T8" s="61">
        <v>1.44E-2</v>
      </c>
      <c r="U8" s="3" t="s">
        <v>37</v>
      </c>
      <c r="V8" s="16" t="s">
        <v>139</v>
      </c>
      <c r="W8" s="3" t="s">
        <v>113</v>
      </c>
    </row>
    <row r="9" spans="2:23" ht="16.899999999999999" customHeight="1" x14ac:dyDescent="0.25">
      <c r="S9" s="3" t="s">
        <v>41</v>
      </c>
      <c r="T9" s="21">
        <v>1.55E-4</v>
      </c>
      <c r="U9" s="3" t="s">
        <v>37</v>
      </c>
      <c r="V9" s="3" t="s">
        <v>114</v>
      </c>
      <c r="W9" s="19" t="s">
        <v>115</v>
      </c>
    </row>
    <row r="10" spans="2:23" ht="16.899999999999999" customHeight="1" x14ac:dyDescent="0.25">
      <c r="S10" s="59" t="s">
        <v>43</v>
      </c>
      <c r="T10" s="21">
        <f>16/T16</f>
        <v>0.53333333333333333</v>
      </c>
      <c r="U10" s="3" t="s">
        <v>37</v>
      </c>
      <c r="V10" t="s">
        <v>140</v>
      </c>
      <c r="W10" s="3" t="s">
        <v>45</v>
      </c>
    </row>
    <row r="11" spans="2:23" ht="15.6" customHeight="1" x14ac:dyDescent="0.25">
      <c r="S11" s="53" t="s">
        <v>47</v>
      </c>
      <c r="T11" s="54">
        <v>9.0999999999999998E-2</v>
      </c>
      <c r="U11" s="53" t="s">
        <v>37</v>
      </c>
      <c r="V11" s="64" t="s">
        <v>48</v>
      </c>
      <c r="W11" s="53" t="s">
        <v>49</v>
      </c>
    </row>
    <row r="12" spans="2:23" ht="15.6" customHeight="1" x14ac:dyDescent="0.25">
      <c r="D12" s="5" t="s">
        <v>14</v>
      </c>
      <c r="E12" s="5" t="s">
        <v>15</v>
      </c>
      <c r="F12" s="5" t="s">
        <v>16</v>
      </c>
      <c r="G12" s="5" t="s">
        <v>17</v>
      </c>
      <c r="H12" s="5" t="s">
        <v>18</v>
      </c>
      <c r="I12" s="5" t="s">
        <v>19</v>
      </c>
      <c r="J12" s="5" t="s">
        <v>20</v>
      </c>
      <c r="K12" s="5" t="s">
        <v>21</v>
      </c>
      <c r="L12" s="5" t="s">
        <v>22</v>
      </c>
      <c r="M12" s="5" t="s">
        <v>23</v>
      </c>
      <c r="N12" s="5" t="s">
        <v>24</v>
      </c>
      <c r="O12" s="5" t="s">
        <v>25</v>
      </c>
      <c r="S12" s="3" t="s">
        <v>50</v>
      </c>
      <c r="T12" s="61">
        <v>8.5999999999999993E-2</v>
      </c>
      <c r="U12" s="3" t="s">
        <v>37</v>
      </c>
      <c r="V12" s="66" t="s">
        <v>51</v>
      </c>
      <c r="W12" s="3" t="s">
        <v>52</v>
      </c>
    </row>
    <row r="13" spans="2:23" x14ac:dyDescent="0.25">
      <c r="C13" s="26" t="s">
        <v>78</v>
      </c>
      <c r="D13" s="27"/>
      <c r="E13" s="27"/>
      <c r="F13" s="27">
        <f t="shared" ref="F13:N13" si="0">$T$13+((F6*$T$18/$T$19)+(F7*$T$17))/($T$16/9)/10000</f>
        <v>6.0264863292666657</v>
      </c>
      <c r="G13" s="27">
        <f t="shared" si="0"/>
        <v>3.2966734572999998</v>
      </c>
      <c r="H13" s="27">
        <f t="shared" si="0"/>
        <v>2.2182688109333331</v>
      </c>
      <c r="I13" s="27">
        <f t="shared" si="0"/>
        <v>1.6260390775333333</v>
      </c>
      <c r="J13" s="27">
        <f t="shared" si="0"/>
        <v>1.1910692020333333</v>
      </c>
      <c r="K13" s="27">
        <f t="shared" si="0"/>
        <v>0.97446086086666661</v>
      </c>
      <c r="L13" s="27">
        <f t="shared" si="0"/>
        <v>1.0433134602666667</v>
      </c>
      <c r="M13" s="27">
        <f t="shared" si="0"/>
        <v>1.5744780006333334</v>
      </c>
      <c r="N13" s="27">
        <f t="shared" si="0"/>
        <v>3.5540053380333334</v>
      </c>
      <c r="O13" s="27"/>
      <c r="S13" s="60" t="s">
        <v>53</v>
      </c>
      <c r="T13" s="62">
        <f>(SUM(T3:T6)/60)+SUM(T7:T12)</f>
        <v>0.79524166666666662</v>
      </c>
      <c r="U13" s="60" t="s">
        <v>37</v>
      </c>
      <c r="V13" s="60" t="s">
        <v>54</v>
      </c>
    </row>
    <row r="15" spans="2:23" ht="16.149999999999999" customHeight="1" x14ac:dyDescent="0.25">
      <c r="S15" s="2" t="s">
        <v>55</v>
      </c>
      <c r="T15" s="2" t="s">
        <v>2</v>
      </c>
      <c r="U15" s="2" t="s">
        <v>3</v>
      </c>
      <c r="V15" s="2" t="s">
        <v>4</v>
      </c>
      <c r="W15" s="2" t="s">
        <v>5</v>
      </c>
    </row>
    <row r="16" spans="2:23" ht="15.6" customHeight="1" x14ac:dyDescent="0.25">
      <c r="S16" s="3" t="s">
        <v>56</v>
      </c>
      <c r="T16" s="25">
        <v>30</v>
      </c>
      <c r="U16" s="3" t="s">
        <v>57</v>
      </c>
      <c r="V16" s="3"/>
      <c r="W16" s="3" t="s">
        <v>113</v>
      </c>
    </row>
    <row r="17" spans="19:23" ht="15.6" customHeight="1" x14ac:dyDescent="0.25">
      <c r="S17" s="3" t="s">
        <v>60</v>
      </c>
      <c r="T17" s="25">
        <v>0.128</v>
      </c>
      <c r="U17" s="16" t="s">
        <v>61</v>
      </c>
      <c r="V17" s="3"/>
      <c r="W17" s="53" t="s">
        <v>62</v>
      </c>
    </row>
    <row r="18" spans="19:23" ht="16.149999999999999" customHeight="1" x14ac:dyDescent="0.25">
      <c r="S18" s="3" t="s">
        <v>63</v>
      </c>
      <c r="T18" s="4">
        <v>1.78</v>
      </c>
      <c r="U18" s="16" t="s">
        <v>64</v>
      </c>
      <c r="V18" s="3"/>
      <c r="W18" s="3" t="s">
        <v>65</v>
      </c>
    </row>
    <row r="19" spans="19:23" x14ac:dyDescent="0.25">
      <c r="S19" s="3" t="s">
        <v>66</v>
      </c>
      <c r="T19" s="4">
        <v>36</v>
      </c>
      <c r="U19" s="3" t="s">
        <v>67</v>
      </c>
      <c r="V19" s="3"/>
      <c r="W19" s="3"/>
    </row>
    <row r="20" spans="19:23" x14ac:dyDescent="0.25">
      <c r="S20" s="19" t="s">
        <v>68</v>
      </c>
      <c r="T20" s="4">
        <v>0.5</v>
      </c>
      <c r="U20" s="17" t="s">
        <v>69</v>
      </c>
      <c r="V20" s="3"/>
      <c r="W20" s="86" t="s">
        <v>9</v>
      </c>
    </row>
    <row r="21" spans="19:23" x14ac:dyDescent="0.25">
      <c r="S21" s="19" t="s">
        <v>70</v>
      </c>
      <c r="T21" s="4">
        <v>0.4</v>
      </c>
      <c r="U21" s="18" t="s">
        <v>69</v>
      </c>
      <c r="V21" s="3"/>
      <c r="W21" s="85"/>
    </row>
    <row r="22" spans="19:23" x14ac:dyDescent="0.25">
      <c r="S22" s="3" t="s">
        <v>71</v>
      </c>
      <c r="T22" s="4" t="s">
        <v>72</v>
      </c>
      <c r="U22" s="3"/>
      <c r="V22" s="3"/>
      <c r="W22" s="3"/>
    </row>
    <row r="23" spans="19:23" ht="16.149999999999999" customHeight="1" x14ac:dyDescent="0.25">
      <c r="S23" s="3" t="s">
        <v>74</v>
      </c>
      <c r="T23" s="4">
        <v>10000</v>
      </c>
      <c r="U23" s="3" t="s">
        <v>75</v>
      </c>
      <c r="V23" s="3" t="s">
        <v>76</v>
      </c>
      <c r="W23" s="3"/>
    </row>
    <row r="24" spans="19:23" ht="16.149999999999999" customHeight="1" x14ac:dyDescent="0.25">
      <c r="S24" s="3" t="s">
        <v>79</v>
      </c>
      <c r="T24" s="76" t="s">
        <v>80</v>
      </c>
      <c r="U24" s="3" t="s">
        <v>81</v>
      </c>
      <c r="V24" s="3" t="s">
        <v>82</v>
      </c>
      <c r="W24" s="6" t="s">
        <v>83</v>
      </c>
    </row>
    <row r="25" spans="19:23" x14ac:dyDescent="0.25">
      <c r="S25" s="3" t="s">
        <v>85</v>
      </c>
      <c r="T25" s="76">
        <v>10.8</v>
      </c>
      <c r="U25" s="3" t="s">
        <v>86</v>
      </c>
      <c r="V25" s="3" t="s">
        <v>87</v>
      </c>
      <c r="W25" s="6" t="s">
        <v>88</v>
      </c>
    </row>
    <row r="26" spans="19:23" x14ac:dyDescent="0.25">
      <c r="S26" s="3" t="s">
        <v>90</v>
      </c>
      <c r="T26" s="76">
        <v>15</v>
      </c>
      <c r="U26" s="3" t="s">
        <v>91</v>
      </c>
      <c r="V26" s="3" t="s">
        <v>92</v>
      </c>
      <c r="W26" s="3" t="s">
        <v>93</v>
      </c>
    </row>
    <row r="27" spans="19:23" ht="16.149999999999999" customHeight="1" x14ac:dyDescent="0.25">
      <c r="S27" s="3" t="s">
        <v>94</v>
      </c>
      <c r="T27" s="76">
        <v>110</v>
      </c>
      <c r="U27" s="3" t="s">
        <v>95</v>
      </c>
      <c r="V27" s="3" t="s">
        <v>96</v>
      </c>
      <c r="W27" s="3" t="s">
        <v>97</v>
      </c>
    </row>
    <row r="28" spans="19:23" ht="16.149999999999999" customHeight="1" x14ac:dyDescent="0.25">
      <c r="S28" s="3" t="s">
        <v>98</v>
      </c>
      <c r="T28" s="76">
        <v>175</v>
      </c>
      <c r="U28" s="3" t="s">
        <v>99</v>
      </c>
      <c r="V28" s="3"/>
      <c r="W28" s="6" t="s">
        <v>100</v>
      </c>
    </row>
    <row r="29" spans="19:23" ht="115.15" customHeight="1" x14ac:dyDescent="0.25">
      <c r="S29" s="80" t="s">
        <v>101</v>
      </c>
      <c r="T29" s="79">
        <v>30</v>
      </c>
      <c r="U29" s="80" t="s">
        <v>102</v>
      </c>
      <c r="V29" s="80"/>
      <c r="W29" s="81" t="s">
        <v>103</v>
      </c>
    </row>
  </sheetData>
  <mergeCells count="4">
    <mergeCell ref="W3:W5"/>
    <mergeCell ref="B8:C8"/>
    <mergeCell ref="W20:W21"/>
    <mergeCell ref="B5:B7"/>
  </mergeCells>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6"/>
  <sheetViews>
    <sheetView topLeftCell="N5" workbookViewId="0">
      <selection activeCell="V12" sqref="V12"/>
    </sheetView>
  </sheetViews>
  <sheetFormatPr defaultRowHeight="15" x14ac:dyDescent="0.25"/>
  <cols>
    <col min="2" max="2" width="27.42578125" customWidth="1"/>
    <col min="3" max="3" width="29.7109375" customWidth="1"/>
    <col min="7" max="7" width="10.5703125" bestFit="1" customWidth="1"/>
    <col min="8" max="10" width="9.5703125" bestFit="1" customWidth="1"/>
    <col min="11" max="11" width="9" bestFit="1" customWidth="1"/>
    <col min="12" max="14" width="8.5703125" bestFit="1" customWidth="1"/>
    <col min="15" max="15" width="14.7109375" customWidth="1"/>
    <col min="19" max="19" width="23.28515625" bestFit="1" customWidth="1"/>
    <col min="20" max="20" width="12.85546875" customWidth="1"/>
    <col min="21" max="21" width="16.5703125" bestFit="1" customWidth="1"/>
    <col min="22" max="22" width="61.7109375" bestFit="1" customWidth="1"/>
    <col min="23" max="23" width="106.85546875" customWidth="1"/>
  </cols>
  <sheetData>
    <row r="1" spans="2:23" x14ac:dyDescent="0.25">
      <c r="B1" s="28" t="s">
        <v>141</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94" t="s">
        <v>142</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84"/>
      <c r="C6" s="3" t="s">
        <v>106</v>
      </c>
      <c r="D6" s="8"/>
      <c r="E6" s="8"/>
      <c r="F6" s="8"/>
      <c r="G6" s="13">
        <v>745287.06</v>
      </c>
      <c r="H6" s="13">
        <v>369102.37</v>
      </c>
      <c r="I6" s="13">
        <v>128846.75</v>
      </c>
      <c r="J6" s="13">
        <v>62032.37</v>
      </c>
      <c r="K6" s="13">
        <v>20146.95</v>
      </c>
      <c r="L6" s="13">
        <v>2924.68</v>
      </c>
      <c r="M6" s="13">
        <v>8966.17</v>
      </c>
      <c r="N6" s="13">
        <v>55388.26</v>
      </c>
      <c r="O6" s="13">
        <v>357342.93</v>
      </c>
      <c r="S6" s="3" t="s">
        <v>31</v>
      </c>
      <c r="T6" s="61">
        <v>1.08</v>
      </c>
      <c r="U6" s="16" t="s">
        <v>32</v>
      </c>
      <c r="V6" s="16" t="s">
        <v>143</v>
      </c>
      <c r="W6" s="2" t="s">
        <v>144</v>
      </c>
    </row>
    <row r="7" spans="2:23" ht="16.899999999999999" customHeight="1" x14ac:dyDescent="0.25">
      <c r="B7" s="85"/>
      <c r="C7" s="3" t="s">
        <v>109</v>
      </c>
      <c r="D7" s="8"/>
      <c r="E7" s="8"/>
      <c r="F7" s="8"/>
      <c r="G7" s="13">
        <v>237791.67</v>
      </c>
      <c r="H7" s="13">
        <v>83525</v>
      </c>
      <c r="I7" s="13">
        <v>27841.67</v>
      </c>
      <c r="J7" s="13">
        <v>9533.33</v>
      </c>
      <c r="K7" s="13">
        <v>8125</v>
      </c>
      <c r="L7" s="13">
        <v>13216.67</v>
      </c>
      <c r="M7" s="13">
        <v>45211.11</v>
      </c>
      <c r="N7" s="13">
        <v>113352.78</v>
      </c>
      <c r="O7" s="13">
        <v>292536.11</v>
      </c>
      <c r="S7" s="3" t="s">
        <v>36</v>
      </c>
      <c r="T7" s="61">
        <v>2.3099999999999999E-2</v>
      </c>
      <c r="U7" s="3" t="s">
        <v>37</v>
      </c>
      <c r="V7" s="16" t="s">
        <v>145</v>
      </c>
      <c r="W7" s="3" t="s">
        <v>146</v>
      </c>
    </row>
    <row r="8" spans="2:23" ht="16.899999999999999" customHeight="1" x14ac:dyDescent="0.25">
      <c r="B8" s="98"/>
      <c r="C8" s="91"/>
      <c r="S8" s="3" t="s">
        <v>39</v>
      </c>
      <c r="T8" s="61">
        <v>8.3000000000000001E-3</v>
      </c>
      <c r="U8" s="3" t="s">
        <v>37</v>
      </c>
      <c r="V8" s="16" t="s">
        <v>147</v>
      </c>
      <c r="W8" s="3" t="s">
        <v>113</v>
      </c>
    </row>
    <row r="9" spans="2:23" ht="16.899999999999999" customHeight="1" x14ac:dyDescent="0.25">
      <c r="S9" s="3" t="s">
        <v>41</v>
      </c>
      <c r="T9" s="61">
        <v>3.41E-6</v>
      </c>
      <c r="U9" s="3" t="s">
        <v>37</v>
      </c>
      <c r="V9" s="16" t="s">
        <v>148</v>
      </c>
      <c r="W9" s="3" t="s">
        <v>146</v>
      </c>
    </row>
    <row r="10" spans="2:23" ht="16.899999999999999" customHeight="1" x14ac:dyDescent="0.25">
      <c r="S10" s="59" t="s">
        <v>43</v>
      </c>
      <c r="T10" s="21">
        <f>15/T16</f>
        <v>0.78947368421052633</v>
      </c>
      <c r="U10" s="3" t="s">
        <v>37</v>
      </c>
      <c r="V10" t="s">
        <v>149</v>
      </c>
      <c r="W10" s="3" t="s">
        <v>45</v>
      </c>
    </row>
    <row r="11" spans="2:23" ht="15.6" customHeight="1" x14ac:dyDescent="0.25">
      <c r="S11" s="53" t="s">
        <v>47</v>
      </c>
      <c r="T11" s="54">
        <v>2.2100000000000002E-2</v>
      </c>
      <c r="U11" s="53" t="s">
        <v>37</v>
      </c>
      <c r="V11" s="64" t="s">
        <v>150</v>
      </c>
      <c r="W11" s="53" t="s">
        <v>151</v>
      </c>
    </row>
    <row r="12" spans="2:23" ht="15.6" customHeight="1" x14ac:dyDescent="0.25">
      <c r="D12" s="5" t="s">
        <v>14</v>
      </c>
      <c r="E12" s="5" t="s">
        <v>15</v>
      </c>
      <c r="F12" s="5" t="s">
        <v>16</v>
      </c>
      <c r="G12" s="5" t="s">
        <v>17</v>
      </c>
      <c r="H12" s="5" t="s">
        <v>18</v>
      </c>
      <c r="I12" s="5" t="s">
        <v>19</v>
      </c>
      <c r="J12" s="5" t="s">
        <v>20</v>
      </c>
      <c r="K12" s="5" t="s">
        <v>21</v>
      </c>
      <c r="L12" s="5" t="s">
        <v>22</v>
      </c>
      <c r="M12" s="5" t="s">
        <v>23</v>
      </c>
      <c r="N12" s="5" t="s">
        <v>24</v>
      </c>
      <c r="O12" s="5" t="s">
        <v>25</v>
      </c>
      <c r="S12" s="3" t="s">
        <v>50</v>
      </c>
      <c r="T12" s="61">
        <v>8.5999999999999993E-2</v>
      </c>
      <c r="U12" s="3" t="s">
        <v>37</v>
      </c>
      <c r="V12" s="66" t="s">
        <v>51</v>
      </c>
      <c r="W12" s="3" t="s">
        <v>52</v>
      </c>
    </row>
    <row r="13" spans="2:23" x14ac:dyDescent="0.25">
      <c r="C13" s="26" t="s">
        <v>78</v>
      </c>
      <c r="D13" s="27"/>
      <c r="E13" s="27"/>
      <c r="F13" s="27"/>
      <c r="G13" s="27">
        <f t="shared" ref="G13:O13" si="0">$T$13+((G6*$T$18/$T$19)+(G7*$T$17))/($T$16/9)/10000</f>
        <v>8.2860681368245608</v>
      </c>
      <c r="H13" s="27">
        <f t="shared" si="0"/>
        <v>3.8170860221929828</v>
      </c>
      <c r="I13" s="27">
        <f t="shared" si="0"/>
        <v>1.9593050423508771</v>
      </c>
      <c r="J13" s="27">
        <f t="shared" si="0"/>
        <v>1.3770052867719298</v>
      </c>
      <c r="K13" s="27">
        <f t="shared" si="0"/>
        <v>1.2461504332456139</v>
      </c>
      <c r="L13" s="27">
        <f t="shared" si="0"/>
        <v>1.3242355889298245</v>
      </c>
      <c r="M13" s="27">
        <f t="shared" si="0"/>
        <v>2.0825087121403509</v>
      </c>
      <c r="N13" s="27">
        <f t="shared" si="0"/>
        <v>3.7760659215087715</v>
      </c>
      <c r="O13" s="27">
        <f t="shared" si="0"/>
        <v>8.6507025710877201</v>
      </c>
      <c r="S13" s="60" t="s">
        <v>53</v>
      </c>
      <c r="T13" s="62">
        <f>(SUM(T3:T6)/60)+SUM(T7:T12)</f>
        <v>1.0099937608771929</v>
      </c>
      <c r="U13" s="60" t="s">
        <v>37</v>
      </c>
      <c r="V13" s="60" t="s">
        <v>54</v>
      </c>
    </row>
    <row r="15" spans="2:23" ht="16.149999999999999" customHeight="1" x14ac:dyDescent="0.25">
      <c r="S15" s="2" t="s">
        <v>55</v>
      </c>
      <c r="T15" s="2" t="s">
        <v>2</v>
      </c>
      <c r="U15" s="2" t="s">
        <v>3</v>
      </c>
      <c r="V15" s="2" t="s">
        <v>4</v>
      </c>
      <c r="W15" s="2" t="s">
        <v>5</v>
      </c>
    </row>
    <row r="16" spans="2:23" ht="72" customHeight="1" x14ac:dyDescent="0.25">
      <c r="S16" s="53" t="s">
        <v>56</v>
      </c>
      <c r="T16" s="58">
        <v>19</v>
      </c>
      <c r="U16" s="80" t="s">
        <v>57</v>
      </c>
      <c r="V16" s="81" t="s">
        <v>152</v>
      </c>
      <c r="W16" s="82" t="s">
        <v>153</v>
      </c>
    </row>
    <row r="17" spans="12:23" ht="15.6" customHeight="1" x14ac:dyDescent="0.25">
      <c r="S17" s="3" t="s">
        <v>60</v>
      </c>
      <c r="T17" s="25">
        <v>0.49099999999999999</v>
      </c>
      <c r="U17" s="16" t="s">
        <v>61</v>
      </c>
      <c r="V17" s="3"/>
      <c r="W17" s="2" t="s">
        <v>154</v>
      </c>
    </row>
    <row r="18" spans="12:23" ht="16.149999999999999" customHeight="1" x14ac:dyDescent="0.25">
      <c r="S18" s="3" t="s">
        <v>63</v>
      </c>
      <c r="T18" s="4">
        <v>1.78</v>
      </c>
      <c r="U18" s="16" t="s">
        <v>64</v>
      </c>
      <c r="V18" s="3"/>
      <c r="W18" s="3" t="s">
        <v>65</v>
      </c>
    </row>
    <row r="19" spans="12:23" x14ac:dyDescent="0.25">
      <c r="S19" s="3" t="s">
        <v>66</v>
      </c>
      <c r="T19" s="4">
        <v>36</v>
      </c>
      <c r="U19" s="3" t="s">
        <v>67</v>
      </c>
      <c r="V19" s="3"/>
      <c r="W19" s="3"/>
    </row>
    <row r="20" spans="12:23" x14ac:dyDescent="0.25">
      <c r="S20" s="19" t="s">
        <v>68</v>
      </c>
      <c r="T20" s="4">
        <v>0.5</v>
      </c>
      <c r="U20" s="17" t="s">
        <v>69</v>
      </c>
      <c r="V20" s="3"/>
      <c r="W20" s="86" t="s">
        <v>9</v>
      </c>
    </row>
    <row r="21" spans="12:23" ht="14.45" customHeight="1" x14ac:dyDescent="0.25">
      <c r="S21" s="19" t="s">
        <v>70</v>
      </c>
      <c r="T21" s="4">
        <v>0.4</v>
      </c>
      <c r="U21" s="18" t="s">
        <v>69</v>
      </c>
      <c r="V21" s="3"/>
      <c r="W21" s="85"/>
    </row>
    <row r="22" spans="12:23" x14ac:dyDescent="0.25">
      <c r="S22" s="3" t="s">
        <v>71</v>
      </c>
      <c r="T22" s="4" t="s">
        <v>72</v>
      </c>
      <c r="U22" s="3"/>
      <c r="V22" s="3"/>
      <c r="W22" s="3"/>
    </row>
    <row r="23" spans="12:23" ht="14.45" customHeight="1" x14ac:dyDescent="0.25">
      <c r="S23" s="3" t="s">
        <v>74</v>
      </c>
      <c r="T23" s="4">
        <v>10000</v>
      </c>
      <c r="U23" s="3" t="s">
        <v>75</v>
      </c>
      <c r="V23" s="3" t="s">
        <v>76</v>
      </c>
      <c r="W23" s="3"/>
    </row>
    <row r="24" spans="12:23" ht="16.149999999999999" customHeight="1" x14ac:dyDescent="0.25">
      <c r="N24" s="73">
        <f>SUM(G13:O13)/9</f>
        <v>3.6132364127836261</v>
      </c>
      <c r="O24" s="74" t="s">
        <v>155</v>
      </c>
      <c r="S24" s="3" t="s">
        <v>79</v>
      </c>
      <c r="T24" s="76" t="s">
        <v>156</v>
      </c>
      <c r="U24" s="3" t="s">
        <v>81</v>
      </c>
      <c r="V24" s="3" t="s">
        <v>157</v>
      </c>
      <c r="W24" s="3" t="s">
        <v>158</v>
      </c>
    </row>
    <row r="25" spans="12:23" ht="14.45" customHeight="1" x14ac:dyDescent="0.25">
      <c r="L25" s="70"/>
      <c r="S25" s="3" t="s">
        <v>85</v>
      </c>
      <c r="T25" s="76">
        <v>10.8</v>
      </c>
      <c r="U25" s="3" t="s">
        <v>86</v>
      </c>
      <c r="V25" s="3" t="s">
        <v>87</v>
      </c>
      <c r="W25" s="6" t="s">
        <v>88</v>
      </c>
    </row>
    <row r="26" spans="12:23" x14ac:dyDescent="0.25">
      <c r="S26" s="3" t="s">
        <v>90</v>
      </c>
      <c r="T26" s="76">
        <v>15</v>
      </c>
      <c r="U26" s="3" t="s">
        <v>91</v>
      </c>
      <c r="V26" s="3" t="s">
        <v>92</v>
      </c>
      <c r="W26" s="3" t="s">
        <v>93</v>
      </c>
    </row>
    <row r="27" spans="12:23" ht="17.45" customHeight="1" x14ac:dyDescent="0.25">
      <c r="S27" s="3" t="s">
        <v>94</v>
      </c>
      <c r="T27" s="76">
        <v>100</v>
      </c>
      <c r="U27" s="3" t="s">
        <v>95</v>
      </c>
      <c r="V27" s="3" t="s">
        <v>96</v>
      </c>
      <c r="W27" s="3" t="s">
        <v>97</v>
      </c>
    </row>
    <row r="28" spans="12:23" ht="16.149999999999999" customHeight="1" x14ac:dyDescent="0.25">
      <c r="S28" s="3" t="s">
        <v>98</v>
      </c>
      <c r="T28" s="76">
        <v>130</v>
      </c>
      <c r="U28" s="3" t="s">
        <v>99</v>
      </c>
      <c r="V28" s="3"/>
      <c r="W28" s="3" t="s">
        <v>159</v>
      </c>
    </row>
    <row r="29" spans="12:23" ht="129.6" customHeight="1" x14ac:dyDescent="0.25">
      <c r="S29" s="80" t="s">
        <v>101</v>
      </c>
      <c r="T29" s="79">
        <v>20</v>
      </c>
      <c r="U29" s="80" t="s">
        <v>102</v>
      </c>
      <c r="V29" s="80"/>
      <c r="W29" s="81" t="s">
        <v>103</v>
      </c>
    </row>
    <row r="36" spans="23:23" x14ac:dyDescent="0.25">
      <c r="W36" s="1"/>
    </row>
  </sheetData>
  <mergeCells count="4">
    <mergeCell ref="W3:W5"/>
    <mergeCell ref="B8:C8"/>
    <mergeCell ref="W20:W21"/>
    <mergeCell ref="B5:B7"/>
  </mergeCells>
  <pageMargins left="0.75" right="0.75" top="1" bottom="1" header="0.5" footer="0.5"/>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29"/>
  <sheetViews>
    <sheetView topLeftCell="M1" workbookViewId="0">
      <selection activeCell="V12" sqref="V12"/>
    </sheetView>
  </sheetViews>
  <sheetFormatPr defaultRowHeight="15" x14ac:dyDescent="0.25"/>
  <cols>
    <col min="1" max="1" width="8.85546875" customWidth="1"/>
    <col min="2" max="2" width="31.7109375" customWidth="1"/>
    <col min="3" max="3" width="55.42578125" bestFit="1" customWidth="1"/>
    <col min="4" max="7" width="10.5703125" bestFit="1" customWidth="1"/>
    <col min="8" max="8" width="8.5703125" bestFit="1" customWidth="1"/>
    <col min="9" max="11" width="9.5703125" bestFit="1" customWidth="1"/>
    <col min="12" max="12" width="8.5703125" bestFit="1" customWidth="1"/>
    <col min="13" max="13" width="9.5703125" bestFit="1" customWidth="1"/>
    <col min="14" max="15" width="10.5703125" bestFit="1" customWidth="1"/>
    <col min="16" max="18" width="8.85546875" customWidth="1"/>
    <col min="19" max="19" width="25" customWidth="1"/>
    <col min="20" max="20" width="13.7109375" customWidth="1"/>
    <col min="21" max="21" width="17.28515625" bestFit="1" customWidth="1"/>
    <col min="22" max="22" width="63.28515625" bestFit="1" customWidth="1"/>
    <col min="23" max="23" width="104.7109375" customWidth="1"/>
  </cols>
  <sheetData>
    <row r="1" spans="2:23" x14ac:dyDescent="0.25">
      <c r="B1" s="14" t="s">
        <v>160</v>
      </c>
    </row>
    <row r="2" spans="2:23" x14ac:dyDescent="0.25">
      <c r="S2" s="2" t="s">
        <v>1</v>
      </c>
      <c r="T2" s="2" t="s">
        <v>2</v>
      </c>
      <c r="U2" s="2" t="s">
        <v>3</v>
      </c>
      <c r="V2" s="2" t="s">
        <v>4</v>
      </c>
      <c r="W2" s="2" t="s">
        <v>5</v>
      </c>
    </row>
    <row r="3" spans="2:23" ht="16.899999999999999" customHeight="1" x14ac:dyDescent="0.25">
      <c r="S3" s="53" t="s">
        <v>6</v>
      </c>
      <c r="T3" s="54">
        <v>2.86</v>
      </c>
      <c r="U3" s="53" t="s">
        <v>7</v>
      </c>
      <c r="V3" s="53" t="s">
        <v>8</v>
      </c>
      <c r="W3" s="87" t="s">
        <v>9</v>
      </c>
    </row>
    <row r="4" spans="2:23" ht="16.899999999999999" customHeight="1" x14ac:dyDescent="0.25">
      <c r="S4" s="53" t="s">
        <v>10</v>
      </c>
      <c r="T4" s="54">
        <v>0.22</v>
      </c>
      <c r="U4" s="53" t="s">
        <v>7</v>
      </c>
      <c r="V4" s="53" t="s">
        <v>11</v>
      </c>
      <c r="W4" s="84"/>
    </row>
    <row r="5" spans="2:23" ht="16.899999999999999" customHeight="1" x14ac:dyDescent="0.25">
      <c r="B5" s="99" t="s">
        <v>12</v>
      </c>
      <c r="C5" s="6" t="s">
        <v>13</v>
      </c>
      <c r="D5" s="7" t="s">
        <v>14</v>
      </c>
      <c r="E5" s="7" t="s">
        <v>15</v>
      </c>
      <c r="F5" s="7" t="s">
        <v>16</v>
      </c>
      <c r="G5" s="7" t="s">
        <v>17</v>
      </c>
      <c r="H5" s="7" t="s">
        <v>18</v>
      </c>
      <c r="I5" s="7" t="s">
        <v>19</v>
      </c>
      <c r="J5" s="7" t="s">
        <v>20</v>
      </c>
      <c r="K5" s="7" t="s">
        <v>21</v>
      </c>
      <c r="L5" s="7" t="s">
        <v>22</v>
      </c>
      <c r="M5" s="7" t="s">
        <v>23</v>
      </c>
      <c r="N5" s="7" t="s">
        <v>24</v>
      </c>
      <c r="O5" s="7" t="s">
        <v>25</v>
      </c>
      <c r="S5" s="53" t="s">
        <v>26</v>
      </c>
      <c r="T5" s="54">
        <v>0.70099999999999996</v>
      </c>
      <c r="U5" s="53" t="s">
        <v>7</v>
      </c>
      <c r="V5" s="53" t="s">
        <v>27</v>
      </c>
      <c r="W5" s="85"/>
    </row>
    <row r="6" spans="2:23" ht="16.899999999999999" customHeight="1" x14ac:dyDescent="0.25">
      <c r="B6" s="84"/>
      <c r="C6" s="3" t="s">
        <v>28</v>
      </c>
      <c r="D6" s="8" t="s">
        <v>29</v>
      </c>
      <c r="E6" s="8" t="s">
        <v>29</v>
      </c>
      <c r="F6" s="9">
        <v>2801719.11</v>
      </c>
      <c r="G6" s="9">
        <v>1379964.49</v>
      </c>
      <c r="H6" s="9">
        <v>870689.87</v>
      </c>
      <c r="I6" s="9">
        <v>552467.18999999994</v>
      </c>
      <c r="J6" s="9">
        <v>267115.21000000002</v>
      </c>
      <c r="K6" s="9">
        <v>127619.85</v>
      </c>
      <c r="L6" s="9">
        <v>139289.29</v>
      </c>
      <c r="M6" s="9">
        <v>402411.53</v>
      </c>
      <c r="N6" s="9">
        <v>1439832.65</v>
      </c>
      <c r="O6" s="35" t="s">
        <v>30</v>
      </c>
      <c r="S6" s="3" t="s">
        <v>31</v>
      </c>
      <c r="T6" s="21">
        <v>5.7200000000000001E-2</v>
      </c>
      <c r="U6" s="3" t="s">
        <v>32</v>
      </c>
      <c r="V6" s="3" t="s">
        <v>33</v>
      </c>
      <c r="W6" s="86" t="s">
        <v>34</v>
      </c>
    </row>
    <row r="7" spans="2:23" ht="16.899999999999999" customHeight="1" x14ac:dyDescent="0.25">
      <c r="B7" s="85"/>
      <c r="C7" s="3" t="s">
        <v>35</v>
      </c>
      <c r="D7" s="8" t="s">
        <v>29</v>
      </c>
      <c r="E7" s="8" t="s">
        <v>29</v>
      </c>
      <c r="F7" s="9">
        <v>265083.33</v>
      </c>
      <c r="G7" s="9">
        <v>102083.33</v>
      </c>
      <c r="H7" s="9">
        <v>51000</v>
      </c>
      <c r="I7" s="9">
        <v>26833.33</v>
      </c>
      <c r="J7" s="9">
        <v>21166.67</v>
      </c>
      <c r="K7" s="9">
        <v>21833.33</v>
      </c>
      <c r="L7" s="9">
        <v>36166.67</v>
      </c>
      <c r="M7" s="9">
        <v>88833.33</v>
      </c>
      <c r="N7" s="9">
        <v>232500</v>
      </c>
      <c r="O7" s="35" t="s">
        <v>30</v>
      </c>
      <c r="S7" s="3" t="s">
        <v>36</v>
      </c>
      <c r="T7" s="21">
        <v>2.32E-3</v>
      </c>
      <c r="U7" s="3" t="s">
        <v>37</v>
      </c>
      <c r="V7" s="3" t="s">
        <v>38</v>
      </c>
      <c r="W7" s="84"/>
    </row>
    <row r="8" spans="2:23" ht="16.899999999999999" customHeight="1" x14ac:dyDescent="0.25">
      <c r="S8" s="3" t="s">
        <v>39</v>
      </c>
      <c r="T8" s="21">
        <v>8.4499999999999992E-3</v>
      </c>
      <c r="U8" s="3" t="s">
        <v>37</v>
      </c>
      <c r="V8" s="3" t="s">
        <v>40</v>
      </c>
      <c r="W8" s="84"/>
    </row>
    <row r="9" spans="2:23" ht="16.899999999999999" customHeight="1" x14ac:dyDescent="0.25">
      <c r="S9" s="3" t="s">
        <v>41</v>
      </c>
      <c r="T9" s="21">
        <v>1.55E-4</v>
      </c>
      <c r="U9" s="3" t="s">
        <v>37</v>
      </c>
      <c r="V9" s="3" t="s">
        <v>42</v>
      </c>
      <c r="W9" s="85"/>
    </row>
    <row r="10" spans="2:23" ht="16.899999999999999" customHeight="1" x14ac:dyDescent="0.25">
      <c r="S10" s="59" t="s">
        <v>43</v>
      </c>
      <c r="T10" s="21">
        <f>16/T16</f>
        <v>0.26666666666666666</v>
      </c>
      <c r="U10" s="3" t="s">
        <v>37</v>
      </c>
      <c r="V10" t="s">
        <v>44</v>
      </c>
      <c r="W10" t="s">
        <v>45</v>
      </c>
    </row>
    <row r="11" spans="2:23" ht="15.6" customHeight="1" x14ac:dyDescent="0.25">
      <c r="B11" s="99" t="s">
        <v>46</v>
      </c>
      <c r="C11" s="6" t="s">
        <v>13</v>
      </c>
      <c r="D11" s="7" t="s">
        <v>14</v>
      </c>
      <c r="E11" s="7" t="s">
        <v>15</v>
      </c>
      <c r="F11" s="7" t="s">
        <v>16</v>
      </c>
      <c r="G11" s="7" t="s">
        <v>17</v>
      </c>
      <c r="H11" s="7" t="s">
        <v>18</v>
      </c>
      <c r="I11" s="7" t="s">
        <v>19</v>
      </c>
      <c r="J11" s="7" t="s">
        <v>20</v>
      </c>
      <c r="K11" s="7" t="s">
        <v>21</v>
      </c>
      <c r="L11" s="7" t="s">
        <v>22</v>
      </c>
      <c r="M11" s="7" t="s">
        <v>23</v>
      </c>
      <c r="N11" s="7" t="s">
        <v>24</v>
      </c>
      <c r="O11" s="7" t="s">
        <v>25</v>
      </c>
      <c r="S11" s="53" t="s">
        <v>47</v>
      </c>
      <c r="T11" s="54">
        <v>9.0999999999999998E-2</v>
      </c>
      <c r="U11" s="53" t="s">
        <v>37</v>
      </c>
      <c r="V11" s="53" t="s">
        <v>48</v>
      </c>
      <c r="W11" s="53" t="s">
        <v>49</v>
      </c>
    </row>
    <row r="12" spans="2:23" ht="15.6" customHeight="1" x14ac:dyDescent="0.25">
      <c r="B12" s="84"/>
      <c r="C12" s="3" t="s">
        <v>28</v>
      </c>
      <c r="D12" s="9">
        <v>1608109.69</v>
      </c>
      <c r="E12" s="9">
        <v>1528945.5</v>
      </c>
      <c r="F12" s="9">
        <v>1409624.69</v>
      </c>
      <c r="G12" s="9">
        <v>1149641.73</v>
      </c>
      <c r="H12" s="9">
        <v>870689.87</v>
      </c>
      <c r="I12" s="9">
        <v>552467.18999999994</v>
      </c>
      <c r="J12" s="9">
        <v>284890.65999999997</v>
      </c>
      <c r="K12" s="9">
        <v>229791.9</v>
      </c>
      <c r="L12" s="10" t="s">
        <v>30</v>
      </c>
      <c r="M12" s="8" t="s">
        <v>29</v>
      </c>
      <c r="N12" s="8" t="s">
        <v>29</v>
      </c>
      <c r="O12" s="9">
        <v>1624570.12</v>
      </c>
      <c r="S12" s="3" t="s">
        <v>50</v>
      </c>
      <c r="T12" s="21">
        <v>0.08</v>
      </c>
      <c r="U12" s="3" t="s">
        <v>37</v>
      </c>
      <c r="V12" s="3" t="s">
        <v>161</v>
      </c>
      <c r="W12" s="3" t="s">
        <v>52</v>
      </c>
    </row>
    <row r="13" spans="2:23" x14ac:dyDescent="0.25">
      <c r="B13" s="85"/>
      <c r="C13" s="3" t="s">
        <v>35</v>
      </c>
      <c r="D13" s="9">
        <v>186916.67</v>
      </c>
      <c r="E13" s="9">
        <v>166666.67000000001</v>
      </c>
      <c r="F13" s="9">
        <v>129166.67</v>
      </c>
      <c r="G13" s="9">
        <v>81833.33</v>
      </c>
      <c r="H13" s="9">
        <v>51000</v>
      </c>
      <c r="I13" s="9">
        <v>26833.33</v>
      </c>
      <c r="J13" s="9">
        <v>23583.33</v>
      </c>
      <c r="K13" s="9">
        <v>44916.67</v>
      </c>
      <c r="L13" s="10" t="s">
        <v>30</v>
      </c>
      <c r="M13" s="8" t="s">
        <v>29</v>
      </c>
      <c r="N13" s="8" t="s">
        <v>29</v>
      </c>
      <c r="O13" s="9">
        <v>260333.33</v>
      </c>
      <c r="S13" s="56" t="s">
        <v>53</v>
      </c>
      <c r="T13" s="57">
        <f>(SUM(T3:T6)/60)+SUM(T7:T12)</f>
        <v>0.51256166666666669</v>
      </c>
      <c r="U13" s="56" t="s">
        <v>37</v>
      </c>
      <c r="V13" s="56" t="s">
        <v>54</v>
      </c>
    </row>
    <row r="15" spans="2:23" ht="16.149999999999999" customHeight="1" x14ac:dyDescent="0.25">
      <c r="S15" s="2" t="s">
        <v>55</v>
      </c>
      <c r="T15" s="2" t="s">
        <v>2</v>
      </c>
      <c r="U15" s="2" t="s">
        <v>3</v>
      </c>
      <c r="V15" s="2" t="s">
        <v>4</v>
      </c>
      <c r="W15" s="2" t="s">
        <v>5</v>
      </c>
    </row>
    <row r="16" spans="2:23" ht="15.6" customHeight="1" x14ac:dyDescent="0.25">
      <c r="S16" s="3" t="s">
        <v>56</v>
      </c>
      <c r="T16" s="25">
        <v>60</v>
      </c>
      <c r="U16" s="3" t="s">
        <v>57</v>
      </c>
      <c r="V16" s="3"/>
      <c r="W16" s="3" t="s">
        <v>58</v>
      </c>
    </row>
    <row r="17" spans="2:23" ht="16.899999999999999" customHeight="1" x14ac:dyDescent="0.25">
      <c r="B17" s="83" t="s">
        <v>59</v>
      </c>
      <c r="C17" s="6" t="s">
        <v>13</v>
      </c>
      <c r="D17" s="7" t="s">
        <v>14</v>
      </c>
      <c r="E17" s="7" t="s">
        <v>15</v>
      </c>
      <c r="F17" s="7" t="s">
        <v>16</v>
      </c>
      <c r="G17" s="7" t="s">
        <v>17</v>
      </c>
      <c r="H17" s="7" t="s">
        <v>18</v>
      </c>
      <c r="I17" s="7" t="s">
        <v>19</v>
      </c>
      <c r="J17" s="7" t="s">
        <v>20</v>
      </c>
      <c r="K17" s="7" t="s">
        <v>21</v>
      </c>
      <c r="L17" s="7" t="s">
        <v>22</v>
      </c>
      <c r="M17" s="7" t="s">
        <v>23</v>
      </c>
      <c r="N17" s="7" t="s">
        <v>24</v>
      </c>
      <c r="O17" s="7" t="s">
        <v>25</v>
      </c>
      <c r="S17" s="53" t="s">
        <v>60</v>
      </c>
      <c r="T17" s="58">
        <v>0.20599999999999999</v>
      </c>
      <c r="U17" s="53" t="s">
        <v>61</v>
      </c>
      <c r="V17" s="53"/>
      <c r="W17" s="53" t="s">
        <v>62</v>
      </c>
    </row>
    <row r="18" spans="2:23" ht="16.149999999999999" customHeight="1" x14ac:dyDescent="0.25">
      <c r="B18" s="84"/>
      <c r="C18" s="3" t="s">
        <v>28</v>
      </c>
      <c r="D18" s="9">
        <f>D12</f>
        <v>1608109.69</v>
      </c>
      <c r="E18" s="9">
        <f>E12</f>
        <v>1528945.5</v>
      </c>
      <c r="F18" s="9">
        <f t="shared" ref="F18:K19" si="0">(F6+F12)/2</f>
        <v>2105671.9</v>
      </c>
      <c r="G18" s="9">
        <f t="shared" si="0"/>
        <v>1264803.1099999999</v>
      </c>
      <c r="H18" s="9">
        <f t="shared" si="0"/>
        <v>870689.87</v>
      </c>
      <c r="I18" s="9">
        <f t="shared" si="0"/>
        <v>552467.18999999994</v>
      </c>
      <c r="J18" s="9">
        <f t="shared" si="0"/>
        <v>276002.935</v>
      </c>
      <c r="K18" s="9">
        <f t="shared" si="0"/>
        <v>178705.875</v>
      </c>
      <c r="L18" s="9">
        <f t="shared" ref="L18:N19" si="1">L6</f>
        <v>139289.29</v>
      </c>
      <c r="M18" s="9">
        <f t="shared" si="1"/>
        <v>402411.53</v>
      </c>
      <c r="N18" s="9">
        <f t="shared" si="1"/>
        <v>1439832.65</v>
      </c>
      <c r="O18" s="9">
        <f>O12</f>
        <v>1624570.12</v>
      </c>
      <c r="S18" s="3" t="s">
        <v>63</v>
      </c>
      <c r="T18" s="4">
        <v>1.78</v>
      </c>
      <c r="U18" s="16" t="s">
        <v>64</v>
      </c>
      <c r="V18" s="3"/>
      <c r="W18" s="3" t="s">
        <v>65</v>
      </c>
    </row>
    <row r="19" spans="2:23" ht="14.45" customHeight="1" x14ac:dyDescent="0.25">
      <c r="B19" s="85"/>
      <c r="C19" s="3" t="s">
        <v>35</v>
      </c>
      <c r="D19" s="9">
        <f>D13</f>
        <v>186916.67</v>
      </c>
      <c r="E19" s="9">
        <f>E13</f>
        <v>166666.67000000001</v>
      </c>
      <c r="F19" s="9">
        <f t="shared" si="0"/>
        <v>197125</v>
      </c>
      <c r="G19" s="9">
        <f t="shared" si="0"/>
        <v>91958.33</v>
      </c>
      <c r="H19" s="9">
        <f t="shared" si="0"/>
        <v>51000</v>
      </c>
      <c r="I19" s="9">
        <f t="shared" si="0"/>
        <v>26833.33</v>
      </c>
      <c r="J19" s="9">
        <f t="shared" si="0"/>
        <v>22375</v>
      </c>
      <c r="K19" s="9">
        <f t="shared" si="0"/>
        <v>33375</v>
      </c>
      <c r="L19" s="9">
        <f t="shared" si="1"/>
        <v>36166.67</v>
      </c>
      <c r="M19" s="9">
        <f t="shared" si="1"/>
        <v>88833.33</v>
      </c>
      <c r="N19" s="9">
        <f t="shared" si="1"/>
        <v>232500</v>
      </c>
      <c r="O19" s="9">
        <f>O13</f>
        <v>260333.33</v>
      </c>
      <c r="S19" s="3" t="s">
        <v>66</v>
      </c>
      <c r="T19" s="4">
        <v>36</v>
      </c>
      <c r="U19" s="3" t="s">
        <v>67</v>
      </c>
      <c r="V19" s="3"/>
      <c r="W19" s="3"/>
    </row>
    <row r="20" spans="2:23" x14ac:dyDescent="0.25">
      <c r="S20" s="19" t="s">
        <v>68</v>
      </c>
      <c r="T20" s="4">
        <v>0.5</v>
      </c>
      <c r="U20" s="17" t="s">
        <v>69</v>
      </c>
      <c r="V20" s="3"/>
      <c r="W20" s="86" t="s">
        <v>9</v>
      </c>
    </row>
    <row r="21" spans="2:23" x14ac:dyDescent="0.25">
      <c r="S21" s="19" t="s">
        <v>70</v>
      </c>
      <c r="T21" s="4">
        <v>0.4</v>
      </c>
      <c r="U21" s="18" t="s">
        <v>69</v>
      </c>
      <c r="V21" s="3"/>
      <c r="W21" s="85"/>
    </row>
    <row r="22" spans="2:23" x14ac:dyDescent="0.25">
      <c r="S22" s="3" t="s">
        <v>71</v>
      </c>
      <c r="T22" s="4" t="s">
        <v>72</v>
      </c>
      <c r="U22" s="3"/>
      <c r="V22" s="3"/>
      <c r="W22" s="3"/>
    </row>
    <row r="23" spans="2:23" ht="14.45" customHeight="1" x14ac:dyDescent="0.25">
      <c r="C23" s="5" t="s">
        <v>73</v>
      </c>
      <c r="D23" s="7" t="s">
        <v>14</v>
      </c>
      <c r="E23" s="7" t="s">
        <v>15</v>
      </c>
      <c r="F23" s="7" t="s">
        <v>16</v>
      </c>
      <c r="G23" s="7" t="s">
        <v>17</v>
      </c>
      <c r="H23" s="7" t="s">
        <v>18</v>
      </c>
      <c r="I23" s="7" t="s">
        <v>19</v>
      </c>
      <c r="J23" s="7" t="s">
        <v>20</v>
      </c>
      <c r="K23" s="7" t="s">
        <v>21</v>
      </c>
      <c r="L23" s="7" t="s">
        <v>22</v>
      </c>
      <c r="M23" s="7" t="s">
        <v>23</v>
      </c>
      <c r="N23" s="7" t="s">
        <v>24</v>
      </c>
      <c r="O23" s="7" t="s">
        <v>25</v>
      </c>
      <c r="S23" s="3" t="s">
        <v>74</v>
      </c>
      <c r="T23" s="4">
        <v>10000</v>
      </c>
      <c r="U23" s="3" t="s">
        <v>75</v>
      </c>
      <c r="V23" s="3" t="s">
        <v>76</v>
      </c>
      <c r="W23" s="3"/>
    </row>
    <row r="24" spans="2:23" ht="16.149999999999999" customHeight="1" x14ac:dyDescent="0.25">
      <c r="B24" s="26" t="s">
        <v>12</v>
      </c>
      <c r="C24" s="26" t="s">
        <v>78</v>
      </c>
      <c r="D24" s="30"/>
      <c r="E24" s="30"/>
      <c r="F24" s="27">
        <f t="shared" ref="F24:N24" si="2">$T$13+((F6*$T$18/$T$19)+(F7*$T$17))/($T$16/9)/10000</f>
        <v>3.4096108296166667</v>
      </c>
      <c r="G24" s="27">
        <f t="shared" si="2"/>
        <v>1.8514728197833334</v>
      </c>
      <c r="H24" s="27">
        <f t="shared" si="2"/>
        <v>1.31591332025</v>
      </c>
      <c r="I24" s="27">
        <f t="shared" si="2"/>
        <v>1.0052231556166666</v>
      </c>
      <c r="J24" s="27">
        <f t="shared" si="2"/>
        <v>0.77607712438333332</v>
      </c>
      <c r="K24" s="27">
        <f t="shared" si="2"/>
        <v>0.67467804511666674</v>
      </c>
      <c r="L24" s="27">
        <f t="shared" si="2"/>
        <v>0.72762290038333333</v>
      </c>
      <c r="M24" s="27">
        <f t="shared" si="2"/>
        <v>1.0855118744500001</v>
      </c>
      <c r="N24" s="27">
        <f t="shared" si="2"/>
        <v>2.2988625487499998</v>
      </c>
      <c r="O24" s="30"/>
      <c r="S24" s="3" t="s">
        <v>79</v>
      </c>
      <c r="T24" s="76" t="s">
        <v>80</v>
      </c>
      <c r="U24" s="3" t="s">
        <v>81</v>
      </c>
      <c r="V24" s="3" t="s">
        <v>82</v>
      </c>
      <c r="W24" s="6" t="s">
        <v>83</v>
      </c>
    </row>
    <row r="25" spans="2:23" x14ac:dyDescent="0.25">
      <c r="B25" s="26" t="s">
        <v>46</v>
      </c>
      <c r="C25" s="26" t="s">
        <v>78</v>
      </c>
      <c r="D25" s="27">
        <f t="shared" ref="D25:K25" si="3">$T$13+((D12*$T$18/$T$19)+(D13*$T$17))/($T$16/9)/10000</f>
        <v>2.2828155303833335</v>
      </c>
      <c r="E25" s="27">
        <f t="shared" si="3"/>
        <v>2.1615295894666668</v>
      </c>
      <c r="F25" s="27">
        <f t="shared" si="3"/>
        <v>1.9571583220499997</v>
      </c>
      <c r="G25" s="27">
        <f t="shared" si="3"/>
        <v>1.6180776061166666</v>
      </c>
      <c r="H25" s="27">
        <f t="shared" si="3"/>
        <v>1.31591332025</v>
      </c>
      <c r="I25" s="27">
        <f t="shared" si="3"/>
        <v>1.0052231556166666</v>
      </c>
      <c r="J25" s="27">
        <f t="shared" si="3"/>
        <v>0.79672806253333328</v>
      </c>
      <c r="K25" s="27">
        <f t="shared" si="3"/>
        <v>0.82178316946666663</v>
      </c>
      <c r="L25" s="30"/>
      <c r="M25" s="30"/>
      <c r="N25" s="30"/>
      <c r="O25" s="27">
        <f>$T$13+((O12*$T$18/$T$19)+(O13*$T$17))/($T$16/9)/10000</f>
        <v>2.5218811620333335</v>
      </c>
      <c r="S25" s="3" t="s">
        <v>85</v>
      </c>
      <c r="T25" s="76">
        <v>10.8</v>
      </c>
      <c r="U25" s="3" t="s">
        <v>86</v>
      </c>
      <c r="V25" s="3" t="s">
        <v>87</v>
      </c>
      <c r="W25" s="6" t="s">
        <v>88</v>
      </c>
    </row>
    <row r="26" spans="2:23" x14ac:dyDescent="0.25">
      <c r="B26" s="31" t="s">
        <v>89</v>
      </c>
      <c r="C26" s="26" t="s">
        <v>78</v>
      </c>
      <c r="D26" s="27">
        <f t="shared" ref="D26:O26" si="4">$T$13+((D18*$T$18/$T$19)+(D19*$T$17))/($T$16/9)/10000</f>
        <v>2.2828155303833335</v>
      </c>
      <c r="E26" s="27">
        <f t="shared" si="4"/>
        <v>2.1615295894666668</v>
      </c>
      <c r="F26" s="27">
        <f t="shared" si="4"/>
        <v>2.6833845758333332</v>
      </c>
      <c r="G26" s="27">
        <f t="shared" si="4"/>
        <v>1.7347752129499998</v>
      </c>
      <c r="H26" s="27">
        <f t="shared" si="4"/>
        <v>1.31591332025</v>
      </c>
      <c r="I26" s="27">
        <f t="shared" si="4"/>
        <v>1.0052231556166666</v>
      </c>
      <c r="J26" s="27">
        <f t="shared" si="4"/>
        <v>0.78640259345833341</v>
      </c>
      <c r="K26" s="27">
        <f t="shared" si="4"/>
        <v>0.74823060729166668</v>
      </c>
      <c r="L26" s="27">
        <f t="shared" si="4"/>
        <v>0.72762290038333333</v>
      </c>
      <c r="M26" s="27">
        <f t="shared" si="4"/>
        <v>1.0855118744500001</v>
      </c>
      <c r="N26" s="27">
        <f t="shared" si="4"/>
        <v>2.2988625487499998</v>
      </c>
      <c r="O26" s="27">
        <f t="shared" si="4"/>
        <v>2.5218811620333335</v>
      </c>
      <c r="S26" s="3" t="s">
        <v>90</v>
      </c>
      <c r="T26" s="76">
        <v>15</v>
      </c>
      <c r="U26" s="3" t="s">
        <v>91</v>
      </c>
      <c r="V26" s="3" t="s">
        <v>92</v>
      </c>
      <c r="W26" s="3" t="s">
        <v>93</v>
      </c>
    </row>
    <row r="27" spans="2:23" ht="16.149999999999999" customHeight="1" x14ac:dyDescent="0.25">
      <c r="S27" s="3" t="s">
        <v>94</v>
      </c>
      <c r="T27" s="76">
        <v>100</v>
      </c>
      <c r="U27" s="3" t="s">
        <v>95</v>
      </c>
      <c r="V27" s="3" t="s">
        <v>96</v>
      </c>
      <c r="W27" s="3" t="s">
        <v>97</v>
      </c>
    </row>
    <row r="28" spans="2:23" ht="16.149999999999999" customHeight="1" x14ac:dyDescent="0.25">
      <c r="S28" s="3" t="s">
        <v>98</v>
      </c>
      <c r="T28" s="76">
        <v>150</v>
      </c>
      <c r="U28" s="3" t="s">
        <v>99</v>
      </c>
      <c r="V28" s="3"/>
      <c r="W28" s="6" t="s">
        <v>100</v>
      </c>
    </row>
    <row r="29" spans="2:23" ht="129.6" customHeight="1" x14ac:dyDescent="0.25">
      <c r="S29" s="80" t="s">
        <v>101</v>
      </c>
      <c r="T29" s="79">
        <v>30</v>
      </c>
      <c r="U29" s="80" t="s">
        <v>102</v>
      </c>
      <c r="V29" s="80"/>
      <c r="W29" s="81" t="s">
        <v>103</v>
      </c>
    </row>
  </sheetData>
  <mergeCells count="6">
    <mergeCell ref="B17:B19"/>
    <mergeCell ref="W20:W21"/>
    <mergeCell ref="W6:W9"/>
    <mergeCell ref="B11:B13"/>
    <mergeCell ref="W3:W5"/>
    <mergeCell ref="B5:B7"/>
  </mergeCells>
  <pageMargins left="0.75" right="0.75" top="1" bottom="1" header="0.5" footer="0.5"/>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34"/>
  <sheetViews>
    <sheetView topLeftCell="L5" workbookViewId="0">
      <selection activeCell="V12" sqref="V12"/>
    </sheetView>
  </sheetViews>
  <sheetFormatPr defaultRowHeight="15" x14ac:dyDescent="0.25"/>
  <cols>
    <col min="2" max="2" width="29.28515625" style="1" customWidth="1"/>
    <col min="3" max="3" width="29.140625" customWidth="1"/>
    <col min="5" max="7" width="10.5703125" bestFit="1" customWidth="1"/>
    <col min="8" max="9" width="9.5703125" bestFit="1" customWidth="1"/>
    <col min="10" max="10" width="8.5703125" bestFit="1" customWidth="1"/>
    <col min="11" max="11" width="8.28515625" bestFit="1" customWidth="1"/>
    <col min="12" max="12" width="8.5703125" bestFit="1" customWidth="1"/>
    <col min="13" max="14" width="9.5703125" bestFit="1" customWidth="1"/>
    <col min="15" max="15" width="10.5703125" bestFit="1" customWidth="1"/>
    <col min="19" max="19" width="36" bestFit="1" customWidth="1"/>
    <col min="20" max="20" width="10.28515625" customWidth="1"/>
    <col min="21" max="21" width="16.5703125" bestFit="1" customWidth="1"/>
    <col min="22" max="22" width="62.140625" bestFit="1" customWidth="1"/>
    <col min="23" max="23" width="125.85546875" customWidth="1"/>
  </cols>
  <sheetData>
    <row r="1" spans="2:23" x14ac:dyDescent="0.25">
      <c r="B1" s="32" t="s">
        <v>127</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4" t="s">
        <v>105</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94" t="s">
        <v>12</v>
      </c>
      <c r="C6" s="3" t="s">
        <v>106</v>
      </c>
      <c r="D6" s="37" t="s">
        <v>29</v>
      </c>
      <c r="E6" s="11">
        <v>1748825.69</v>
      </c>
      <c r="F6" s="3"/>
      <c r="G6" s="3"/>
      <c r="H6" s="3"/>
      <c r="I6" s="3"/>
      <c r="J6" s="3"/>
      <c r="K6" s="3"/>
      <c r="L6" s="3"/>
      <c r="M6" s="3"/>
      <c r="N6" s="3"/>
      <c r="O6" s="3"/>
      <c r="S6" s="3" t="s">
        <v>31</v>
      </c>
      <c r="T6" s="61">
        <v>0.216</v>
      </c>
      <c r="U6" s="3" t="s">
        <v>32</v>
      </c>
      <c r="V6" s="16" t="s">
        <v>128</v>
      </c>
      <c r="W6" s="86" t="s">
        <v>65</v>
      </c>
    </row>
    <row r="7" spans="2:23" ht="16.899999999999999" customHeight="1" x14ac:dyDescent="0.25">
      <c r="B7" s="85"/>
      <c r="C7" s="3" t="s">
        <v>109</v>
      </c>
      <c r="D7" s="37" t="s">
        <v>29</v>
      </c>
      <c r="E7" s="11">
        <v>194666.67</v>
      </c>
      <c r="F7" s="3"/>
      <c r="G7" s="3"/>
      <c r="H7" s="3"/>
      <c r="I7" s="3"/>
      <c r="J7" s="3"/>
      <c r="K7" s="3"/>
      <c r="L7" s="3"/>
      <c r="M7" s="3"/>
      <c r="N7" s="3"/>
      <c r="O7" s="3"/>
      <c r="S7" s="3" t="s">
        <v>36</v>
      </c>
      <c r="T7" s="61">
        <v>2.5399999999999999E-4</v>
      </c>
      <c r="U7" s="3" t="s">
        <v>37</v>
      </c>
      <c r="V7" s="16" t="s">
        <v>129</v>
      </c>
      <c r="W7" s="84"/>
    </row>
    <row r="8" spans="2:23" ht="16.899999999999999" customHeight="1" x14ac:dyDescent="0.25">
      <c r="B8" s="94" t="s">
        <v>46</v>
      </c>
      <c r="C8" s="3" t="s">
        <v>106</v>
      </c>
      <c r="D8" s="3"/>
      <c r="E8" s="37" t="s">
        <v>29</v>
      </c>
      <c r="F8" s="11">
        <v>1316941.6599999999</v>
      </c>
      <c r="G8" s="3"/>
      <c r="H8" s="3"/>
      <c r="I8" s="3"/>
      <c r="J8" s="3"/>
      <c r="K8" s="3"/>
      <c r="L8" s="3"/>
      <c r="M8" s="3"/>
      <c r="N8" s="3"/>
      <c r="O8" s="3"/>
      <c r="S8" s="3" t="s">
        <v>39</v>
      </c>
      <c r="T8" s="61">
        <v>4.3699999999999998E-3</v>
      </c>
      <c r="U8" s="3" t="s">
        <v>37</v>
      </c>
      <c r="V8" s="16" t="s">
        <v>130</v>
      </c>
      <c r="W8" s="84"/>
    </row>
    <row r="9" spans="2:23" ht="16.899999999999999" customHeight="1" x14ac:dyDescent="0.25">
      <c r="B9" s="85"/>
      <c r="C9" s="3" t="s">
        <v>109</v>
      </c>
      <c r="D9" s="3"/>
      <c r="E9" s="37" t="s">
        <v>29</v>
      </c>
      <c r="F9" s="11">
        <v>123333.33</v>
      </c>
      <c r="G9" s="3"/>
      <c r="H9" s="3"/>
      <c r="I9" s="3"/>
      <c r="J9" s="3"/>
      <c r="K9" s="3"/>
      <c r="L9" s="3"/>
      <c r="M9" s="3"/>
      <c r="N9" s="3"/>
      <c r="O9" s="3"/>
      <c r="S9" s="3" t="s">
        <v>41</v>
      </c>
      <c r="T9" s="61">
        <v>5.1199999999999998E-4</v>
      </c>
      <c r="U9" s="3" t="s">
        <v>37</v>
      </c>
      <c r="V9" s="16" t="s">
        <v>131</v>
      </c>
      <c r="W9" s="84"/>
    </row>
    <row r="10" spans="2:23" ht="16.899999999999999" customHeight="1" x14ac:dyDescent="0.25">
      <c r="B10" s="94" t="s">
        <v>116</v>
      </c>
      <c r="C10" s="3" t="s">
        <v>106</v>
      </c>
      <c r="D10" s="3"/>
      <c r="E10" s="3"/>
      <c r="F10" s="37" t="s">
        <v>29</v>
      </c>
      <c r="G10" s="11">
        <v>1043463.75</v>
      </c>
      <c r="H10" s="3"/>
      <c r="I10" s="3"/>
      <c r="J10" s="3"/>
      <c r="K10" s="3"/>
      <c r="L10" s="3"/>
      <c r="M10" s="3"/>
      <c r="N10" s="3"/>
      <c r="O10" s="3"/>
      <c r="S10" s="59" t="s">
        <v>43</v>
      </c>
      <c r="T10" s="21">
        <f>18.7/T16</f>
        <v>0.35150375939849621</v>
      </c>
      <c r="U10" s="3" t="s">
        <v>37</v>
      </c>
      <c r="V10" t="s">
        <v>132</v>
      </c>
      <c r="W10" s="85"/>
    </row>
    <row r="11" spans="2:23" ht="15.6" customHeight="1" x14ac:dyDescent="0.25">
      <c r="B11" s="85"/>
      <c r="C11" s="3" t="s">
        <v>109</v>
      </c>
      <c r="D11" s="3"/>
      <c r="E11" s="3"/>
      <c r="F11" s="37" t="s">
        <v>29</v>
      </c>
      <c r="G11" s="11">
        <v>60000</v>
      </c>
      <c r="H11" s="3"/>
      <c r="I11" s="3"/>
      <c r="J11" s="3"/>
      <c r="K11" s="3"/>
      <c r="L11" s="3"/>
      <c r="M11" s="3"/>
      <c r="N11" s="3"/>
      <c r="O11" s="3"/>
      <c r="S11" s="53" t="s">
        <v>47</v>
      </c>
      <c r="T11" s="54">
        <v>9.0999999999999998E-2</v>
      </c>
      <c r="U11" s="53" t="s">
        <v>37</v>
      </c>
      <c r="V11" s="64" t="s">
        <v>48</v>
      </c>
      <c r="W11" s="53" t="s">
        <v>49</v>
      </c>
    </row>
    <row r="12" spans="2:23" ht="15.6" customHeight="1" x14ac:dyDescent="0.25">
      <c r="B12" s="94" t="s">
        <v>118</v>
      </c>
      <c r="C12" s="3" t="s">
        <v>106</v>
      </c>
      <c r="D12" s="3"/>
      <c r="E12" s="3"/>
      <c r="F12" s="3"/>
      <c r="G12" s="37" t="s">
        <v>29</v>
      </c>
      <c r="H12" s="11">
        <v>668426.31000000006</v>
      </c>
      <c r="I12" s="3"/>
      <c r="J12" s="3"/>
      <c r="K12" s="3"/>
      <c r="L12" s="3"/>
      <c r="M12" s="3"/>
      <c r="N12" s="3"/>
      <c r="O12" s="3"/>
      <c r="S12" s="3" t="s">
        <v>50</v>
      </c>
      <c r="T12" s="61">
        <v>0.08</v>
      </c>
      <c r="U12" s="3" t="s">
        <v>37</v>
      </c>
      <c r="V12" s="3" t="s">
        <v>161</v>
      </c>
      <c r="W12" s="3" t="s">
        <v>52</v>
      </c>
    </row>
    <row r="13" spans="2:23" x14ac:dyDescent="0.25">
      <c r="B13" s="85"/>
      <c r="C13" s="3" t="s">
        <v>109</v>
      </c>
      <c r="D13" s="3"/>
      <c r="E13" s="3"/>
      <c r="F13" s="3"/>
      <c r="G13" s="37" t="s">
        <v>29</v>
      </c>
      <c r="H13" s="11">
        <v>25333.33</v>
      </c>
      <c r="I13" s="3"/>
      <c r="J13" s="3"/>
      <c r="K13" s="3"/>
      <c r="L13" s="3"/>
      <c r="M13" s="3"/>
      <c r="N13" s="3"/>
      <c r="O13" s="3"/>
      <c r="S13" s="60" t="s">
        <v>53</v>
      </c>
      <c r="T13" s="62">
        <f>(SUM(T3:T6)/60)+SUM(T7:T12)</f>
        <v>0.59425642606516282</v>
      </c>
      <c r="U13" s="60" t="s">
        <v>37</v>
      </c>
      <c r="V13" s="60" t="s">
        <v>54</v>
      </c>
    </row>
    <row r="14" spans="2:23" x14ac:dyDescent="0.25">
      <c r="B14" s="94" t="s">
        <v>119</v>
      </c>
      <c r="C14" s="3" t="s">
        <v>106</v>
      </c>
      <c r="D14" s="3"/>
      <c r="E14" s="3"/>
      <c r="F14" s="3"/>
      <c r="G14" s="3"/>
      <c r="H14" s="37" t="s">
        <v>29</v>
      </c>
      <c r="I14" s="11">
        <v>177526.45</v>
      </c>
      <c r="J14" s="3"/>
      <c r="K14" s="3"/>
      <c r="L14" s="3"/>
      <c r="M14" s="3"/>
      <c r="N14" s="3"/>
      <c r="O14" s="3"/>
    </row>
    <row r="15" spans="2:23" ht="16.149999999999999" customHeight="1" x14ac:dyDescent="0.25">
      <c r="B15" s="85"/>
      <c r="C15" s="3" t="s">
        <v>109</v>
      </c>
      <c r="D15" s="3"/>
      <c r="E15" s="3"/>
      <c r="F15" s="3"/>
      <c r="G15" s="3"/>
      <c r="H15" s="37" t="s">
        <v>29</v>
      </c>
      <c r="I15" s="11">
        <v>18333.330000000002</v>
      </c>
      <c r="J15" s="3"/>
      <c r="K15" s="3"/>
      <c r="L15" s="3"/>
      <c r="M15" s="3"/>
      <c r="N15" s="3"/>
      <c r="O15" s="3"/>
      <c r="S15" s="2" t="s">
        <v>55</v>
      </c>
      <c r="T15" s="2" t="s">
        <v>2</v>
      </c>
      <c r="U15" s="2" t="s">
        <v>3</v>
      </c>
      <c r="V15" s="3"/>
    </row>
    <row r="16" spans="2:23" ht="15.6" customHeight="1" x14ac:dyDescent="0.25">
      <c r="B16" s="94" t="s">
        <v>120</v>
      </c>
      <c r="C16" s="3" t="s">
        <v>106</v>
      </c>
      <c r="D16" s="3"/>
      <c r="E16" s="3"/>
      <c r="F16" s="3"/>
      <c r="G16" s="3"/>
      <c r="H16" s="3"/>
      <c r="I16" s="37" t="s">
        <v>29</v>
      </c>
      <c r="J16" s="11">
        <v>13866.35</v>
      </c>
      <c r="K16" s="3"/>
      <c r="L16" s="3"/>
      <c r="M16" s="3"/>
      <c r="N16" s="3"/>
      <c r="O16" s="3"/>
      <c r="S16" s="3" t="s">
        <v>56</v>
      </c>
      <c r="T16" s="25">
        <v>53.2</v>
      </c>
      <c r="U16" s="3" t="s">
        <v>57</v>
      </c>
      <c r="V16" s="3"/>
      <c r="W16" s="3" t="s">
        <v>65</v>
      </c>
    </row>
    <row r="17" spans="2:23" ht="15.6" customHeight="1" x14ac:dyDescent="0.25">
      <c r="B17" s="85"/>
      <c r="C17" s="3" t="s">
        <v>109</v>
      </c>
      <c r="D17" s="3"/>
      <c r="E17" s="3"/>
      <c r="F17" s="3"/>
      <c r="G17" s="3"/>
      <c r="H17" s="3"/>
      <c r="I17" s="37" t="s">
        <v>29</v>
      </c>
      <c r="J17" s="11">
        <v>15000</v>
      </c>
      <c r="K17" s="3"/>
      <c r="L17" s="3"/>
      <c r="M17" s="3"/>
      <c r="N17" s="3"/>
      <c r="O17" s="3"/>
      <c r="S17" s="53" t="s">
        <v>60</v>
      </c>
      <c r="T17" s="58">
        <v>0.20599999999999999</v>
      </c>
      <c r="U17" s="53" t="s">
        <v>61</v>
      </c>
      <c r="V17" s="55"/>
      <c r="W17" s="53" t="s">
        <v>62</v>
      </c>
    </row>
    <row r="18" spans="2:23" ht="16.149999999999999" customHeight="1" x14ac:dyDescent="0.25">
      <c r="B18" s="94" t="s">
        <v>121</v>
      </c>
      <c r="C18" s="3" t="s">
        <v>106</v>
      </c>
      <c r="D18" s="3"/>
      <c r="E18" s="3"/>
      <c r="F18" s="3"/>
      <c r="G18" s="3"/>
      <c r="H18" s="3"/>
      <c r="I18" s="3"/>
      <c r="J18" s="37" t="s">
        <v>29</v>
      </c>
      <c r="K18" s="11">
        <v>6090.97</v>
      </c>
      <c r="L18" s="3"/>
      <c r="M18" s="3"/>
      <c r="N18" s="3"/>
      <c r="O18" s="3"/>
      <c r="S18" s="3" t="s">
        <v>63</v>
      </c>
      <c r="T18" s="4">
        <v>1.78</v>
      </c>
      <c r="U18" s="16" t="s">
        <v>64</v>
      </c>
      <c r="V18" s="3"/>
      <c r="W18" s="3" t="s">
        <v>65</v>
      </c>
    </row>
    <row r="19" spans="2:23" x14ac:dyDescent="0.25">
      <c r="B19" s="85"/>
      <c r="C19" s="3" t="s">
        <v>109</v>
      </c>
      <c r="D19" s="3"/>
      <c r="E19" s="3"/>
      <c r="F19" s="3"/>
      <c r="G19" s="3"/>
      <c r="H19" s="3"/>
      <c r="I19" s="3"/>
      <c r="J19" s="37" t="s">
        <v>29</v>
      </c>
      <c r="K19" s="11">
        <v>19333.330000000002</v>
      </c>
      <c r="L19" s="3"/>
      <c r="M19" s="3"/>
      <c r="N19" s="3"/>
      <c r="O19" s="3"/>
      <c r="S19" s="3" t="s">
        <v>66</v>
      </c>
      <c r="T19" s="4">
        <v>36</v>
      </c>
      <c r="U19" s="3" t="s">
        <v>67</v>
      </c>
      <c r="V19" s="3"/>
    </row>
    <row r="20" spans="2:23" x14ac:dyDescent="0.25">
      <c r="B20" s="94" t="s">
        <v>122</v>
      </c>
      <c r="C20" s="3" t="s">
        <v>106</v>
      </c>
      <c r="D20" s="3"/>
      <c r="E20" s="3"/>
      <c r="F20" s="3"/>
      <c r="G20" s="3"/>
      <c r="H20" s="3"/>
      <c r="I20" s="3"/>
      <c r="J20" s="3"/>
      <c r="K20" s="37" t="s">
        <v>29</v>
      </c>
      <c r="L20" s="11">
        <v>13552.18</v>
      </c>
      <c r="M20" s="3"/>
      <c r="N20" s="3"/>
      <c r="O20" s="3"/>
      <c r="S20" s="19" t="s">
        <v>68</v>
      </c>
      <c r="T20" s="4">
        <v>0.5</v>
      </c>
      <c r="U20" s="17" t="s">
        <v>69</v>
      </c>
      <c r="V20" s="3"/>
      <c r="W20" s="95" t="s">
        <v>9</v>
      </c>
    </row>
    <row r="21" spans="2:23" x14ac:dyDescent="0.25">
      <c r="B21" s="85"/>
      <c r="C21" s="3" t="s">
        <v>109</v>
      </c>
      <c r="D21" s="3"/>
      <c r="E21" s="3"/>
      <c r="F21" s="3"/>
      <c r="G21" s="3"/>
      <c r="H21" s="3"/>
      <c r="I21" s="3"/>
      <c r="J21" s="3"/>
      <c r="K21" s="37" t="s">
        <v>29</v>
      </c>
      <c r="L21" s="11">
        <v>35666.67</v>
      </c>
      <c r="M21" s="3"/>
      <c r="N21" s="3"/>
      <c r="O21" s="3"/>
      <c r="S21" s="19" t="s">
        <v>70</v>
      </c>
      <c r="T21" s="4">
        <v>0.4</v>
      </c>
      <c r="U21" s="18" t="s">
        <v>69</v>
      </c>
      <c r="V21" s="3"/>
      <c r="W21" s="85"/>
    </row>
    <row r="22" spans="2:23" x14ac:dyDescent="0.25">
      <c r="B22" s="94" t="s">
        <v>133</v>
      </c>
      <c r="C22" s="3" t="s">
        <v>106</v>
      </c>
      <c r="D22" s="3"/>
      <c r="E22" s="3"/>
      <c r="F22" s="3"/>
      <c r="G22" s="3"/>
      <c r="H22" s="3"/>
      <c r="I22" s="3"/>
      <c r="J22" s="3"/>
      <c r="K22" s="3"/>
      <c r="L22" s="37" t="s">
        <v>29</v>
      </c>
      <c r="M22" s="11">
        <v>123451.78</v>
      </c>
      <c r="N22" s="3"/>
      <c r="O22" s="3"/>
      <c r="S22" s="3" t="s">
        <v>71</v>
      </c>
      <c r="T22" s="4" t="s">
        <v>72</v>
      </c>
      <c r="U22" s="3"/>
      <c r="V22" s="3"/>
      <c r="W22" s="3"/>
    </row>
    <row r="23" spans="2:23" x14ac:dyDescent="0.25">
      <c r="B23" s="85"/>
      <c r="C23" s="3" t="s">
        <v>109</v>
      </c>
      <c r="D23" s="3"/>
      <c r="E23" s="3"/>
      <c r="F23" s="3"/>
      <c r="G23" s="3"/>
      <c r="H23" s="3"/>
      <c r="I23" s="3"/>
      <c r="J23" s="3"/>
      <c r="K23" s="3"/>
      <c r="L23" s="37" t="s">
        <v>29</v>
      </c>
      <c r="M23" s="11">
        <v>92333.33</v>
      </c>
      <c r="N23" s="3"/>
      <c r="O23" s="3"/>
      <c r="S23" s="3" t="s">
        <v>74</v>
      </c>
      <c r="T23" s="4">
        <v>10000</v>
      </c>
      <c r="U23" s="3" t="s">
        <v>75</v>
      </c>
      <c r="V23" s="3" t="s">
        <v>76</v>
      </c>
      <c r="W23" s="3"/>
    </row>
    <row r="24" spans="2:23" ht="16.149999999999999" customHeight="1" x14ac:dyDescent="0.25">
      <c r="B24" s="94" t="s">
        <v>134</v>
      </c>
      <c r="C24" s="3" t="s">
        <v>106</v>
      </c>
      <c r="D24" s="3"/>
      <c r="E24" s="3"/>
      <c r="F24" s="3"/>
      <c r="G24" s="3"/>
      <c r="H24" s="3"/>
      <c r="I24" s="3"/>
      <c r="J24" s="3"/>
      <c r="K24" s="3"/>
      <c r="L24" s="3"/>
      <c r="M24" s="37" t="s">
        <v>29</v>
      </c>
      <c r="N24" s="11">
        <v>527210.78</v>
      </c>
      <c r="O24" s="3"/>
      <c r="S24" s="3" t="s">
        <v>79</v>
      </c>
      <c r="T24" s="76" t="s">
        <v>124</v>
      </c>
      <c r="U24" s="3" t="s">
        <v>81</v>
      </c>
      <c r="V24" s="3" t="s">
        <v>125</v>
      </c>
      <c r="W24" s="6" t="s">
        <v>83</v>
      </c>
    </row>
    <row r="25" spans="2:23" x14ac:dyDescent="0.25">
      <c r="B25" s="85"/>
      <c r="C25" s="3" t="s">
        <v>109</v>
      </c>
      <c r="D25" s="3"/>
      <c r="E25" s="3"/>
      <c r="F25" s="3"/>
      <c r="G25" s="3"/>
      <c r="H25" s="3"/>
      <c r="I25" s="3"/>
      <c r="J25" s="3"/>
      <c r="K25" s="3"/>
      <c r="L25" s="3"/>
      <c r="M25" s="37" t="s">
        <v>29</v>
      </c>
      <c r="N25" s="11">
        <v>172333.33</v>
      </c>
      <c r="O25" s="3"/>
      <c r="S25" s="3" t="s">
        <v>85</v>
      </c>
      <c r="T25" s="76">
        <v>10.8</v>
      </c>
      <c r="U25" s="3" t="s">
        <v>86</v>
      </c>
      <c r="V25" s="3" t="s">
        <v>87</v>
      </c>
      <c r="W25" s="6" t="s">
        <v>88</v>
      </c>
    </row>
    <row r="26" spans="2:23" ht="15.6" customHeight="1" x14ac:dyDescent="0.25">
      <c r="B26" s="94" t="s">
        <v>135</v>
      </c>
      <c r="C26" s="3" t="s">
        <v>106</v>
      </c>
      <c r="D26" s="3"/>
      <c r="E26" s="3"/>
      <c r="F26" s="3"/>
      <c r="G26" s="3"/>
      <c r="H26" s="3"/>
      <c r="I26" s="3"/>
      <c r="J26" s="3"/>
      <c r="K26" s="3"/>
      <c r="L26" s="3"/>
      <c r="M26" s="3"/>
      <c r="N26" s="37" t="s">
        <v>29</v>
      </c>
      <c r="O26" s="11">
        <v>1085037.93</v>
      </c>
      <c r="S26" s="3" t="s">
        <v>90</v>
      </c>
      <c r="T26" s="76">
        <v>15</v>
      </c>
      <c r="U26" s="3" t="s">
        <v>91</v>
      </c>
      <c r="V26" s="3" t="s">
        <v>92</v>
      </c>
      <c r="W26" s="3" t="s">
        <v>93</v>
      </c>
    </row>
    <row r="27" spans="2:23" ht="16.149999999999999" customHeight="1" x14ac:dyDescent="0.25">
      <c r="B27" s="85"/>
      <c r="C27" s="3" t="s">
        <v>109</v>
      </c>
      <c r="D27" s="3"/>
      <c r="E27" s="3"/>
      <c r="F27" s="3"/>
      <c r="G27" s="3"/>
      <c r="H27" s="3"/>
      <c r="I27" s="3"/>
      <c r="J27" s="3"/>
      <c r="K27" s="3"/>
      <c r="L27" s="3"/>
      <c r="M27" s="3"/>
      <c r="N27" s="37" t="s">
        <v>29</v>
      </c>
      <c r="O27" s="11">
        <v>239333.33</v>
      </c>
      <c r="S27" s="3" t="s">
        <v>94</v>
      </c>
      <c r="T27" s="76">
        <v>100</v>
      </c>
      <c r="U27" s="3" t="s">
        <v>95</v>
      </c>
      <c r="V27" s="3" t="s">
        <v>96</v>
      </c>
      <c r="W27" s="3" t="s">
        <v>97</v>
      </c>
    </row>
    <row r="28" spans="2:23" ht="15.6" customHeight="1" x14ac:dyDescent="0.25">
      <c r="B28" s="96" t="s">
        <v>123</v>
      </c>
      <c r="C28" s="97"/>
      <c r="D28" s="20"/>
      <c r="E28" s="22">
        <f>$T$13+((E6*$T$18/$T$19)+(E7*$T$17))/($T$16/11)/10000</f>
        <v>3.2113269817314114</v>
      </c>
      <c r="F28" s="22">
        <f>$T$13+((F8*$T$18/$T$19)+(F9*$T$17))/($T$16/11)/10000</f>
        <v>2.4659542869089384</v>
      </c>
      <c r="G28" s="22">
        <f>$T$13+((G10*$T$18/$T$19)+(G11*$T$17))/($T$16/11)/10000</f>
        <v>1.9166029290413533</v>
      </c>
      <c r="H28" s="22">
        <f>$T$13+((H12*$T$18/$T$19)+(H13*$T$17))/($T$16/11)/10000</f>
        <v>1.3855251644674182</v>
      </c>
      <c r="I28" s="22">
        <f>$T$13+((I14*$T$18/$T$19)+(I15*$T$17))/($T$16/11)/10000</f>
        <v>0.85383911294277348</v>
      </c>
      <c r="J28" s="22">
        <f>$T$13+((J16*$T$18/$T$19)+(J17*$T$17))/($T$16/11)/10000</f>
        <v>0.67232363225772751</v>
      </c>
      <c r="K28" s="22">
        <f>$T$13+((K18*$T$18/$T$19)+(K19*$T$17))/($T$16/11)/10000</f>
        <v>0.68283187096282361</v>
      </c>
      <c r="L28" s="22">
        <f>$T$13+((L20*$T$18/$T$19)+(L21*$T$17))/($T$16/11)/10000</f>
        <v>0.76003002445279855</v>
      </c>
      <c r="M28" s="22">
        <f>$T$13+((M22*$T$18/$T$19)+(M23*$T$17))/($T$16/11)/10000</f>
        <v>1.1137514960568087</v>
      </c>
      <c r="N28" s="22">
        <f>$T$13+((N24*$T$18/$T$19)+(N25*$T$17))/($T$16/11)/10000</f>
        <v>1.8672853943441936</v>
      </c>
      <c r="O28" s="22">
        <f>$T$13+((O26*$T$18/$T$19)+(O27*$T$17))/($T$16/11)/10000</f>
        <v>2.7229583056328317</v>
      </c>
      <c r="S28" s="3" t="s">
        <v>98</v>
      </c>
      <c r="T28" s="76">
        <v>100</v>
      </c>
      <c r="U28" s="3" t="s">
        <v>99</v>
      </c>
      <c r="V28" s="3"/>
      <c r="W28" s="6" t="s">
        <v>100</v>
      </c>
    </row>
    <row r="29" spans="2:23" ht="115.15" customHeight="1" x14ac:dyDescent="0.25">
      <c r="S29" s="80" t="s">
        <v>101</v>
      </c>
      <c r="T29" s="79">
        <v>20</v>
      </c>
      <c r="U29" s="80" t="s">
        <v>102</v>
      </c>
      <c r="V29" s="80"/>
      <c r="W29" s="81" t="s">
        <v>103</v>
      </c>
    </row>
    <row r="33" spans="2:15" x14ac:dyDescent="0.25">
      <c r="D33" s="7" t="s">
        <v>14</v>
      </c>
      <c r="E33" s="7" t="s">
        <v>15</v>
      </c>
      <c r="F33" s="7" t="s">
        <v>16</v>
      </c>
      <c r="G33" s="7" t="s">
        <v>17</v>
      </c>
      <c r="H33" s="7" t="s">
        <v>18</v>
      </c>
      <c r="I33" s="7" t="s">
        <v>19</v>
      </c>
      <c r="J33" s="7" t="s">
        <v>20</v>
      </c>
      <c r="K33" s="7" t="s">
        <v>21</v>
      </c>
      <c r="L33" s="7" t="s">
        <v>22</v>
      </c>
      <c r="M33" s="7" t="s">
        <v>23</v>
      </c>
      <c r="N33" s="7" t="s">
        <v>24</v>
      </c>
      <c r="O33" s="7" t="s">
        <v>25</v>
      </c>
    </row>
    <row r="34" spans="2:15" ht="15.6" customHeight="1" x14ac:dyDescent="0.25">
      <c r="B34" s="90" t="s">
        <v>136</v>
      </c>
      <c r="C34" s="91"/>
      <c r="D34" s="22"/>
      <c r="E34" s="22">
        <f t="shared" ref="E34:O34" si="0">E28</f>
        <v>3.2113269817314114</v>
      </c>
      <c r="F34" s="22">
        <f t="shared" si="0"/>
        <v>2.4659542869089384</v>
      </c>
      <c r="G34" s="22">
        <f t="shared" si="0"/>
        <v>1.9166029290413533</v>
      </c>
      <c r="H34" s="22">
        <f t="shared" si="0"/>
        <v>1.3855251644674182</v>
      </c>
      <c r="I34" s="22">
        <f t="shared" si="0"/>
        <v>0.85383911294277348</v>
      </c>
      <c r="J34" s="22">
        <f t="shared" si="0"/>
        <v>0.67232363225772751</v>
      </c>
      <c r="K34" s="22">
        <f t="shared" si="0"/>
        <v>0.68283187096282361</v>
      </c>
      <c r="L34" s="22">
        <f t="shared" si="0"/>
        <v>0.76003002445279855</v>
      </c>
      <c r="M34" s="22">
        <f t="shared" si="0"/>
        <v>1.1137514960568087</v>
      </c>
      <c r="N34" s="22">
        <f t="shared" si="0"/>
        <v>1.8672853943441936</v>
      </c>
      <c r="O34" s="22">
        <f t="shared" si="0"/>
        <v>2.7229583056328317</v>
      </c>
    </row>
  </sheetData>
  <mergeCells count="16">
    <mergeCell ref="B22:B23"/>
    <mergeCell ref="B18:B19"/>
    <mergeCell ref="B34:C34"/>
    <mergeCell ref="B28:C28"/>
    <mergeCell ref="B26:B27"/>
    <mergeCell ref="B24:B25"/>
    <mergeCell ref="W3:W5"/>
    <mergeCell ref="B8:B9"/>
    <mergeCell ref="B16:B17"/>
    <mergeCell ref="B10:B11"/>
    <mergeCell ref="B20:B21"/>
    <mergeCell ref="W20:W21"/>
    <mergeCell ref="B6:B7"/>
    <mergeCell ref="B14:B15"/>
    <mergeCell ref="W6:W10"/>
    <mergeCell ref="B12:B13"/>
  </mergeCells>
  <pageMargins left="0.75" right="0.75" top="1" bottom="1" header="0.5" footer="0.5"/>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W29"/>
  <sheetViews>
    <sheetView topLeftCell="P1" workbookViewId="0">
      <selection activeCell="V12" sqref="V12"/>
    </sheetView>
  </sheetViews>
  <sheetFormatPr defaultRowHeight="15" x14ac:dyDescent="0.25"/>
  <cols>
    <col min="2" max="2" width="27.42578125" customWidth="1"/>
    <col min="3" max="3" width="29.7109375" customWidth="1"/>
    <col min="7" max="7" width="10.5703125" bestFit="1" customWidth="1"/>
    <col min="8" max="10" width="9.5703125" bestFit="1" customWidth="1"/>
    <col min="11" max="11" width="8.28515625" bestFit="1" customWidth="1"/>
    <col min="12" max="14" width="8.5703125" bestFit="1" customWidth="1"/>
    <col min="15" max="15" width="10.5703125" bestFit="1" customWidth="1"/>
    <col min="19" max="19" width="36" bestFit="1" customWidth="1"/>
    <col min="20" max="20" width="12.85546875" customWidth="1"/>
    <col min="21" max="21" width="16.5703125" bestFit="1" customWidth="1"/>
    <col min="22" max="22" width="67.85546875" customWidth="1"/>
    <col min="23" max="23" width="115.85546875" customWidth="1"/>
  </cols>
  <sheetData>
    <row r="1" spans="2:23" x14ac:dyDescent="0.25">
      <c r="B1" s="14" t="s">
        <v>141</v>
      </c>
    </row>
    <row r="2" spans="2:23" x14ac:dyDescent="0.25">
      <c r="S2" s="2" t="s">
        <v>1</v>
      </c>
      <c r="T2" s="2" t="s">
        <v>2</v>
      </c>
      <c r="U2" s="2" t="s">
        <v>3</v>
      </c>
      <c r="V2" s="2" t="s">
        <v>4</v>
      </c>
      <c r="W2" s="2" t="s">
        <v>5</v>
      </c>
    </row>
    <row r="3" spans="2:23" ht="16.899999999999999" customHeight="1" x14ac:dyDescent="0.25">
      <c r="S3" s="53" t="s">
        <v>6</v>
      </c>
      <c r="T3" s="54">
        <v>2.86</v>
      </c>
      <c r="U3" s="53" t="s">
        <v>7</v>
      </c>
      <c r="V3" s="64" t="s">
        <v>8</v>
      </c>
      <c r="W3" s="87" t="s">
        <v>9</v>
      </c>
    </row>
    <row r="4" spans="2:23" ht="16.899999999999999" customHeight="1" x14ac:dyDescent="0.25">
      <c r="S4" s="53" t="s">
        <v>10</v>
      </c>
      <c r="T4" s="54">
        <v>0.22</v>
      </c>
      <c r="U4" s="53" t="s">
        <v>7</v>
      </c>
      <c r="V4" s="64" t="s">
        <v>11</v>
      </c>
      <c r="W4" s="84"/>
    </row>
    <row r="5" spans="2:23" ht="16.899999999999999" customHeight="1" x14ac:dyDescent="0.25">
      <c r="B5" s="94" t="s">
        <v>142</v>
      </c>
      <c r="C5" s="3" t="s">
        <v>13</v>
      </c>
      <c r="D5" s="5" t="s">
        <v>14</v>
      </c>
      <c r="E5" s="5" t="s">
        <v>15</v>
      </c>
      <c r="F5" s="5" t="s">
        <v>16</v>
      </c>
      <c r="G5" s="5" t="s">
        <v>17</v>
      </c>
      <c r="H5" s="5" t="s">
        <v>18</v>
      </c>
      <c r="I5" s="5" t="s">
        <v>19</v>
      </c>
      <c r="J5" s="5" t="s">
        <v>20</v>
      </c>
      <c r="K5" s="5" t="s">
        <v>21</v>
      </c>
      <c r="L5" s="5" t="s">
        <v>22</v>
      </c>
      <c r="M5" s="5" t="s">
        <v>23</v>
      </c>
      <c r="N5" s="5" t="s">
        <v>24</v>
      </c>
      <c r="O5" s="5" t="s">
        <v>25</v>
      </c>
      <c r="S5" s="53" t="s">
        <v>26</v>
      </c>
      <c r="T5" s="54">
        <v>0.70099999999999996</v>
      </c>
      <c r="U5" s="53" t="s">
        <v>7</v>
      </c>
      <c r="V5" s="64" t="s">
        <v>27</v>
      </c>
      <c r="W5" s="85"/>
    </row>
    <row r="6" spans="2:23" ht="16.899999999999999" customHeight="1" x14ac:dyDescent="0.25">
      <c r="B6" s="84"/>
      <c r="C6" s="3" t="s">
        <v>106</v>
      </c>
      <c r="D6" s="8"/>
      <c r="E6" s="8"/>
      <c r="F6" s="8"/>
      <c r="G6" s="13">
        <v>945863.52</v>
      </c>
      <c r="H6" s="13">
        <v>407355.71</v>
      </c>
      <c r="I6" s="13">
        <v>168175.23</v>
      </c>
      <c r="J6" s="13">
        <v>89209.53</v>
      </c>
      <c r="K6" s="13">
        <v>30074.44</v>
      </c>
      <c r="L6" s="13">
        <v>9948.7099999999991</v>
      </c>
      <c r="M6" s="13">
        <v>21814.639999999999</v>
      </c>
      <c r="N6" s="13">
        <v>95036.67</v>
      </c>
      <c r="O6" s="13">
        <v>429603.79</v>
      </c>
      <c r="S6" s="3" t="s">
        <v>31</v>
      </c>
      <c r="T6" s="61">
        <v>1.08</v>
      </c>
      <c r="U6" s="16" t="s">
        <v>32</v>
      </c>
      <c r="V6" s="16" t="s">
        <v>143</v>
      </c>
      <c r="W6" s="2" t="s">
        <v>144</v>
      </c>
    </row>
    <row r="7" spans="2:23" ht="16.899999999999999" customHeight="1" x14ac:dyDescent="0.25">
      <c r="B7" s="85"/>
      <c r="C7" s="3" t="s">
        <v>109</v>
      </c>
      <c r="D7" s="8"/>
      <c r="E7" s="8"/>
      <c r="F7" s="8"/>
      <c r="G7" s="13">
        <v>225297.22</v>
      </c>
      <c r="H7" s="13">
        <v>78072.22</v>
      </c>
      <c r="I7" s="13">
        <v>29863.89</v>
      </c>
      <c r="J7" s="13">
        <v>13000</v>
      </c>
      <c r="K7" s="13">
        <v>12025</v>
      </c>
      <c r="L7" s="13">
        <v>15925</v>
      </c>
      <c r="M7" s="13">
        <v>43116.67</v>
      </c>
      <c r="N7" s="13">
        <v>107791.67</v>
      </c>
      <c r="O7" s="13">
        <v>281341.67</v>
      </c>
      <c r="S7" s="3" t="s">
        <v>36</v>
      </c>
      <c r="T7" s="61">
        <v>2.3099999999999999E-2</v>
      </c>
      <c r="U7" s="3" t="s">
        <v>37</v>
      </c>
      <c r="V7" s="16" t="s">
        <v>145</v>
      </c>
      <c r="W7" s="3" t="s">
        <v>146</v>
      </c>
    </row>
    <row r="8" spans="2:23" ht="16.899999999999999" customHeight="1" x14ac:dyDescent="0.25">
      <c r="B8" s="98"/>
      <c r="C8" s="91"/>
      <c r="S8" s="3" t="s">
        <v>39</v>
      </c>
      <c r="T8" s="61">
        <v>8.3000000000000001E-3</v>
      </c>
      <c r="U8" s="3" t="s">
        <v>37</v>
      </c>
      <c r="V8" s="16" t="s">
        <v>147</v>
      </c>
      <c r="W8" s="3" t="s">
        <v>113</v>
      </c>
    </row>
    <row r="9" spans="2:23" ht="16.899999999999999" customHeight="1" x14ac:dyDescent="0.25">
      <c r="S9" s="3" t="s">
        <v>41</v>
      </c>
      <c r="T9" s="61">
        <v>3.41E-6</v>
      </c>
      <c r="U9" s="3" t="s">
        <v>37</v>
      </c>
      <c r="V9" s="16" t="s">
        <v>148</v>
      </c>
      <c r="W9" s="3" t="s">
        <v>146</v>
      </c>
    </row>
    <row r="10" spans="2:23" ht="16.899999999999999" customHeight="1" x14ac:dyDescent="0.25">
      <c r="S10" s="59" t="s">
        <v>43</v>
      </c>
      <c r="T10" s="21">
        <f>15/T16</f>
        <v>0.78947368421052633</v>
      </c>
      <c r="U10" s="3" t="s">
        <v>37</v>
      </c>
      <c r="V10" t="s">
        <v>149</v>
      </c>
      <c r="W10" s="3" t="s">
        <v>45</v>
      </c>
    </row>
    <row r="11" spans="2:23" ht="15.6" customHeight="1" x14ac:dyDescent="0.25">
      <c r="S11" s="53" t="s">
        <v>47</v>
      </c>
      <c r="T11" s="54">
        <v>2.2100000000000002E-2</v>
      </c>
      <c r="U11" s="53" t="s">
        <v>37</v>
      </c>
      <c r="V11" s="64" t="s">
        <v>150</v>
      </c>
      <c r="W11" s="53" t="s">
        <v>151</v>
      </c>
    </row>
    <row r="12" spans="2:23" ht="15.6" customHeight="1" x14ac:dyDescent="0.25">
      <c r="D12" s="5" t="s">
        <v>14</v>
      </c>
      <c r="E12" s="5" t="s">
        <v>15</v>
      </c>
      <c r="F12" s="5" t="s">
        <v>16</v>
      </c>
      <c r="G12" s="5" t="s">
        <v>17</v>
      </c>
      <c r="H12" s="5" t="s">
        <v>18</v>
      </c>
      <c r="I12" s="5" t="s">
        <v>19</v>
      </c>
      <c r="J12" s="5" t="s">
        <v>20</v>
      </c>
      <c r="K12" s="5" t="s">
        <v>21</v>
      </c>
      <c r="L12" s="5" t="s">
        <v>22</v>
      </c>
      <c r="M12" s="5" t="s">
        <v>23</v>
      </c>
      <c r="N12" s="5" t="s">
        <v>24</v>
      </c>
      <c r="O12" s="5" t="s">
        <v>25</v>
      </c>
      <c r="S12" s="3" t="s">
        <v>50</v>
      </c>
      <c r="T12" s="61">
        <v>0.08</v>
      </c>
      <c r="U12" s="3" t="s">
        <v>37</v>
      </c>
      <c r="V12" s="3" t="s">
        <v>161</v>
      </c>
      <c r="W12" s="3" t="s">
        <v>52</v>
      </c>
    </row>
    <row r="13" spans="2:23" x14ac:dyDescent="0.25">
      <c r="C13" s="26" t="s">
        <v>78</v>
      </c>
      <c r="D13" s="27"/>
      <c r="E13" s="27"/>
      <c r="F13" s="27"/>
      <c r="G13" s="27">
        <f t="shared" ref="G13:O13" si="0">$T$13+((G6*$T$18/$T$19)+(G7*$T$17))/($T$16/9)/10000</f>
        <v>5.4177322465614033</v>
      </c>
      <c r="H13" s="27">
        <f t="shared" si="0"/>
        <v>2.7198842178771931</v>
      </c>
      <c r="I13" s="27">
        <f t="shared" si="0"/>
        <v>1.6892865472456138</v>
      </c>
      <c r="J13" s="27">
        <f t="shared" si="0"/>
        <v>1.3397845021929824</v>
      </c>
      <c r="K13" s="27">
        <f t="shared" si="0"/>
        <v>1.1917699492982456</v>
      </c>
      <c r="L13" s="27">
        <f t="shared" si="0"/>
        <v>1.1826891606140351</v>
      </c>
      <c r="M13" s="27">
        <f t="shared" si="0"/>
        <v>1.4758138712982456</v>
      </c>
      <c r="N13" s="27">
        <f t="shared" si="0"/>
        <v>2.2783994152456142</v>
      </c>
      <c r="O13" s="27">
        <f t="shared" si="0"/>
        <v>4.7554734594561392</v>
      </c>
      <c r="S13" s="60" t="s">
        <v>53</v>
      </c>
      <c r="T13" s="62">
        <f>(SUM(T3:T6)/60)+SUM(T7:T12)</f>
        <v>1.0039937608771929</v>
      </c>
      <c r="U13" s="60" t="s">
        <v>37</v>
      </c>
      <c r="V13" s="60" t="s">
        <v>54</v>
      </c>
    </row>
    <row r="15" spans="2:23" ht="16.149999999999999" customHeight="1" x14ac:dyDescent="0.25">
      <c r="S15" s="2" t="s">
        <v>55</v>
      </c>
      <c r="T15" s="2" t="s">
        <v>2</v>
      </c>
      <c r="U15" s="2" t="s">
        <v>3</v>
      </c>
      <c r="V15" s="2" t="s">
        <v>4</v>
      </c>
      <c r="W15" s="2" t="s">
        <v>5</v>
      </c>
    </row>
    <row r="16" spans="2:23" ht="43.15" customHeight="1" x14ac:dyDescent="0.25">
      <c r="S16" s="53" t="s">
        <v>56</v>
      </c>
      <c r="T16" s="58">
        <v>19</v>
      </c>
      <c r="U16" s="80" t="s">
        <v>57</v>
      </c>
      <c r="V16" s="81" t="s">
        <v>162</v>
      </c>
      <c r="W16" s="82" t="s">
        <v>153</v>
      </c>
    </row>
    <row r="17" spans="13:23" ht="15.6" customHeight="1" x14ac:dyDescent="0.25">
      <c r="S17" s="3" t="s">
        <v>60</v>
      </c>
      <c r="T17" s="25">
        <v>0.20599999999999999</v>
      </c>
      <c r="U17" s="16" t="s">
        <v>61</v>
      </c>
      <c r="V17" s="3"/>
      <c r="W17" s="68" t="s">
        <v>154</v>
      </c>
    </row>
    <row r="18" spans="13:23" ht="16.149999999999999" customHeight="1" x14ac:dyDescent="0.25">
      <c r="S18" s="3" t="s">
        <v>63</v>
      </c>
      <c r="T18" s="4">
        <v>1.78</v>
      </c>
      <c r="U18" s="16" t="s">
        <v>64</v>
      </c>
      <c r="V18" s="3"/>
      <c r="W18" s="3" t="s">
        <v>65</v>
      </c>
    </row>
    <row r="19" spans="13:23" x14ac:dyDescent="0.25">
      <c r="S19" s="3" t="s">
        <v>66</v>
      </c>
      <c r="T19" s="4">
        <v>36</v>
      </c>
      <c r="U19" s="3" t="s">
        <v>67</v>
      </c>
      <c r="V19" s="3"/>
    </row>
    <row r="20" spans="13:23" x14ac:dyDescent="0.25">
      <c r="S20" s="19" t="s">
        <v>68</v>
      </c>
      <c r="T20" s="4">
        <v>0.5</v>
      </c>
      <c r="U20" s="17" t="s">
        <v>69</v>
      </c>
      <c r="V20" s="3"/>
      <c r="W20" s="86" t="s">
        <v>9</v>
      </c>
    </row>
    <row r="21" spans="13:23" ht="14.45" customHeight="1" x14ac:dyDescent="0.25">
      <c r="S21" s="19" t="s">
        <v>70</v>
      </c>
      <c r="T21" s="4">
        <v>0.4</v>
      </c>
      <c r="U21" s="18" t="s">
        <v>69</v>
      </c>
      <c r="V21" s="3"/>
      <c r="W21" s="85"/>
    </row>
    <row r="22" spans="13:23" x14ac:dyDescent="0.25">
      <c r="S22" s="3" t="s">
        <v>71</v>
      </c>
      <c r="T22" s="4" t="s">
        <v>72</v>
      </c>
      <c r="U22" s="3"/>
      <c r="V22" s="3"/>
      <c r="W22" s="3"/>
    </row>
    <row r="23" spans="13:23" ht="14.45" customHeight="1" x14ac:dyDescent="0.25">
      <c r="M23" s="70"/>
      <c r="S23" s="3" t="s">
        <v>74</v>
      </c>
      <c r="T23" s="4">
        <v>10000</v>
      </c>
      <c r="U23" s="3" t="s">
        <v>75</v>
      </c>
      <c r="V23" s="3" t="s">
        <v>76</v>
      </c>
      <c r="W23" s="3"/>
    </row>
    <row r="24" spans="13:23" ht="16.149999999999999" customHeight="1" x14ac:dyDescent="0.25">
      <c r="S24" s="3" t="s">
        <v>79</v>
      </c>
      <c r="T24" s="76" t="s">
        <v>156</v>
      </c>
      <c r="U24" s="3" t="s">
        <v>81</v>
      </c>
      <c r="V24" s="3" t="s">
        <v>157</v>
      </c>
      <c r="W24" s="3" t="s">
        <v>158</v>
      </c>
    </row>
    <row r="25" spans="13:23" ht="14.45" customHeight="1" x14ac:dyDescent="0.25">
      <c r="S25" s="3" t="s">
        <v>85</v>
      </c>
      <c r="T25" s="76">
        <v>10.8</v>
      </c>
      <c r="U25" s="3" t="s">
        <v>86</v>
      </c>
      <c r="V25" s="3" t="s">
        <v>87</v>
      </c>
      <c r="W25" s="6" t="s">
        <v>88</v>
      </c>
    </row>
    <row r="26" spans="13:23" x14ac:dyDescent="0.25">
      <c r="S26" s="3" t="s">
        <v>90</v>
      </c>
      <c r="T26" s="76">
        <v>15</v>
      </c>
      <c r="U26" s="3" t="s">
        <v>91</v>
      </c>
      <c r="V26" s="3" t="s">
        <v>92</v>
      </c>
      <c r="W26" s="3" t="s">
        <v>93</v>
      </c>
    </row>
    <row r="27" spans="13:23" ht="16.149999999999999" customHeight="1" x14ac:dyDescent="0.25">
      <c r="S27" s="3" t="s">
        <v>94</v>
      </c>
      <c r="T27" s="76">
        <v>100</v>
      </c>
      <c r="U27" s="3" t="s">
        <v>95</v>
      </c>
      <c r="V27" s="3" t="s">
        <v>96</v>
      </c>
      <c r="W27" s="3" t="s">
        <v>97</v>
      </c>
    </row>
    <row r="28" spans="13:23" ht="16.149999999999999" customHeight="1" x14ac:dyDescent="0.25">
      <c r="S28" s="3" t="s">
        <v>98</v>
      </c>
      <c r="T28" s="76">
        <v>130</v>
      </c>
      <c r="U28" s="3" t="s">
        <v>99</v>
      </c>
      <c r="V28" s="3"/>
      <c r="W28" s="3" t="s">
        <v>159</v>
      </c>
    </row>
    <row r="29" spans="13:23" ht="115.15" customHeight="1" x14ac:dyDescent="0.25">
      <c r="S29" s="80" t="s">
        <v>101</v>
      </c>
      <c r="T29" s="79">
        <v>20</v>
      </c>
      <c r="U29" s="80" t="s">
        <v>102</v>
      </c>
      <c r="V29" s="80"/>
      <c r="W29" s="81" t="s">
        <v>103</v>
      </c>
    </row>
  </sheetData>
  <mergeCells count="4">
    <mergeCell ref="W3:W5"/>
    <mergeCell ref="B8:C8"/>
    <mergeCell ref="W20:W21"/>
    <mergeCell ref="B5:B7"/>
  </mergeCells>
  <pageMargins left="0.75" right="0.75" top="1" bottom="1" header="0.5" footer="0.5"/>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29"/>
  <sheetViews>
    <sheetView topLeftCell="K1" workbookViewId="0">
      <selection activeCell="V12" sqref="V12"/>
    </sheetView>
  </sheetViews>
  <sheetFormatPr defaultRowHeight="15" x14ac:dyDescent="0.25"/>
  <cols>
    <col min="2" max="2" width="26.42578125" customWidth="1"/>
    <col min="3" max="3" width="41.140625" bestFit="1" customWidth="1"/>
    <col min="4" max="7" width="10.5703125" bestFit="1" customWidth="1"/>
    <col min="8" max="8" width="8.5703125" bestFit="1" customWidth="1"/>
    <col min="9" max="11" width="9.5703125" bestFit="1" customWidth="1"/>
    <col min="12" max="12" width="8.5703125" bestFit="1" customWidth="1"/>
    <col min="13" max="13" width="9.5703125" bestFit="1" customWidth="1"/>
    <col min="14" max="15" width="10.5703125" bestFit="1" customWidth="1"/>
    <col min="19" max="19" width="16.28515625" customWidth="1"/>
    <col min="20" max="20" width="13.7109375" customWidth="1"/>
    <col min="21" max="21" width="17.28515625" bestFit="1" customWidth="1"/>
    <col min="22" max="22" width="70.28515625" bestFit="1" customWidth="1"/>
    <col min="23" max="23" width="136.7109375" customWidth="1"/>
  </cols>
  <sheetData>
    <row r="1" spans="2:23" x14ac:dyDescent="0.25">
      <c r="B1" s="28" t="s">
        <v>163</v>
      </c>
    </row>
    <row r="2" spans="2:23" x14ac:dyDescent="0.25">
      <c r="S2" s="2" t="s">
        <v>1</v>
      </c>
      <c r="T2" s="2" t="s">
        <v>2</v>
      </c>
      <c r="U2" s="2" t="s">
        <v>3</v>
      </c>
      <c r="V2" s="2" t="s">
        <v>4</v>
      </c>
      <c r="W2" s="2" t="s">
        <v>5</v>
      </c>
    </row>
    <row r="3" spans="2:23" ht="16.899999999999999" customHeight="1" x14ac:dyDescent="0.25">
      <c r="S3" s="53" t="s">
        <v>6</v>
      </c>
      <c r="T3" s="54">
        <v>2.86</v>
      </c>
      <c r="U3" s="53" t="s">
        <v>7</v>
      </c>
      <c r="V3" s="53" t="s">
        <v>8</v>
      </c>
      <c r="W3" s="87" t="s">
        <v>9</v>
      </c>
    </row>
    <row r="4" spans="2:23" ht="16.899999999999999" customHeight="1" x14ac:dyDescent="0.25">
      <c r="S4" s="53" t="s">
        <v>10</v>
      </c>
      <c r="T4" s="54">
        <v>0.22</v>
      </c>
      <c r="U4" s="53" t="s">
        <v>7</v>
      </c>
      <c r="V4" s="53" t="s">
        <v>11</v>
      </c>
      <c r="W4" s="84"/>
    </row>
    <row r="5" spans="2:23" ht="16.899999999999999" customHeight="1" x14ac:dyDescent="0.25">
      <c r="B5" s="99" t="s">
        <v>12</v>
      </c>
      <c r="C5" s="6" t="s">
        <v>13</v>
      </c>
      <c r="D5" s="7" t="s">
        <v>14</v>
      </c>
      <c r="E5" s="7" t="s">
        <v>15</v>
      </c>
      <c r="F5" s="7" t="s">
        <v>16</v>
      </c>
      <c r="G5" s="7" t="s">
        <v>17</v>
      </c>
      <c r="H5" s="7" t="s">
        <v>18</v>
      </c>
      <c r="I5" s="7" t="s">
        <v>19</v>
      </c>
      <c r="J5" s="7" t="s">
        <v>20</v>
      </c>
      <c r="K5" s="7" t="s">
        <v>21</v>
      </c>
      <c r="L5" s="7" t="s">
        <v>22</v>
      </c>
      <c r="M5" s="7" t="s">
        <v>23</v>
      </c>
      <c r="N5" s="7" t="s">
        <v>24</v>
      </c>
      <c r="O5" s="7" t="s">
        <v>25</v>
      </c>
      <c r="S5" s="53" t="s">
        <v>26</v>
      </c>
      <c r="T5" s="54">
        <v>0.70099999999999996</v>
      </c>
      <c r="U5" s="53" t="s">
        <v>7</v>
      </c>
      <c r="V5" s="53" t="s">
        <v>27</v>
      </c>
      <c r="W5" s="85"/>
    </row>
    <row r="6" spans="2:23" ht="16.899999999999999" customHeight="1" x14ac:dyDescent="0.25">
      <c r="B6" s="84"/>
      <c r="C6" s="3" t="s">
        <v>28</v>
      </c>
      <c r="D6" s="8" t="s">
        <v>29</v>
      </c>
      <c r="E6" s="8" t="s">
        <v>29</v>
      </c>
      <c r="F6" s="9">
        <v>1833558.76</v>
      </c>
      <c r="G6" s="9">
        <v>938950.9</v>
      </c>
      <c r="H6" s="9">
        <v>630134.74</v>
      </c>
      <c r="I6" s="9">
        <v>426041.23</v>
      </c>
      <c r="J6" s="9">
        <v>230418.13</v>
      </c>
      <c r="K6" s="9">
        <v>113169.46</v>
      </c>
      <c r="L6" s="9">
        <v>80023.16</v>
      </c>
      <c r="M6" s="9">
        <v>181568.84</v>
      </c>
      <c r="N6" s="9">
        <v>797096.61</v>
      </c>
      <c r="O6" s="10" t="s">
        <v>30</v>
      </c>
      <c r="S6" s="3" t="s">
        <v>31</v>
      </c>
      <c r="T6" s="61">
        <v>5.4899999999999997E-2</v>
      </c>
      <c r="U6" s="3" t="s">
        <v>32</v>
      </c>
      <c r="V6" s="3" t="s">
        <v>164</v>
      </c>
      <c r="W6" s="86" t="s">
        <v>165</v>
      </c>
    </row>
    <row r="7" spans="2:23" ht="16.899999999999999" customHeight="1" x14ac:dyDescent="0.25">
      <c r="B7" s="85"/>
      <c r="C7" s="3" t="s">
        <v>35</v>
      </c>
      <c r="D7" s="8" t="s">
        <v>29</v>
      </c>
      <c r="E7" s="8" t="s">
        <v>29</v>
      </c>
      <c r="F7" s="9">
        <v>256666.67</v>
      </c>
      <c r="G7" s="9">
        <v>94166.67</v>
      </c>
      <c r="H7" s="9">
        <v>46500</v>
      </c>
      <c r="I7" s="9">
        <v>23833.33</v>
      </c>
      <c r="J7" s="9">
        <v>19666.669999999998</v>
      </c>
      <c r="K7" s="9">
        <v>17333.330000000002</v>
      </c>
      <c r="L7" s="9">
        <v>30333.33</v>
      </c>
      <c r="M7" s="9">
        <v>75750</v>
      </c>
      <c r="N7" s="9">
        <v>206750</v>
      </c>
      <c r="O7" s="10" t="s">
        <v>30</v>
      </c>
      <c r="S7" s="3" t="s">
        <v>36</v>
      </c>
      <c r="T7" s="61">
        <v>5.1599999999999997E-3</v>
      </c>
      <c r="U7" s="3" t="s">
        <v>37</v>
      </c>
      <c r="V7" s="3" t="s">
        <v>166</v>
      </c>
      <c r="W7" s="84"/>
    </row>
    <row r="8" spans="2:23" ht="16.899999999999999" customHeight="1" x14ac:dyDescent="0.25">
      <c r="S8" s="3" t="s">
        <v>39</v>
      </c>
      <c r="T8" s="61">
        <v>2.5600000000000001E-2</v>
      </c>
      <c r="U8" s="3" t="s">
        <v>37</v>
      </c>
      <c r="V8" s="3" t="s">
        <v>167</v>
      </c>
      <c r="W8" s="85"/>
    </row>
    <row r="9" spans="2:23" ht="16.899999999999999" customHeight="1" x14ac:dyDescent="0.25">
      <c r="S9" s="3" t="s">
        <v>41</v>
      </c>
      <c r="T9" s="21">
        <v>1.55E-4</v>
      </c>
      <c r="U9" s="3" t="s">
        <v>37</v>
      </c>
      <c r="V9" s="3" t="s">
        <v>42</v>
      </c>
      <c r="W9" s="19" t="s">
        <v>115</v>
      </c>
    </row>
    <row r="10" spans="2:23" ht="16.899999999999999" customHeight="1" x14ac:dyDescent="0.25">
      <c r="S10" s="59" t="s">
        <v>43</v>
      </c>
      <c r="T10" s="21">
        <f>16/T16</f>
        <v>0.4</v>
      </c>
      <c r="U10" s="3" t="s">
        <v>37</v>
      </c>
      <c r="V10" t="s">
        <v>44</v>
      </c>
      <c r="W10" t="s">
        <v>45</v>
      </c>
    </row>
    <row r="11" spans="2:23" ht="15.6" customHeight="1" x14ac:dyDescent="0.25">
      <c r="C11" s="5" t="s">
        <v>73</v>
      </c>
      <c r="D11" s="7" t="s">
        <v>14</v>
      </c>
      <c r="E11" s="7" t="s">
        <v>15</v>
      </c>
      <c r="F11" s="7" t="s">
        <v>16</v>
      </c>
      <c r="G11" s="7" t="s">
        <v>17</v>
      </c>
      <c r="H11" s="7" t="s">
        <v>18</v>
      </c>
      <c r="I11" s="7" t="s">
        <v>19</v>
      </c>
      <c r="J11" s="7" t="s">
        <v>20</v>
      </c>
      <c r="K11" s="7" t="s">
        <v>21</v>
      </c>
      <c r="L11" s="7" t="s">
        <v>22</v>
      </c>
      <c r="M11" s="7" t="s">
        <v>23</v>
      </c>
      <c r="N11" s="7" t="s">
        <v>24</v>
      </c>
      <c r="O11" s="7" t="s">
        <v>25</v>
      </c>
      <c r="S11" s="53" t="s">
        <v>47</v>
      </c>
      <c r="T11" s="54">
        <v>9.0999999999999998E-2</v>
      </c>
      <c r="U11" s="53" t="s">
        <v>37</v>
      </c>
      <c r="V11" s="53" t="s">
        <v>48</v>
      </c>
      <c r="W11" s="53" t="s">
        <v>49</v>
      </c>
    </row>
    <row r="12" spans="2:23" ht="15.6" customHeight="1" x14ac:dyDescent="0.25">
      <c r="C12" s="26" t="s">
        <v>168</v>
      </c>
      <c r="D12" s="27"/>
      <c r="E12" s="27"/>
      <c r="F12" s="27">
        <f t="shared" ref="F12:N12" si="0">$T$13+((F6*$T$18/$T$19)+(F7*$T$17))/($T$16/9)/10000</f>
        <v>3.2480145437554166</v>
      </c>
      <c r="G12" s="27">
        <f t="shared" si="0"/>
        <v>1.9315617370054166</v>
      </c>
      <c r="H12" s="27">
        <f t="shared" si="0"/>
        <v>1.4937846274166664</v>
      </c>
      <c r="I12" s="27">
        <f t="shared" si="0"/>
        <v>1.2219270909529167</v>
      </c>
      <c r="J12" s="27">
        <f t="shared" si="0"/>
        <v>0.99606046788041658</v>
      </c>
      <c r="K12" s="27">
        <f t="shared" si="0"/>
        <v>0.86100918432791662</v>
      </c>
      <c r="L12" s="27">
        <f t="shared" si="0"/>
        <v>0.84983005057791661</v>
      </c>
      <c r="M12" s="27">
        <f t="shared" si="0"/>
        <v>1.0525713449166665</v>
      </c>
      <c r="N12" s="27">
        <f t="shared" si="0"/>
        <v>1.9962838640416665</v>
      </c>
      <c r="O12" s="27"/>
      <c r="S12" s="3" t="s">
        <v>50</v>
      </c>
      <c r="T12" s="21">
        <v>0.115</v>
      </c>
      <c r="U12" s="3" t="s">
        <v>37</v>
      </c>
      <c r="V12" s="3" t="s">
        <v>169</v>
      </c>
      <c r="W12" s="3" t="s">
        <v>52</v>
      </c>
    </row>
    <row r="13" spans="2:23" x14ac:dyDescent="0.25">
      <c r="S13" s="56" t="s">
        <v>53</v>
      </c>
      <c r="T13" s="57">
        <f>(SUM(T3:T6)/60)+SUM(T7:T12)</f>
        <v>0.70084666666666662</v>
      </c>
      <c r="U13" s="56" t="s">
        <v>37</v>
      </c>
      <c r="V13" s="56" t="s">
        <v>54</v>
      </c>
      <c r="W13" s="3"/>
    </row>
    <row r="15" spans="2:23" ht="16.149999999999999" customHeight="1" x14ac:dyDescent="0.25">
      <c r="S15" s="2" t="s">
        <v>55</v>
      </c>
      <c r="T15" s="2" t="s">
        <v>2</v>
      </c>
      <c r="U15" s="2" t="s">
        <v>3</v>
      </c>
      <c r="V15" s="2" t="s">
        <v>4</v>
      </c>
      <c r="W15" s="2" t="s">
        <v>5</v>
      </c>
    </row>
    <row r="16" spans="2:23" ht="15.6" customHeight="1" x14ac:dyDescent="0.25">
      <c r="S16" s="3" t="s">
        <v>56</v>
      </c>
      <c r="T16" s="25">
        <v>40</v>
      </c>
      <c r="U16" s="3" t="s">
        <v>57</v>
      </c>
      <c r="V16" s="3"/>
      <c r="W16" s="3" t="s">
        <v>58</v>
      </c>
    </row>
    <row r="17" spans="19:23" ht="15.6" customHeight="1" x14ac:dyDescent="0.25">
      <c r="S17" s="53" t="s">
        <v>60</v>
      </c>
      <c r="T17" s="58">
        <v>8.7849999999999998E-2</v>
      </c>
      <c r="U17" s="53" t="s">
        <v>61</v>
      </c>
      <c r="V17" s="53"/>
      <c r="W17" s="53" t="s">
        <v>62</v>
      </c>
    </row>
    <row r="18" spans="19:23" ht="16.149999999999999" customHeight="1" x14ac:dyDescent="0.25">
      <c r="S18" s="3" t="s">
        <v>63</v>
      </c>
      <c r="T18" s="4">
        <v>1.78</v>
      </c>
      <c r="U18" s="16" t="s">
        <v>64</v>
      </c>
      <c r="V18" s="3"/>
      <c r="W18" s="3" t="s">
        <v>65</v>
      </c>
    </row>
    <row r="19" spans="19:23" ht="14.45" customHeight="1" x14ac:dyDescent="0.25">
      <c r="S19" s="3" t="s">
        <v>66</v>
      </c>
      <c r="T19" s="4">
        <v>36</v>
      </c>
      <c r="U19" s="3" t="s">
        <v>67</v>
      </c>
      <c r="V19" s="3"/>
      <c r="W19" s="3"/>
    </row>
    <row r="20" spans="19:23" x14ac:dyDescent="0.25">
      <c r="S20" s="19" t="s">
        <v>68</v>
      </c>
      <c r="T20" s="4">
        <v>0.5</v>
      </c>
      <c r="U20" s="17" t="s">
        <v>69</v>
      </c>
      <c r="V20" s="3"/>
      <c r="W20" s="86" t="s">
        <v>9</v>
      </c>
    </row>
    <row r="21" spans="19:23" x14ac:dyDescent="0.25">
      <c r="S21" s="19" t="s">
        <v>70</v>
      </c>
      <c r="T21" s="4">
        <v>0.4</v>
      </c>
      <c r="U21" s="18" t="s">
        <v>69</v>
      </c>
      <c r="V21" s="3"/>
      <c r="W21" s="85"/>
    </row>
    <row r="22" spans="19:23" x14ac:dyDescent="0.25">
      <c r="S22" s="3" t="s">
        <v>71</v>
      </c>
      <c r="T22" s="4" t="s">
        <v>72</v>
      </c>
      <c r="U22" s="3"/>
      <c r="V22" s="3"/>
      <c r="W22" s="3"/>
    </row>
    <row r="23" spans="19:23" ht="14.45" customHeight="1" x14ac:dyDescent="0.25">
      <c r="S23" s="3" t="s">
        <v>74</v>
      </c>
      <c r="T23" s="4">
        <v>10000</v>
      </c>
      <c r="U23" s="3" t="s">
        <v>75</v>
      </c>
      <c r="V23" s="3" t="s">
        <v>76</v>
      </c>
      <c r="W23" s="3"/>
    </row>
    <row r="24" spans="19:23" ht="16.149999999999999" customHeight="1" x14ac:dyDescent="0.25">
      <c r="S24" s="3" t="s">
        <v>79</v>
      </c>
      <c r="T24" s="76" t="s">
        <v>80</v>
      </c>
      <c r="U24" s="3" t="s">
        <v>81</v>
      </c>
      <c r="V24" s="3" t="s">
        <v>82</v>
      </c>
      <c r="W24" s="6" t="s">
        <v>83</v>
      </c>
    </row>
    <row r="25" spans="19:23" x14ac:dyDescent="0.25">
      <c r="S25" s="3" t="s">
        <v>85</v>
      </c>
      <c r="T25" s="76">
        <v>10.8</v>
      </c>
      <c r="U25" s="3" t="s">
        <v>86</v>
      </c>
      <c r="V25" s="3" t="s">
        <v>87</v>
      </c>
      <c r="W25" s="6" t="s">
        <v>88</v>
      </c>
    </row>
    <row r="26" spans="19:23" x14ac:dyDescent="0.25">
      <c r="S26" s="3" t="s">
        <v>90</v>
      </c>
      <c r="T26" s="76">
        <v>15</v>
      </c>
      <c r="U26" s="3" t="s">
        <v>91</v>
      </c>
      <c r="V26" s="3" t="s">
        <v>92</v>
      </c>
      <c r="W26" s="3" t="s">
        <v>93</v>
      </c>
    </row>
    <row r="27" spans="19:23" ht="16.149999999999999" customHeight="1" x14ac:dyDescent="0.25">
      <c r="S27" s="3" t="s">
        <v>94</v>
      </c>
      <c r="T27" s="76">
        <v>100</v>
      </c>
      <c r="U27" s="3" t="s">
        <v>95</v>
      </c>
      <c r="V27" s="3" t="s">
        <v>96</v>
      </c>
      <c r="W27" s="3" t="s">
        <v>97</v>
      </c>
    </row>
    <row r="28" spans="19:23" ht="16.149999999999999" customHeight="1" x14ac:dyDescent="0.25">
      <c r="S28" s="3" t="s">
        <v>98</v>
      </c>
      <c r="T28" s="76">
        <v>150</v>
      </c>
      <c r="U28" s="3" t="s">
        <v>99</v>
      </c>
      <c r="V28" s="3"/>
      <c r="W28" s="6" t="s">
        <v>100</v>
      </c>
    </row>
    <row r="29" spans="19:23" ht="100.9" customHeight="1" x14ac:dyDescent="0.25">
      <c r="S29" s="80" t="s">
        <v>101</v>
      </c>
      <c r="T29" s="79">
        <v>30</v>
      </c>
      <c r="U29" s="80" t="s">
        <v>102</v>
      </c>
      <c r="V29" s="80"/>
      <c r="W29" s="81" t="s">
        <v>103</v>
      </c>
    </row>
  </sheetData>
  <mergeCells count="4">
    <mergeCell ref="W3:W5"/>
    <mergeCell ref="W20:W21"/>
    <mergeCell ref="B5:B7"/>
    <mergeCell ref="W6:W8"/>
  </mergeCells>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NL_Tomato</vt:lpstr>
      <vt:lpstr>NL_Cucumber</vt:lpstr>
      <vt:lpstr>NL_Lettuce</vt:lpstr>
      <vt:lpstr>NL_Bell pepper</vt:lpstr>
      <vt:lpstr>NL_Strawberry</vt:lpstr>
      <vt:lpstr>BE_Tomato</vt:lpstr>
      <vt:lpstr>BE_Lettuce</vt:lpstr>
      <vt:lpstr>BE_Strawberry</vt:lpstr>
      <vt:lpstr>FR_Tomato</vt:lpstr>
      <vt:lpstr>FR_Lettuce</vt:lpstr>
      <vt:lpstr>CH_Tomato</vt:lpstr>
      <vt:lpstr>CH_Cucumber</vt:lpstr>
      <vt:lpstr>CH_Lettuce</vt:lpstr>
      <vt:lpstr>CH_Bell pepper</vt:lpstr>
      <vt:lpstr>CH_Strawberry</vt:lpstr>
      <vt:lpstr>CH_Tomato!OLE_LINK7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Burg  Vanessa (IfU, ESD)</cp:lastModifiedBy>
  <dcterms:created xsi:type="dcterms:W3CDTF">2024-04-23T15:43:48Z</dcterms:created>
  <dcterms:modified xsi:type="dcterms:W3CDTF">2024-05-27T13:45:36Z</dcterms:modified>
</cp:coreProperties>
</file>