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ExperimentalProgram\"/>
    </mc:Choice>
  </mc:AlternateContent>
  <bookViews>
    <workbookView xWindow="0" yWindow="0" windowWidth="17970" windowHeight="8268"/>
  </bookViews>
  <sheets>
    <sheet name="Sheet1" sheetId="1" r:id="rId1"/>
    <sheet name="Sheet4" sheetId="5" r:id="rId2"/>
    <sheet name="Sheet3" sheetId="4" r:id="rId3"/>
    <sheet name="Sheet2" sheetId="3" r:id="rId4"/>
    <sheet name="Comparisson to ASTMA706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5" i="1" l="1"/>
  <c r="AR15" i="1"/>
  <c r="AS15" i="1" s="1"/>
  <c r="AT15" i="1" s="1"/>
  <c r="AR16" i="1"/>
  <c r="AQ16" i="1"/>
  <c r="AK16" i="1"/>
  <c r="AS16" i="1"/>
  <c r="AT16" i="1" s="1"/>
  <c r="AJ14" i="1"/>
  <c r="AK14" i="1"/>
  <c r="AL16" i="1"/>
  <c r="AM16" i="1" s="1"/>
  <c r="AL15" i="1"/>
  <c r="AM15" i="1" s="1"/>
  <c r="AL14" i="1"/>
  <c r="AM14" i="1" s="1"/>
  <c r="AR14" i="1"/>
  <c r="AQ15" i="1"/>
  <c r="AQ14" i="1"/>
  <c r="AJ16" i="1"/>
  <c r="AJ15" i="1"/>
  <c r="AJ2" i="1"/>
  <c r="AQ2" i="1"/>
  <c r="AS14" i="1" l="1"/>
  <c r="AT14" i="1" s="1"/>
  <c r="AT9" i="1" l="1"/>
  <c r="AT3" i="1"/>
  <c r="AT4" i="1"/>
  <c r="AT5" i="1"/>
  <c r="AT6" i="1"/>
  <c r="AT7" i="1"/>
  <c r="AT8" i="1"/>
  <c r="AT10" i="1"/>
  <c r="AT11" i="1"/>
  <c r="AT12" i="1"/>
  <c r="AT2" i="1"/>
  <c r="AR9" i="1"/>
  <c r="AS12" i="1"/>
  <c r="AS11" i="1"/>
  <c r="AS10" i="1"/>
  <c r="AS9" i="1"/>
  <c r="AS8" i="1"/>
  <c r="AS7" i="1"/>
  <c r="AS6" i="1"/>
  <c r="AS5" i="1"/>
  <c r="AS4" i="1"/>
  <c r="AS3" i="1"/>
  <c r="AS2" i="1"/>
  <c r="AR2" i="1"/>
  <c r="AR3" i="1"/>
  <c r="AR4" i="1"/>
  <c r="AR5" i="1"/>
  <c r="AR6" i="1"/>
  <c r="AR7" i="1"/>
  <c r="AR8" i="1"/>
  <c r="AR10" i="1"/>
  <c r="AR11" i="1"/>
  <c r="AR12" i="1"/>
  <c r="AQ3" i="1"/>
  <c r="AQ4" i="1"/>
  <c r="AQ5" i="1"/>
  <c r="AQ6" i="1"/>
  <c r="AQ7" i="1"/>
  <c r="AQ8" i="1"/>
  <c r="AQ9" i="1"/>
  <c r="AQ10" i="1"/>
  <c r="AQ11" i="1"/>
  <c r="AQ12" i="1"/>
  <c r="AO2" i="1"/>
  <c r="AK2" i="1"/>
  <c r="AJ3" i="1"/>
  <c r="AJ4" i="1"/>
  <c r="AJ5" i="1"/>
  <c r="AL5" i="1" s="1"/>
  <c r="AM5" i="1" s="1"/>
  <c r="AJ6" i="1"/>
  <c r="AJ7" i="1"/>
  <c r="AJ8" i="1"/>
  <c r="AJ9" i="1"/>
  <c r="AJ10" i="1"/>
  <c r="AJ11" i="1"/>
  <c r="AJ12" i="1"/>
  <c r="AL2" i="1"/>
  <c r="AM2" i="1" s="1"/>
  <c r="AK3" i="1"/>
  <c r="AK4" i="1"/>
  <c r="AK5" i="1"/>
  <c r="AK6" i="1"/>
  <c r="AK7" i="1"/>
  <c r="AL7" i="1" s="1"/>
  <c r="AM7" i="1" s="1"/>
  <c r="AK8" i="1"/>
  <c r="AK9" i="1"/>
  <c r="AK10" i="1"/>
  <c r="AK11" i="1"/>
  <c r="AK12" i="1"/>
  <c r="AM3" i="1"/>
  <c r="AL3" i="1"/>
  <c r="AL10" i="1" l="1"/>
  <c r="AM10" i="1" s="1"/>
  <c r="AL9" i="1"/>
  <c r="AM9" i="1" s="1"/>
  <c r="AL8" i="1"/>
  <c r="AM8" i="1" s="1"/>
  <c r="AL6" i="1"/>
  <c r="AM6" i="1" s="1"/>
  <c r="AL12" i="1"/>
  <c r="AM12" i="1" s="1"/>
  <c r="AL4" i="1"/>
  <c r="AM4" i="1" s="1"/>
  <c r="AL11" i="1"/>
  <c r="AM11" i="1" s="1"/>
  <c r="F11" i="4"/>
  <c r="F8" i="4"/>
  <c r="F9" i="4"/>
  <c r="F10" i="4"/>
  <c r="F7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6" i="4"/>
  <c r="Z31" i="1"/>
  <c r="Z30" i="1"/>
  <c r="Z29" i="1"/>
  <c r="Z13" i="1"/>
  <c r="Z12" i="1"/>
  <c r="Z11" i="1"/>
  <c r="Z4" i="1"/>
  <c r="Z3" i="1"/>
  <c r="Z2" i="1"/>
  <c r="R46" i="1" l="1"/>
  <c r="R45" i="1"/>
  <c r="R44" i="1"/>
  <c r="R43" i="1"/>
  <c r="R42" i="1"/>
  <c r="R41" i="1"/>
  <c r="R40" i="1"/>
  <c r="R39" i="1"/>
  <c r="R38" i="1"/>
  <c r="R35" i="1"/>
  <c r="R36" i="1"/>
  <c r="R37" i="1"/>
  <c r="R34" i="1"/>
  <c r="R33" i="1"/>
  <c r="R32" i="1"/>
  <c r="R31" i="1"/>
  <c r="R30" i="1"/>
  <c r="R29" i="1"/>
  <c r="R22" i="1"/>
  <c r="R21" i="1"/>
  <c r="R20" i="1"/>
  <c r="R28" i="1"/>
  <c r="R27" i="1"/>
  <c r="R26" i="1"/>
  <c r="R25" i="1"/>
  <c r="R24" i="1"/>
  <c r="R23" i="1"/>
  <c r="R18" i="1"/>
  <c r="R19" i="1"/>
  <c r="R17" i="1"/>
  <c r="R16" i="1"/>
  <c r="R15" i="1"/>
  <c r="R14" i="1"/>
  <c r="R13" i="1"/>
  <c r="R12" i="1"/>
  <c r="R11" i="1"/>
  <c r="R6" i="1"/>
  <c r="R7" i="1"/>
  <c r="R8" i="1"/>
  <c r="R9" i="1"/>
  <c r="R10" i="1"/>
  <c r="R5" i="1"/>
  <c r="R3" i="1"/>
  <c r="R4" i="1"/>
  <c r="R2" i="1"/>
  <c r="L41" i="1" l="1"/>
  <c r="L44" i="1"/>
  <c r="L38" i="1"/>
  <c r="L32" i="1"/>
  <c r="L35" i="1"/>
  <c r="L29" i="1"/>
  <c r="K47" i="1"/>
  <c r="N29" i="1"/>
  <c r="O29" i="1" s="1"/>
  <c r="N32" i="1"/>
  <c r="O32" i="1" s="1"/>
  <c r="N35" i="1"/>
  <c r="O35" i="1" s="1"/>
  <c r="N38" i="1"/>
  <c r="O38" i="1" s="1"/>
  <c r="N41" i="1"/>
  <c r="O41" i="1" s="1"/>
  <c r="N44" i="1"/>
  <c r="O44" i="1" s="1"/>
  <c r="N5" i="1"/>
  <c r="N8" i="1"/>
  <c r="N11" i="1"/>
  <c r="N14" i="1"/>
  <c r="N17" i="1"/>
  <c r="N20" i="1"/>
  <c r="N23" i="1"/>
  <c r="N26" i="1"/>
  <c r="N2" i="1"/>
  <c r="G26" i="1"/>
  <c r="O26" i="1" l="1"/>
  <c r="A5" i="3"/>
  <c r="AA30" i="1"/>
  <c r="AB30" i="1" s="1"/>
  <c r="AA29" i="1"/>
  <c r="AA31" i="1" l="1"/>
  <c r="AB31" i="1" s="1"/>
  <c r="AB29" i="1"/>
  <c r="AC29" i="1" s="1"/>
  <c r="AD29" i="1" s="1"/>
  <c r="L26" i="1" l="1"/>
  <c r="E47" i="1" l="1"/>
  <c r="C26" i="1"/>
  <c r="H26" i="1" s="1"/>
  <c r="I26" i="1" s="1"/>
  <c r="J26" i="1" s="1"/>
  <c r="C23" i="1"/>
  <c r="H23" i="1" s="1"/>
  <c r="I23" i="1" s="1"/>
  <c r="J23" i="1" s="1"/>
  <c r="C20" i="1"/>
  <c r="H20" i="1" s="1"/>
  <c r="I20" i="1" s="1"/>
  <c r="J20" i="1" s="1"/>
  <c r="C17" i="1"/>
  <c r="H17" i="1" s="1"/>
  <c r="I17" i="1" s="1"/>
  <c r="J17" i="1" s="1"/>
  <c r="C14" i="1"/>
  <c r="H14" i="1" s="1"/>
  <c r="I14" i="1" s="1"/>
  <c r="J14" i="1" s="1"/>
  <c r="C11" i="1"/>
  <c r="C8" i="1"/>
  <c r="C5" i="1"/>
  <c r="B2" i="1"/>
  <c r="C2" i="1" s="1"/>
  <c r="F26" i="1"/>
  <c r="G14" i="1"/>
  <c r="F14" i="1" s="1"/>
  <c r="G17" i="1"/>
  <c r="F17" i="1" s="1"/>
  <c r="D23" i="1"/>
  <c r="G23" i="1" s="1"/>
  <c r="D20" i="1"/>
  <c r="G20" i="1" s="1"/>
  <c r="D11" i="1"/>
  <c r="H11" i="1" s="1"/>
  <c r="I11" i="1" s="1"/>
  <c r="J11" i="1" s="1"/>
  <c r="D8" i="1"/>
  <c r="G8" i="1" s="1"/>
  <c r="D5" i="1"/>
  <c r="G5" i="1" s="1"/>
  <c r="D2" i="1"/>
  <c r="G2" i="1" s="1"/>
  <c r="H8" i="1" l="1"/>
  <c r="I8" i="1" s="1"/>
  <c r="J8" i="1" s="1"/>
  <c r="H5" i="1"/>
  <c r="I5" i="1" s="1"/>
  <c r="J5" i="1" s="1"/>
  <c r="H2" i="1"/>
  <c r="I2" i="1" s="1"/>
  <c r="J2" i="1" s="1"/>
  <c r="J47" i="1" s="1"/>
  <c r="C47" i="1"/>
  <c r="C2" i="2" s="1"/>
  <c r="D2" i="2" s="1"/>
  <c r="O23" i="1"/>
  <c r="L23" i="1"/>
  <c r="F23" i="1"/>
  <c r="L2" i="1"/>
  <c r="O2" i="1"/>
  <c r="F2" i="1"/>
  <c r="O5" i="1"/>
  <c r="L5" i="1"/>
  <c r="F5" i="1"/>
  <c r="O8" i="1"/>
  <c r="L8" i="1"/>
  <c r="F8" i="1"/>
  <c r="G11" i="1"/>
  <c r="O20" i="1"/>
  <c r="A6" i="3" s="1"/>
  <c r="L20" i="1"/>
  <c r="F20" i="1"/>
  <c r="O14" i="1"/>
  <c r="A2" i="3" s="1"/>
  <c r="L14" i="1"/>
  <c r="O17" i="1"/>
  <c r="L17" i="1"/>
  <c r="D47" i="1"/>
  <c r="O11" i="1" l="1"/>
  <c r="L11" i="1"/>
  <c r="F11" i="1"/>
  <c r="F47" i="1"/>
  <c r="C3" i="2" s="1"/>
  <c r="D3" i="2" s="1"/>
  <c r="A3" i="3"/>
  <c r="AA3" i="1"/>
  <c r="AA2" i="1"/>
  <c r="AA4" i="1" s="1"/>
  <c r="A4" i="3"/>
  <c r="AA11" i="1" l="1"/>
  <c r="AA13" i="1" s="1"/>
  <c r="AA12" i="1"/>
</calcChain>
</file>

<file path=xl/sharedStrings.xml><?xml version="1.0" encoding="utf-8"?>
<sst xmlns="http://schemas.openxmlformats.org/spreadsheetml/2006/main" count="107" uniqueCount="72">
  <si>
    <t>Label</t>
  </si>
  <si>
    <t>Length</t>
  </si>
  <si>
    <t>Wight per inch</t>
  </si>
  <si>
    <t>CL5-T-G80</t>
  </si>
  <si>
    <t>CL5-BBT-1-3-G80</t>
  </si>
  <si>
    <t>CL5-BBT-4-6-G80</t>
  </si>
  <si>
    <t>CL10-T-G80</t>
  </si>
  <si>
    <t>CL10-BBT-1-3-G80</t>
  </si>
  <si>
    <t>CL10-BBT-4-6-G80</t>
  </si>
  <si>
    <t>CL15-BBT-1-3-G80</t>
  </si>
  <si>
    <t>CL15-BBT-4-6-G80</t>
  </si>
  <si>
    <t>CL15-T-G80</t>
  </si>
  <si>
    <t>Volume</t>
  </si>
  <si>
    <t>lb/cinch</t>
  </si>
  <si>
    <t>unit weight (pcf)</t>
  </si>
  <si>
    <t>Weight with ends layers before accelerated corrosion</t>
  </si>
  <si>
    <t>Weight with ends layers after accelerated corrosion</t>
  </si>
  <si>
    <t>Measured Weight loss</t>
  </si>
  <si>
    <t>Average</t>
  </si>
  <si>
    <t>Required weight loss in total gauge length</t>
  </si>
  <si>
    <r>
      <t>Avergae d</t>
    </r>
    <r>
      <rPr>
        <b/>
        <vertAlign val="subscript"/>
        <sz val="12"/>
        <color theme="1"/>
        <rFont val="Times New Roman"/>
        <family val="1"/>
      </rPr>
      <t xml:space="preserve">b 
</t>
    </r>
    <r>
      <rPr>
        <b/>
        <sz val="12"/>
        <color theme="1"/>
        <rFont val="Times New Roman"/>
        <family val="1"/>
      </rPr>
      <t>(inch)</t>
    </r>
  </si>
  <si>
    <t>Diameter 
(inch)</t>
  </si>
  <si>
    <t>Weight 
(lb)</t>
  </si>
  <si>
    <t>Linear weight 
(lb/ft)</t>
  </si>
  <si>
    <t>Diameter in gauge length after AC</t>
  </si>
  <si>
    <t>Parameter</t>
  </si>
  <si>
    <t>ASTM A706</t>
  </si>
  <si>
    <t>Measured</t>
  </si>
  <si>
    <t>Measured/ standard</t>
  </si>
  <si>
    <t>Notes</t>
  </si>
  <si>
    <t>db (inch)</t>
  </si>
  <si>
    <t>Linear weight (lb/ft)</t>
  </si>
  <si>
    <t>I measured from rib to rib</t>
  </si>
  <si>
    <t>More than the required 94% difference in ASTM A706</t>
  </si>
  <si>
    <t>Measured Corrosion Level</t>
  </si>
  <si>
    <t>CL20-T-G80</t>
  </si>
  <si>
    <t>CL20-BBT-1-3-G80</t>
  </si>
  <si>
    <t>CL20-BBT-4-6-G80</t>
  </si>
  <si>
    <t>CL25-T-G80</t>
  </si>
  <si>
    <t>CL25-BBT-1-3-G80</t>
  </si>
  <si>
    <t>CL25-BBT-4-6-G80</t>
  </si>
  <si>
    <t>Relabeling</t>
  </si>
  <si>
    <t>Current Label</t>
  </si>
  <si>
    <t>Average corrosion level</t>
  </si>
  <si>
    <t>Number of specimens</t>
  </si>
  <si>
    <t>D1</t>
  </si>
  <si>
    <t>D2</t>
  </si>
  <si>
    <t>D3</t>
  </si>
  <si>
    <t>D4</t>
  </si>
  <si>
    <t>D5</t>
  </si>
  <si>
    <t>D6</t>
  </si>
  <si>
    <t>Average Diameter</t>
  </si>
  <si>
    <t>Cl</t>
  </si>
  <si>
    <t>D</t>
  </si>
  <si>
    <t>CL5-T-1_3</t>
  </si>
  <si>
    <t>CL5-BBT-1_3</t>
  </si>
  <si>
    <t>CL5-BBT-4-6</t>
  </si>
  <si>
    <t>CL10-T-1_3</t>
  </si>
  <si>
    <t>CL10-BBT-1_3</t>
  </si>
  <si>
    <t>CL10-BBT-4-6</t>
  </si>
  <si>
    <t>CL20-T-1_3</t>
  </si>
  <si>
    <t>CL20-BBT-1_3</t>
  </si>
  <si>
    <t>CL20-BBT-4-6</t>
  </si>
  <si>
    <t>CL15-BBT-1_3</t>
  </si>
  <si>
    <t>CL15-BBT-4-6</t>
  </si>
  <si>
    <t>CL (%)</t>
  </si>
  <si>
    <t>Initial mass (g)</t>
  </si>
  <si>
    <t>Final mass (g)</t>
  </si>
  <si>
    <t>Mass loss (g)</t>
  </si>
  <si>
    <t>CL20-TD-BBT-1_3</t>
  </si>
  <si>
    <t>CL20-TD-BBT-4-6</t>
  </si>
  <si>
    <t>CL15-TD-T-1_3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</si>
</sst>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"/>
    <numFmt numFmtId="166" formatCode="0.0%"/>
    <numFmt numFmtId="167" formatCode="0.000000"/>
    <numFmt numFmtId="168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2" borderId="0" xfId="0" applyFont="1" applyFill="1"/>
    <xf numFmtId="0" fontId="3" fillId="2" borderId="2" xfId="0" applyFont="1" applyFill="1" applyBorder="1"/>
    <xf numFmtId="165" fontId="3" fillId="2" borderId="2" xfId="0" applyNumberFormat="1" applyFont="1" applyFill="1" applyBorder="1"/>
    <xf numFmtId="2" fontId="3" fillId="2" borderId="2" xfId="0" applyNumberFormat="1" applyFont="1" applyFill="1" applyBorder="1"/>
    <xf numFmtId="0" fontId="2" fillId="2" borderId="2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9" fontId="2" fillId="2" borderId="0" xfId="1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164" fontId="0" fillId="0" borderId="0" xfId="0" applyNumberForma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5" xfId="0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0" fontId="0" fillId="0" borderId="7" xfId="0" applyBorder="1"/>
    <xf numFmtId="0" fontId="3" fillId="2" borderId="7" xfId="0" applyFont="1" applyFill="1" applyBorder="1" applyAlignment="1">
      <alignment vertical="top" wrapText="1"/>
    </xf>
    <xf numFmtId="0" fontId="0" fillId="2" borderId="0" xfId="0" applyFill="1"/>
    <xf numFmtId="166" fontId="0" fillId="2" borderId="0" xfId="1" applyNumberFormat="1" applyFont="1" applyFill="1"/>
    <xf numFmtId="0" fontId="5" fillId="2" borderId="6" xfId="0" applyFont="1" applyFill="1" applyBorder="1"/>
    <xf numFmtId="0" fontId="3" fillId="2" borderId="0" xfId="0" applyFont="1" applyFill="1" applyBorder="1" applyAlignment="1">
      <alignment vertical="top" wrapText="1"/>
    </xf>
    <xf numFmtId="167" fontId="0" fillId="0" borderId="0" xfId="0" applyNumberFormat="1"/>
    <xf numFmtId="168" fontId="0" fillId="0" borderId="0" xfId="0" applyNumberFormat="1"/>
    <xf numFmtId="166" fontId="0" fillId="0" borderId="0" xfId="1" applyNumberFormat="1" applyFont="1"/>
    <xf numFmtId="0" fontId="2" fillId="2" borderId="7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165" fontId="2" fillId="2" borderId="4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2" fillId="4" borderId="4" xfId="1" applyNumberFormat="1" applyFont="1" applyFill="1" applyBorder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2" fillId="5" borderId="4" xfId="1" applyNumberFormat="1" applyFont="1" applyFill="1" applyBorder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2" fillId="6" borderId="4" xfId="1" applyNumberFormat="1" applyFont="1" applyFill="1" applyBorder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2" fillId="3" borderId="4" xfId="1" applyNumberFormat="1" applyFont="1" applyFill="1" applyBorder="1" applyAlignment="1">
      <alignment horizontal="center"/>
    </xf>
    <xf numFmtId="0" fontId="0" fillId="0" borderId="8" xfId="0" applyBorder="1" applyAlignment="1">
      <alignment vertical="center"/>
    </xf>
    <xf numFmtId="0" fontId="0" fillId="7" borderId="7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Sheet3!$D$6:$D$30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96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100</c:v>
                </c:pt>
              </c:numCache>
            </c:numRef>
          </c:xVal>
          <c:yVal>
            <c:numRef>
              <c:f>Sheet3!$F$6:$F$30</c:f>
              <c:numCache>
                <c:formatCode>General</c:formatCode>
                <c:ptCount val="25"/>
                <c:pt idx="0">
                  <c:v>1</c:v>
                </c:pt>
                <c:pt idx="1">
                  <c:v>0.92999999999999994</c:v>
                </c:pt>
                <c:pt idx="2">
                  <c:v>0.86</c:v>
                </c:pt>
                <c:pt idx="3">
                  <c:v>0.79</c:v>
                </c:pt>
                <c:pt idx="4">
                  <c:v>0.72</c:v>
                </c:pt>
                <c:pt idx="5">
                  <c:v>0.64999999999999991</c:v>
                </c:pt>
                <c:pt idx="6">
                  <c:v>0.55000000000000004</c:v>
                </c:pt>
                <c:pt idx="7">
                  <c:v>0.47499999999999998</c:v>
                </c:pt>
                <c:pt idx="8">
                  <c:v>0.4</c:v>
                </c:pt>
                <c:pt idx="9">
                  <c:v>0.32500000000000007</c:v>
                </c:pt>
                <c:pt idx="10">
                  <c:v>0.25</c:v>
                </c:pt>
                <c:pt idx="11">
                  <c:v>0.17500000000000004</c:v>
                </c:pt>
                <c:pt idx="12">
                  <c:v>0.10000000000000009</c:v>
                </c:pt>
                <c:pt idx="13">
                  <c:v>2.5000000000000022E-2</c:v>
                </c:pt>
                <c:pt idx="14">
                  <c:v>-5.0000000000000044E-2</c:v>
                </c:pt>
                <c:pt idx="15">
                  <c:v>-0.125</c:v>
                </c:pt>
                <c:pt idx="16">
                  <c:v>-0.19999999999999996</c:v>
                </c:pt>
                <c:pt idx="17">
                  <c:v>-0.27499999999999991</c:v>
                </c:pt>
                <c:pt idx="18">
                  <c:v>-0.34999999999999987</c:v>
                </c:pt>
                <c:pt idx="19">
                  <c:v>-0.42500000000000004</c:v>
                </c:pt>
                <c:pt idx="20">
                  <c:v>-0.43999999999999995</c:v>
                </c:pt>
                <c:pt idx="21">
                  <c:v>-0.45499999999999985</c:v>
                </c:pt>
                <c:pt idx="22">
                  <c:v>-0.47</c:v>
                </c:pt>
                <c:pt idx="23">
                  <c:v>-0.48499999999999988</c:v>
                </c:pt>
                <c:pt idx="24">
                  <c:v>-0.5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B7-4844-B5A7-C6543E551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93064"/>
        <c:axId val="420188800"/>
      </c:scatterChart>
      <c:valAx>
        <c:axId val="42019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88800"/>
        <c:crosses val="autoZero"/>
        <c:crossBetween val="midCat"/>
      </c:valAx>
      <c:valAx>
        <c:axId val="4201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9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7"/>
  <sheetViews>
    <sheetView tabSelected="1" topLeftCell="AB1" zoomScaleNormal="100" workbookViewId="0">
      <selection activeCell="AL14" sqref="AL14"/>
    </sheetView>
  </sheetViews>
  <sheetFormatPr defaultRowHeight="14.4" x14ac:dyDescent="0.55000000000000004"/>
  <cols>
    <col min="1" max="1" width="20.15625" bestFit="1" customWidth="1"/>
    <col min="2" max="2" width="11.41796875" customWidth="1"/>
    <col min="3" max="3" width="12" bestFit="1" customWidth="1"/>
    <col min="4" max="4" width="10.578125" bestFit="1" customWidth="1"/>
    <col min="5" max="5" width="9.578125" bestFit="1" customWidth="1"/>
    <col min="6" max="6" width="15" customWidth="1"/>
    <col min="7" max="7" width="14" customWidth="1"/>
    <col min="8" max="8" width="9.15625" hidden="1" customWidth="1"/>
    <col min="9" max="9" width="18.68359375" hidden="1" customWidth="1"/>
    <col min="10" max="10" width="15.83984375" bestFit="1" customWidth="1"/>
    <col min="11" max="11" width="29.83984375" customWidth="1"/>
    <col min="12" max="12" width="22.68359375" customWidth="1"/>
    <col min="13" max="13" width="30.26171875" customWidth="1"/>
    <col min="14" max="14" width="20.83984375" bestFit="1" customWidth="1"/>
    <col min="15" max="15" width="20.83984375" customWidth="1"/>
    <col min="16" max="16" width="23.68359375" bestFit="1" customWidth="1"/>
    <col min="18" max="18" width="13.26171875" customWidth="1"/>
    <col min="19" max="19" width="20.15625" bestFit="1" customWidth="1"/>
    <col min="26" max="26" width="18.83984375" customWidth="1"/>
    <col min="30" max="30" width="12.26171875" bestFit="1" customWidth="1"/>
    <col min="35" max="35" width="11.734375" bestFit="1" customWidth="1"/>
    <col min="39" max="39" width="9.15625" bestFit="1" customWidth="1"/>
    <col min="43" max="43" width="11.89453125" bestFit="1" customWidth="1"/>
    <col min="44" max="44" width="11.26171875" bestFit="1" customWidth="1"/>
    <col min="45" max="45" width="10.62890625" bestFit="1" customWidth="1"/>
  </cols>
  <sheetData>
    <row r="1" spans="1:46" ht="33.299999999999997" thickBot="1" x14ac:dyDescent="0.6">
      <c r="A1" s="7" t="s">
        <v>0</v>
      </c>
      <c r="B1" s="7" t="s">
        <v>21</v>
      </c>
      <c r="C1" s="7" t="s">
        <v>20</v>
      </c>
      <c r="D1" s="7" t="s">
        <v>1</v>
      </c>
      <c r="E1" s="7" t="s">
        <v>22</v>
      </c>
      <c r="F1" s="7" t="s">
        <v>23</v>
      </c>
      <c r="G1" s="7" t="s">
        <v>2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19</v>
      </c>
      <c r="M1" s="7" t="s">
        <v>16</v>
      </c>
      <c r="N1" s="7" t="s">
        <v>17</v>
      </c>
      <c r="O1" s="7" t="s">
        <v>34</v>
      </c>
      <c r="P1" s="7" t="s">
        <v>24</v>
      </c>
      <c r="R1" s="26" t="s">
        <v>41</v>
      </c>
      <c r="S1" s="26" t="s">
        <v>42</v>
      </c>
      <c r="T1" s="30" t="s">
        <v>45</v>
      </c>
      <c r="U1" s="30" t="s">
        <v>46</v>
      </c>
      <c r="V1" s="30" t="s">
        <v>47</v>
      </c>
      <c r="W1" s="30" t="s">
        <v>48</v>
      </c>
      <c r="X1" s="30" t="s">
        <v>49</v>
      </c>
      <c r="Y1" s="30" t="s">
        <v>50</v>
      </c>
      <c r="Z1" s="30" t="s">
        <v>51</v>
      </c>
      <c r="AI1" t="s">
        <v>0</v>
      </c>
      <c r="AJ1" t="s">
        <v>66</v>
      </c>
      <c r="AK1" t="s">
        <v>67</v>
      </c>
      <c r="AL1" t="s">
        <v>68</v>
      </c>
      <c r="AM1" t="s">
        <v>65</v>
      </c>
      <c r="AP1" t="s">
        <v>0</v>
      </c>
      <c r="AQ1" t="s">
        <v>66</v>
      </c>
      <c r="AR1" t="s">
        <v>67</v>
      </c>
      <c r="AS1" t="s">
        <v>68</v>
      </c>
      <c r="AT1" t="s">
        <v>65</v>
      </c>
    </row>
    <row r="2" spans="1:46" ht="15.3" x14ac:dyDescent="0.55000000000000004">
      <c r="A2" s="40" t="s">
        <v>3</v>
      </c>
      <c r="B2" s="16">
        <f>8/10+19*0.001</f>
        <v>0.81900000000000006</v>
      </c>
      <c r="C2" s="38">
        <f>+AVERAGE(B2:B4)</f>
        <v>0.81500000000000006</v>
      </c>
      <c r="D2" s="38">
        <f>50+7/8</f>
        <v>50.875</v>
      </c>
      <c r="E2" s="38">
        <v>6.1524999999999999</v>
      </c>
      <c r="F2" s="42">
        <f>+G2*12</f>
        <v>1.4512039312039311</v>
      </c>
      <c r="G2" s="42">
        <f>+E2/D2</f>
        <v>0.12093366093366092</v>
      </c>
      <c r="H2" s="42">
        <f>0.25*PI()*C2^2*D2</f>
        <v>26.540525712330844</v>
      </c>
      <c r="I2" s="42">
        <f>+E2/H2</f>
        <v>0.23181530263138389</v>
      </c>
      <c r="J2" s="43">
        <f>+I2*12^3</f>
        <v>400.57684294703137</v>
      </c>
      <c r="K2" s="38">
        <v>6.4095000000000004</v>
      </c>
      <c r="L2" s="46">
        <f>ROUND(G2*21*0.05,4)</f>
        <v>0.127</v>
      </c>
      <c r="M2" s="35">
        <v>6.27</v>
      </c>
      <c r="N2" s="35">
        <f>+K2-M2</f>
        <v>0.13950000000000085</v>
      </c>
      <c r="O2" s="56">
        <f>+N2/(G2*21)</f>
        <v>5.4929761421025472E-2</v>
      </c>
      <c r="P2" s="1"/>
      <c r="R2" s="25" t="str">
        <f>+CONCATENATE("CL-",$AF2,"-T-",$AG2)</f>
        <v>CL-5-T-1</v>
      </c>
      <c r="S2" s="34" t="s">
        <v>3</v>
      </c>
      <c r="T2">
        <v>0.70099999999999996</v>
      </c>
      <c r="U2">
        <v>0.77149999999999996</v>
      </c>
      <c r="V2">
        <v>0.71499999999999997</v>
      </c>
      <c r="W2">
        <v>0.70799999999999996</v>
      </c>
      <c r="X2">
        <v>0.6905</v>
      </c>
      <c r="Y2">
        <v>0.6835</v>
      </c>
      <c r="Z2">
        <f>+AVERAGE(T2:Y2)</f>
        <v>0.71158333333333346</v>
      </c>
      <c r="AA2">
        <f>0.75*SQRT(1-O2)</f>
        <v>0.72911042318751229</v>
      </c>
      <c r="AF2">
        <v>5</v>
      </c>
      <c r="AG2">
        <v>1</v>
      </c>
      <c r="AI2" t="s">
        <v>54</v>
      </c>
      <c r="AJ2" s="32">
        <f>453.5924*K2</f>
        <v>2907.3004878000002</v>
      </c>
      <c r="AK2" s="32">
        <f>453.5924*M2</f>
        <v>2844.0243479999999</v>
      </c>
      <c r="AL2" s="32">
        <f t="shared" ref="AL2:AL12" si="0">+AJ2-AK2</f>
        <v>63.276139800000237</v>
      </c>
      <c r="AM2" s="33">
        <f>+AL2/$AO$2</f>
        <v>3.8429752066115853E-2</v>
      </c>
      <c r="AO2">
        <f>0.121*30*453.5924</f>
        <v>1646.5404119999998</v>
      </c>
      <c r="AP2" t="s">
        <v>54</v>
      </c>
      <c r="AQ2" s="32">
        <f>+AJ2-$AO$2</f>
        <v>1260.7600758000003</v>
      </c>
      <c r="AR2" s="32">
        <f>+AK2-$AO$2</f>
        <v>1197.4839360000001</v>
      </c>
      <c r="AS2" s="32">
        <f t="shared" ref="AS2:AS12" si="1">+AQ2-AR2</f>
        <v>63.276139800000237</v>
      </c>
      <c r="AT2" s="33">
        <f>+AS2/AQ2</f>
        <v>5.0188882892606757E-2</v>
      </c>
    </row>
    <row r="3" spans="1:46" ht="15.3" x14ac:dyDescent="0.55000000000000004">
      <c r="A3" s="37"/>
      <c r="B3" s="17">
        <v>0.81399999999999995</v>
      </c>
      <c r="C3" s="39"/>
      <c r="D3" s="39"/>
      <c r="E3" s="39"/>
      <c r="F3" s="41"/>
      <c r="G3" s="41"/>
      <c r="H3" s="41"/>
      <c r="I3" s="41"/>
      <c r="J3" s="44"/>
      <c r="K3" s="39">
        <v>6.4095000000000004</v>
      </c>
      <c r="L3" s="45"/>
      <c r="M3" s="36"/>
      <c r="N3" s="36"/>
      <c r="O3" s="57"/>
      <c r="P3" s="1"/>
      <c r="R3" s="25" t="str">
        <f t="shared" ref="R3:R22" si="2">+CONCATENATE("CL-",$AF3,"-T-",$AG3)</f>
        <v>CL-5-T-2</v>
      </c>
      <c r="S3" s="34"/>
      <c r="T3">
        <v>0.72799999999999998</v>
      </c>
      <c r="U3" s="15">
        <v>0.68500000000000005</v>
      </c>
      <c r="V3">
        <v>0.68600000000000005</v>
      </c>
      <c r="W3">
        <v>0.68300000000000005</v>
      </c>
      <c r="X3">
        <v>0.69199999999999995</v>
      </c>
      <c r="Y3">
        <v>0.7</v>
      </c>
      <c r="Z3">
        <f>+AVERAGE(T3:Y3)</f>
        <v>0.69566666666666677</v>
      </c>
      <c r="AA3">
        <f>0.75*SQRT(1-O2)</f>
        <v>0.72911042318751229</v>
      </c>
      <c r="AF3">
        <v>5</v>
      </c>
      <c r="AG3">
        <v>2</v>
      </c>
      <c r="AI3" t="s">
        <v>55</v>
      </c>
      <c r="AJ3" s="32">
        <f>453.5924*K5</f>
        <v>2896.1874739999998</v>
      </c>
      <c r="AK3" s="32">
        <f>453.5924*M5</f>
        <v>2846.2923100000003</v>
      </c>
      <c r="AL3" s="32">
        <f t="shared" si="0"/>
        <v>49.895163999999568</v>
      </c>
      <c r="AM3" s="33">
        <f t="shared" ref="AM3:AM12" si="3">+AL3/$AO$2</f>
        <v>3.0303030303030044E-2</v>
      </c>
      <c r="AP3" t="s">
        <v>55</v>
      </c>
      <c r="AQ3" s="32">
        <f t="shared" ref="AQ3:AR16" si="4">+AJ3-$AO$2</f>
        <v>1249.647062</v>
      </c>
      <c r="AR3" s="32">
        <f t="shared" si="4"/>
        <v>1199.7518980000004</v>
      </c>
      <c r="AS3" s="32">
        <f t="shared" si="1"/>
        <v>49.895163999999568</v>
      </c>
      <c r="AT3" s="33">
        <f t="shared" ref="AT3:AT12" si="5">+AS3/AQ3</f>
        <v>3.9927404718692938E-2</v>
      </c>
    </row>
    <row r="4" spans="1:46" ht="15.6" thickBot="1" x14ac:dyDescent="0.6">
      <c r="A4" s="37"/>
      <c r="B4" s="17">
        <v>0.81200000000000006</v>
      </c>
      <c r="C4" s="39"/>
      <c r="D4" s="39"/>
      <c r="E4" s="39"/>
      <c r="F4" s="41"/>
      <c r="G4" s="41"/>
      <c r="H4" s="41"/>
      <c r="I4" s="41"/>
      <c r="J4" s="44"/>
      <c r="K4" s="39">
        <v>6</v>
      </c>
      <c r="L4" s="45"/>
      <c r="M4" s="36"/>
      <c r="N4" s="36"/>
      <c r="O4" s="57"/>
      <c r="P4" s="1"/>
      <c r="R4" s="25" t="str">
        <f t="shared" si="2"/>
        <v>CL-5-T-3</v>
      </c>
      <c r="S4" s="34"/>
      <c r="T4">
        <v>0.72899999999999998</v>
      </c>
      <c r="U4">
        <v>0.70550000000000002</v>
      </c>
      <c r="V4">
        <v>0.69599999999999995</v>
      </c>
      <c r="W4">
        <v>0.69499999999999995</v>
      </c>
      <c r="X4">
        <v>0.70550000000000002</v>
      </c>
      <c r="Y4">
        <v>0.70550000000000002</v>
      </c>
      <c r="Z4">
        <f>+AVERAGE(T4:Y4)</f>
        <v>0.70608333333333329</v>
      </c>
      <c r="AA4">
        <f>+AA2</f>
        <v>0.72911042318751229</v>
      </c>
      <c r="AF4">
        <v>5</v>
      </c>
      <c r="AG4">
        <v>3</v>
      </c>
      <c r="AI4" t="s">
        <v>56</v>
      </c>
      <c r="AJ4" s="32">
        <f>453.5924*K8</f>
        <v>2901.857379</v>
      </c>
      <c r="AK4" s="32">
        <f>453.5924*M8</f>
        <v>2839.4884239999997</v>
      </c>
      <c r="AL4" s="32">
        <f t="shared" si="0"/>
        <v>62.368955000000369</v>
      </c>
      <c r="AM4" s="33">
        <f t="shared" si="3"/>
        <v>3.7878787878788109E-2</v>
      </c>
      <c r="AP4" t="s">
        <v>56</v>
      </c>
      <c r="AQ4" s="32">
        <f t="shared" si="4"/>
        <v>1255.3169670000002</v>
      </c>
      <c r="AR4" s="32">
        <f t="shared" si="4"/>
        <v>1192.9480119999998</v>
      </c>
      <c r="AS4" s="32">
        <f t="shared" si="1"/>
        <v>62.368955000000369</v>
      </c>
      <c r="AT4" s="33">
        <f t="shared" si="5"/>
        <v>4.9683830171635336E-2</v>
      </c>
    </row>
    <row r="5" spans="1:46" ht="15.3" x14ac:dyDescent="0.55000000000000004">
      <c r="A5" s="37" t="s">
        <v>4</v>
      </c>
      <c r="B5" s="17">
        <v>0.79400000000000004</v>
      </c>
      <c r="C5" s="41">
        <f>+AVERAGE(B5:B7)</f>
        <v>0.80833333333333324</v>
      </c>
      <c r="D5" s="39">
        <f>51+1/8</f>
        <v>51.125</v>
      </c>
      <c r="E5" s="39">
        <v>6.1509999999999998</v>
      </c>
      <c r="F5" s="41">
        <f t="shared" ref="F5" si="6">+G5*12</f>
        <v>1.4437555012224939</v>
      </c>
      <c r="G5" s="41">
        <f t="shared" ref="G5" si="7">+E5/D5</f>
        <v>0.12031295843520783</v>
      </c>
      <c r="H5" s="41">
        <f t="shared" ref="H5" si="8">0.25*PI()*C5^2*D5</f>
        <v>26.23639609060152</v>
      </c>
      <c r="I5" s="41">
        <f t="shared" ref="I5" si="9">+E5/H5</f>
        <v>0.23444530943803785</v>
      </c>
      <c r="J5" s="44">
        <f t="shared" ref="J5" si="10">+I5*12^3</f>
        <v>405.12149470892939</v>
      </c>
      <c r="K5" s="39">
        <v>6.3849999999999998</v>
      </c>
      <c r="L5" s="45">
        <f t="shared" ref="L5" si="11">ROUND(G5*21*0.05,4)</f>
        <v>0.1263</v>
      </c>
      <c r="M5" s="36">
        <v>6.2750000000000004</v>
      </c>
      <c r="N5" s="35">
        <f t="shared" ref="N5" si="12">+K5-M5</f>
        <v>0.10999999999999943</v>
      </c>
      <c r="O5" s="56">
        <f t="shared" ref="O5" si="13">+N5/(G5*21)</f>
        <v>4.3537249072934103E-2</v>
      </c>
      <c r="P5" s="1"/>
      <c r="R5" s="25" t="str">
        <f>+CONCATENATE("CL-",$AF5,"-BBT-",$AG5)</f>
        <v>CL-5-BBT-1</v>
      </c>
      <c r="S5" s="34" t="s">
        <v>4</v>
      </c>
      <c r="AF5">
        <v>5</v>
      </c>
      <c r="AG5">
        <v>1</v>
      </c>
      <c r="AI5" t="s">
        <v>57</v>
      </c>
      <c r="AJ5" s="32">
        <f>453.5924*K11</f>
        <v>2890.5175689999996</v>
      </c>
      <c r="AK5" s="32">
        <f>453.5924*M11</f>
        <v>2769.1816020000001</v>
      </c>
      <c r="AL5" s="32">
        <f t="shared" si="0"/>
        <v>121.33596699999953</v>
      </c>
      <c r="AM5" s="33">
        <f t="shared" si="3"/>
        <v>7.3691460055096136E-2</v>
      </c>
      <c r="AP5" t="s">
        <v>57</v>
      </c>
      <c r="AQ5" s="32">
        <f t="shared" si="4"/>
        <v>1243.9771569999998</v>
      </c>
      <c r="AR5" s="32">
        <f t="shared" si="4"/>
        <v>1122.6411900000003</v>
      </c>
      <c r="AS5" s="32">
        <f t="shared" si="1"/>
        <v>121.33596699999953</v>
      </c>
      <c r="AT5" s="33">
        <f t="shared" si="5"/>
        <v>9.7538742023700636E-2</v>
      </c>
    </row>
    <row r="6" spans="1:46" ht="15.3" x14ac:dyDescent="0.55000000000000004">
      <c r="A6" s="37"/>
      <c r="B6" s="17">
        <v>0.81599999999999995</v>
      </c>
      <c r="C6" s="41"/>
      <c r="D6" s="39"/>
      <c r="E6" s="39"/>
      <c r="F6" s="41"/>
      <c r="G6" s="41"/>
      <c r="H6" s="41"/>
      <c r="I6" s="41"/>
      <c r="J6" s="44"/>
      <c r="K6" s="39"/>
      <c r="L6" s="45"/>
      <c r="M6" s="36"/>
      <c r="N6" s="36"/>
      <c r="O6" s="57"/>
      <c r="P6" s="1"/>
      <c r="R6" s="25" t="str">
        <f t="shared" ref="R6:R10" si="14">+CONCATENATE("CL-",$AF6,"-BBT-",$AG6)</f>
        <v>CL-5-BBT-2</v>
      </c>
      <c r="S6" s="34"/>
      <c r="AF6">
        <v>5</v>
      </c>
      <c r="AG6">
        <v>2</v>
      </c>
      <c r="AI6" t="s">
        <v>58</v>
      </c>
      <c r="AJ6" s="32">
        <f>453.5924*K17</f>
        <v>2895.2802892</v>
      </c>
      <c r="AK6" s="32">
        <f>453.5924*M17</f>
        <v>2778.2534500000002</v>
      </c>
      <c r="AL6" s="32">
        <f t="shared" si="0"/>
        <v>117.02683919999981</v>
      </c>
      <c r="AM6" s="33">
        <f t="shared" si="3"/>
        <v>7.107438016528915E-2</v>
      </c>
      <c r="AP6" t="s">
        <v>58</v>
      </c>
      <c r="AQ6" s="32">
        <f t="shared" si="4"/>
        <v>1248.7398772000001</v>
      </c>
      <c r="AR6" s="32">
        <f t="shared" si="4"/>
        <v>1131.7130380000003</v>
      </c>
      <c r="AS6" s="32">
        <f t="shared" si="1"/>
        <v>117.02683919999981</v>
      </c>
      <c r="AT6" s="33">
        <f t="shared" si="5"/>
        <v>9.3715946240464781E-2</v>
      </c>
    </row>
    <row r="7" spans="1:46" ht="15.6" thickBot="1" x14ac:dyDescent="0.6">
      <c r="A7" s="37"/>
      <c r="B7" s="17">
        <v>0.81499999999999995</v>
      </c>
      <c r="C7" s="41"/>
      <c r="D7" s="39"/>
      <c r="E7" s="39"/>
      <c r="F7" s="41"/>
      <c r="G7" s="41"/>
      <c r="H7" s="41"/>
      <c r="I7" s="41"/>
      <c r="J7" s="44"/>
      <c r="K7" s="39"/>
      <c r="L7" s="45"/>
      <c r="M7" s="36"/>
      <c r="N7" s="36"/>
      <c r="O7" s="57"/>
      <c r="P7" s="1"/>
      <c r="R7" s="25" t="str">
        <f t="shared" si="14"/>
        <v>CL-5-BBT-3</v>
      </c>
      <c r="S7" s="34"/>
      <c r="AF7">
        <v>5</v>
      </c>
      <c r="AG7">
        <v>3</v>
      </c>
      <c r="AI7" t="s">
        <v>59</v>
      </c>
      <c r="AJ7" s="32">
        <f>453.5924*K23</f>
        <v>2905.2593219999999</v>
      </c>
      <c r="AK7" s="32">
        <f>453.5924*M23</f>
        <v>2789.5932600000001</v>
      </c>
      <c r="AL7" s="32">
        <f t="shared" si="0"/>
        <v>115.66606199999978</v>
      </c>
      <c r="AM7" s="33">
        <f t="shared" si="3"/>
        <v>7.0247933884297398E-2</v>
      </c>
      <c r="AP7" t="s">
        <v>59</v>
      </c>
      <c r="AQ7" s="32">
        <f t="shared" si="4"/>
        <v>1258.7189100000001</v>
      </c>
      <c r="AR7" s="32">
        <f t="shared" si="4"/>
        <v>1143.0528480000003</v>
      </c>
      <c r="AS7" s="32">
        <f t="shared" si="1"/>
        <v>115.66606199999978</v>
      </c>
      <c r="AT7" s="33">
        <f t="shared" si="5"/>
        <v>9.1891891891891717E-2</v>
      </c>
    </row>
    <row r="8" spans="1:46" ht="15.3" x14ac:dyDescent="0.55000000000000004">
      <c r="A8" s="37" t="s">
        <v>5</v>
      </c>
      <c r="B8" s="17">
        <v>0.84799999999999998</v>
      </c>
      <c r="C8" s="41">
        <f>+AVERAGE(B8:B10)</f>
        <v>0.80133333333333334</v>
      </c>
      <c r="D8" s="39">
        <f>51+1/16</f>
        <v>51.0625</v>
      </c>
      <c r="E8" s="39">
        <v>6.16</v>
      </c>
      <c r="F8" s="41">
        <f t="shared" ref="F8" si="15">+G8*12</f>
        <v>1.4476376988984088</v>
      </c>
      <c r="G8" s="41">
        <f t="shared" ref="G8" si="16">+E8/D8</f>
        <v>0.12063647490820073</v>
      </c>
      <c r="H8" s="41">
        <f t="shared" ref="H8" si="17">0.25*PI()*C8^2*D8</f>
        <v>25.752439316461313</v>
      </c>
      <c r="I8" s="41">
        <f t="shared" ref="I8" si="18">+E8/H8</f>
        <v>0.23920064131798355</v>
      </c>
      <c r="J8" s="44">
        <f t="shared" ref="J8" si="19">+I8*12^3</f>
        <v>413.33870819747557</v>
      </c>
      <c r="K8" s="39">
        <v>6.3975</v>
      </c>
      <c r="L8" s="45">
        <f t="shared" ref="L8" si="20">ROUND(G8*21*0.05,4)</f>
        <v>0.12670000000000001</v>
      </c>
      <c r="M8" s="36">
        <v>6.26</v>
      </c>
      <c r="N8" s="35">
        <f t="shared" ref="N8" si="21">+K8-M8</f>
        <v>0.13750000000000018</v>
      </c>
      <c r="O8" s="56">
        <f t="shared" ref="O8" si="22">+N8/(G8*21)</f>
        <v>5.4275616496598705E-2</v>
      </c>
      <c r="P8" s="1"/>
      <c r="R8" s="25" t="str">
        <f t="shared" si="14"/>
        <v>CL-5-BBT-4</v>
      </c>
      <c r="S8" s="34" t="s">
        <v>5</v>
      </c>
      <c r="AF8">
        <v>5</v>
      </c>
      <c r="AG8">
        <v>4</v>
      </c>
      <c r="AI8" t="s">
        <v>63</v>
      </c>
      <c r="AJ8" s="32">
        <f>453.5924*K41</f>
        <v>2864.4360060000004</v>
      </c>
      <c r="AK8" s="32">
        <f>453.5924*M41</f>
        <v>2698.8747800000001</v>
      </c>
      <c r="AL8" s="32">
        <f t="shared" si="0"/>
        <v>165.56122600000026</v>
      </c>
      <c r="AM8" s="33">
        <f t="shared" si="3"/>
        <v>0.10055096418732799</v>
      </c>
      <c r="AP8" t="s">
        <v>63</v>
      </c>
      <c r="AQ8" s="32">
        <f t="shared" si="4"/>
        <v>1217.8955940000005</v>
      </c>
      <c r="AR8" s="32">
        <f t="shared" si="4"/>
        <v>1052.3343680000003</v>
      </c>
      <c r="AS8" s="32">
        <f t="shared" si="1"/>
        <v>165.56122600000026</v>
      </c>
      <c r="AT8" s="33">
        <f t="shared" si="5"/>
        <v>0.13594040968342661</v>
      </c>
    </row>
    <row r="9" spans="1:46" ht="15.3" x14ac:dyDescent="0.55000000000000004">
      <c r="A9" s="37"/>
      <c r="B9" s="17">
        <v>0.73599999999999999</v>
      </c>
      <c r="C9" s="41"/>
      <c r="D9" s="39"/>
      <c r="E9" s="39"/>
      <c r="F9" s="41"/>
      <c r="G9" s="41"/>
      <c r="H9" s="41"/>
      <c r="I9" s="41"/>
      <c r="J9" s="44"/>
      <c r="K9" s="39"/>
      <c r="L9" s="45"/>
      <c r="M9" s="36"/>
      <c r="N9" s="36"/>
      <c r="O9" s="57"/>
      <c r="P9" s="1"/>
      <c r="R9" s="25" t="str">
        <f t="shared" si="14"/>
        <v>CL-5-BBT-5</v>
      </c>
      <c r="S9" s="34"/>
      <c r="AF9">
        <v>5</v>
      </c>
      <c r="AG9">
        <v>5</v>
      </c>
      <c r="AI9" t="s">
        <v>64</v>
      </c>
      <c r="AJ9" s="32">
        <f>453.5924*K44</f>
        <v>2912.063208</v>
      </c>
      <c r="AK9" s="32">
        <f>453.5924*M44</f>
        <v>2741.966058</v>
      </c>
      <c r="AL9" s="32">
        <f t="shared" si="0"/>
        <v>170.09715000000006</v>
      </c>
      <c r="AM9" s="33">
        <f t="shared" si="3"/>
        <v>0.10330578512396699</v>
      </c>
      <c r="AP9" t="s">
        <v>64</v>
      </c>
      <c r="AQ9" s="32">
        <f t="shared" si="4"/>
        <v>1265.5227960000002</v>
      </c>
      <c r="AR9" s="32">
        <f>+AK9-$AO$2</f>
        <v>1095.4256460000001</v>
      </c>
      <c r="AS9" s="32">
        <f t="shared" si="1"/>
        <v>170.09715000000006</v>
      </c>
      <c r="AT9" s="33">
        <f>+AS9/AQ9</f>
        <v>0.13440860215053765</v>
      </c>
    </row>
    <row r="10" spans="1:46" ht="15.6" thickBot="1" x14ac:dyDescent="0.6">
      <c r="A10" s="37"/>
      <c r="B10" s="17">
        <v>0.82</v>
      </c>
      <c r="C10" s="41"/>
      <c r="D10" s="39"/>
      <c r="E10" s="39"/>
      <c r="F10" s="41"/>
      <c r="G10" s="41"/>
      <c r="H10" s="41"/>
      <c r="I10" s="41"/>
      <c r="J10" s="44"/>
      <c r="K10" s="39"/>
      <c r="L10" s="45"/>
      <c r="M10" s="36"/>
      <c r="N10" s="36"/>
      <c r="O10" s="57"/>
      <c r="P10" s="1"/>
      <c r="R10" s="25" t="str">
        <f t="shared" si="14"/>
        <v>CL-5-BBT-6</v>
      </c>
      <c r="S10" s="34"/>
      <c r="AF10">
        <v>5</v>
      </c>
      <c r="AG10">
        <v>6</v>
      </c>
      <c r="AI10" t="s">
        <v>60</v>
      </c>
      <c r="AJ10" s="32">
        <f>453.5924*K20</f>
        <v>2897.7750473999999</v>
      </c>
      <c r="AK10" s="32">
        <f>453.5924*M20</f>
        <v>2669.3912740000001</v>
      </c>
      <c r="AL10" s="32">
        <f t="shared" si="0"/>
        <v>228.38377339999988</v>
      </c>
      <c r="AM10" s="33">
        <f t="shared" si="3"/>
        <v>0.13870523415977956</v>
      </c>
      <c r="AP10" t="s">
        <v>60</v>
      </c>
      <c r="AQ10" s="32">
        <f t="shared" si="4"/>
        <v>1251.2346354000001</v>
      </c>
      <c r="AR10" s="32">
        <f t="shared" si="4"/>
        <v>1022.8508620000002</v>
      </c>
      <c r="AS10" s="32">
        <f t="shared" si="1"/>
        <v>228.38377339999988</v>
      </c>
      <c r="AT10" s="33">
        <f t="shared" si="5"/>
        <v>0.18252673554467996</v>
      </c>
    </row>
    <row r="11" spans="1:46" ht="15.3" x14ac:dyDescent="0.55000000000000004">
      <c r="A11" s="37" t="s">
        <v>6</v>
      </c>
      <c r="B11" s="17">
        <v>0.79400000000000004</v>
      </c>
      <c r="C11" s="39">
        <f>+AVERAGE(B11:B13)</f>
        <v>0.79900000000000004</v>
      </c>
      <c r="D11" s="39">
        <f>51+1/8</f>
        <v>51.125</v>
      </c>
      <c r="E11" s="39">
        <v>6.1740000000000004</v>
      </c>
      <c r="F11" s="41">
        <f t="shared" ref="F11" si="23">+G11*12</f>
        <v>1.449154034229829</v>
      </c>
      <c r="G11" s="41">
        <f t="shared" ref="G11" si="24">+E11/D11</f>
        <v>0.12076283618581908</v>
      </c>
      <c r="H11" s="41">
        <f t="shared" ref="H11" si="25">0.25*PI()*C11^2*D11</f>
        <v>25.634022490079705</v>
      </c>
      <c r="I11" s="41">
        <f t="shared" ref="I11" si="26">+E11/H11</f>
        <v>0.24085178213404942</v>
      </c>
      <c r="J11" s="44">
        <f t="shared" ref="J11" si="27">+I11*12^3</f>
        <v>416.19187952763741</v>
      </c>
      <c r="K11" s="39">
        <v>6.3724999999999996</v>
      </c>
      <c r="L11" s="45">
        <f>ROUND(G11*21*0.1,4)</f>
        <v>0.25359999999999999</v>
      </c>
      <c r="M11" s="36">
        <v>6.1050000000000004</v>
      </c>
      <c r="N11" s="35">
        <f t="shared" ref="N11" si="28">+K11-M11</f>
        <v>0.26749999999999918</v>
      </c>
      <c r="O11" s="58">
        <f t="shared" ref="O11" si="29">+N11/(G11*21)</f>
        <v>0.10548025899702251</v>
      </c>
      <c r="P11" s="1"/>
      <c r="R11" s="25" t="str">
        <f>+CONCATENATE("CL-",$AF11,"-T-",$AG11)</f>
        <v>CL-10-T-1</v>
      </c>
      <c r="S11" s="34" t="s">
        <v>6</v>
      </c>
      <c r="T11">
        <v>0.69650000000000001</v>
      </c>
      <c r="U11">
        <v>0.70399999999999996</v>
      </c>
      <c r="V11">
        <v>0.67149999999999999</v>
      </c>
      <c r="W11">
        <v>0.67949999999999999</v>
      </c>
      <c r="X11">
        <v>0.64549999999999996</v>
      </c>
      <c r="Y11">
        <v>0.68799999999999994</v>
      </c>
      <c r="Z11">
        <f>+AVERAGE(T11:Y11)</f>
        <v>0.68083333333333329</v>
      </c>
      <c r="AA11">
        <f>0.75*SQRT(1-O11)</f>
        <v>0.70934290319574977</v>
      </c>
      <c r="AF11">
        <v>10</v>
      </c>
      <c r="AG11">
        <v>1</v>
      </c>
      <c r="AI11" t="s">
        <v>61</v>
      </c>
      <c r="AJ11" s="32">
        <f>453.5924*K29</f>
        <v>2891.65155</v>
      </c>
      <c r="AK11" s="32">
        <f>453.5924*M29</f>
        <v>2664.8553499999998</v>
      </c>
      <c r="AL11" s="32">
        <f t="shared" si="0"/>
        <v>226.79620000000023</v>
      </c>
      <c r="AM11" s="33">
        <f t="shared" si="3"/>
        <v>0.13774104683195607</v>
      </c>
      <c r="AP11" t="s">
        <v>61</v>
      </c>
      <c r="AQ11" s="32">
        <f t="shared" si="4"/>
        <v>1245.1111380000002</v>
      </c>
      <c r="AR11" s="32">
        <f t="shared" si="4"/>
        <v>1018.314938</v>
      </c>
      <c r="AS11" s="32">
        <f t="shared" si="1"/>
        <v>226.79620000000023</v>
      </c>
      <c r="AT11" s="33">
        <f t="shared" si="5"/>
        <v>0.18214936247723149</v>
      </c>
    </row>
    <row r="12" spans="1:46" ht="15.3" x14ac:dyDescent="0.55000000000000004">
      <c r="A12" s="37"/>
      <c r="B12" s="17">
        <v>0.80500000000000005</v>
      </c>
      <c r="C12" s="39"/>
      <c r="D12" s="39"/>
      <c r="E12" s="39"/>
      <c r="F12" s="41"/>
      <c r="G12" s="41"/>
      <c r="H12" s="41"/>
      <c r="I12" s="41"/>
      <c r="J12" s="44"/>
      <c r="K12" s="39"/>
      <c r="L12" s="45"/>
      <c r="M12" s="36"/>
      <c r="N12" s="36"/>
      <c r="O12" s="59"/>
      <c r="P12" s="1"/>
      <c r="R12" s="25" t="str">
        <f t="shared" si="2"/>
        <v>CL-10-T-2</v>
      </c>
      <c r="S12" s="34"/>
      <c r="T12">
        <v>0.67700000000000005</v>
      </c>
      <c r="U12">
        <v>0.70399999999999996</v>
      </c>
      <c r="V12">
        <v>0.69299999999999995</v>
      </c>
      <c r="W12">
        <v>0.69499999999999995</v>
      </c>
      <c r="X12">
        <v>0.68700000000000006</v>
      </c>
      <c r="Y12">
        <v>0.69099999999999995</v>
      </c>
      <c r="Z12">
        <f>+AVERAGE(T12:Y12)</f>
        <v>0.6911666666666666</v>
      </c>
      <c r="AA12">
        <f>0.75*SQRT(1-O11)</f>
        <v>0.70934290319574977</v>
      </c>
      <c r="AF12">
        <v>10</v>
      </c>
      <c r="AG12">
        <v>2</v>
      </c>
      <c r="AI12" t="s">
        <v>62</v>
      </c>
      <c r="AJ12" s="32">
        <f>453.5924*K32</f>
        <v>2918.8670939999997</v>
      </c>
      <c r="AK12" s="32">
        <f>453.5924*M32</f>
        <v>2660.319426</v>
      </c>
      <c r="AL12" s="32">
        <f t="shared" si="0"/>
        <v>258.5476679999997</v>
      </c>
      <c r="AM12" s="33">
        <f t="shared" si="3"/>
        <v>0.15702479338842959</v>
      </c>
      <c r="AP12" t="s">
        <v>62</v>
      </c>
      <c r="AQ12" s="32">
        <f t="shared" si="4"/>
        <v>1272.3266819999999</v>
      </c>
      <c r="AR12" s="32">
        <f t="shared" si="4"/>
        <v>1013.7790140000002</v>
      </c>
      <c r="AS12" s="32">
        <f t="shared" si="1"/>
        <v>258.5476679999997</v>
      </c>
      <c r="AT12" s="33">
        <f t="shared" si="5"/>
        <v>0.20320855614973241</v>
      </c>
    </row>
    <row r="13" spans="1:46" ht="15.6" thickBot="1" x14ac:dyDescent="0.6">
      <c r="A13" s="37"/>
      <c r="B13" s="17">
        <v>0.79800000000000004</v>
      </c>
      <c r="C13" s="39"/>
      <c r="D13" s="39"/>
      <c r="E13" s="39"/>
      <c r="F13" s="41"/>
      <c r="G13" s="41"/>
      <c r="H13" s="41"/>
      <c r="I13" s="41"/>
      <c r="J13" s="44"/>
      <c r="K13" s="39"/>
      <c r="L13" s="45"/>
      <c r="M13" s="36"/>
      <c r="N13" s="36"/>
      <c r="O13" s="59"/>
      <c r="P13" s="1"/>
      <c r="R13" s="25" t="str">
        <f t="shared" si="2"/>
        <v>CL-10-T-3</v>
      </c>
      <c r="S13" s="34"/>
      <c r="T13">
        <v>0.69499999999999995</v>
      </c>
      <c r="U13">
        <v>0.68700000000000006</v>
      </c>
      <c r="V13">
        <v>0.68300000000000005</v>
      </c>
      <c r="W13">
        <v>0.68899999999999995</v>
      </c>
      <c r="X13">
        <v>0.69350000000000001</v>
      </c>
      <c r="Y13">
        <v>0.69499999999999995</v>
      </c>
      <c r="Z13">
        <f>+AVERAGE(T13:Y13)</f>
        <v>0.69041666666666679</v>
      </c>
      <c r="AA13">
        <f>+AA11</f>
        <v>0.70934290319574977</v>
      </c>
      <c r="AF13">
        <v>10</v>
      </c>
      <c r="AG13">
        <v>3</v>
      </c>
    </row>
    <row r="14" spans="1:46" ht="15.3" x14ac:dyDescent="0.55000000000000004">
      <c r="A14" s="37" t="s">
        <v>7</v>
      </c>
      <c r="B14" s="17">
        <v>0.81399999999999995</v>
      </c>
      <c r="C14" s="39">
        <f>+AVERAGE(B14:B16)</f>
        <v>0.80100000000000005</v>
      </c>
      <c r="D14" s="39">
        <v>51</v>
      </c>
      <c r="E14" s="39">
        <v>6.4390000000000001</v>
      </c>
      <c r="F14" s="41">
        <f t="shared" ref="F14" si="30">+G14*12</f>
        <v>1.5150588235294118</v>
      </c>
      <c r="G14" s="41">
        <f t="shared" ref="G14" si="31">+E14/D14</f>
        <v>0.12625490196078432</v>
      </c>
      <c r="H14" s="41">
        <f t="shared" ref="H14" si="32">0.25*PI()*C14^2*D14</f>
        <v>25.699524598732282</v>
      </c>
      <c r="I14" s="41">
        <f t="shared" ref="I14" si="33">+E14/H14</f>
        <v>0.25054938177018365</v>
      </c>
      <c r="J14" s="44">
        <f t="shared" ref="J14" si="34">+I14*12^3</f>
        <v>432.94933169887736</v>
      </c>
      <c r="K14" s="39">
        <v>6.3920000000000003</v>
      </c>
      <c r="L14" s="45">
        <f t="shared" ref="L14" si="35">ROUND(G14*21*0.1,4)</f>
        <v>0.2651</v>
      </c>
      <c r="M14" s="36">
        <v>6.32</v>
      </c>
      <c r="N14" s="35">
        <f t="shared" ref="N14" si="36">+K14-M14</f>
        <v>7.2000000000000064E-2</v>
      </c>
      <c r="O14" s="56">
        <f t="shared" ref="O14" si="37">+N14/(G14*21)</f>
        <v>2.7155947019279859E-2</v>
      </c>
      <c r="P14" s="1"/>
      <c r="R14" s="25" t="str">
        <f>+CONCATENATE("CL-",$AF14,"-T-",$AG14)</f>
        <v>CL-3-T-1</v>
      </c>
      <c r="S14" s="34" t="s">
        <v>7</v>
      </c>
      <c r="AF14">
        <v>3</v>
      </c>
      <c r="AG14">
        <v>1</v>
      </c>
      <c r="AI14" s="64" t="s">
        <v>69</v>
      </c>
      <c r="AJ14" s="32">
        <f>453.5924*K38</f>
        <v>2932.474866</v>
      </c>
      <c r="AK14" s="32">
        <f>453.5924*M38</f>
        <v>2689.8029320000001</v>
      </c>
      <c r="AL14" s="32">
        <f t="shared" ref="AL14:AL16" si="38">+AJ14-AK14</f>
        <v>242.67193399999996</v>
      </c>
      <c r="AM14" s="33">
        <f t="shared" ref="AM14:AM16" si="39">+AL14/$AO$2</f>
        <v>0.14738292011019283</v>
      </c>
      <c r="AP14" s="64" t="s">
        <v>69</v>
      </c>
      <c r="AQ14" s="32">
        <f t="shared" si="4"/>
        <v>1285.9344540000002</v>
      </c>
      <c r="AR14" s="32">
        <f t="shared" ref="AR14:AR16" si="40">+AK14-$AO$2</f>
        <v>1043.2625200000002</v>
      </c>
      <c r="AS14" s="32">
        <f t="shared" ref="AS14" si="41">+AQ14-AR14</f>
        <v>242.67193399999996</v>
      </c>
      <c r="AT14" s="33">
        <f t="shared" ref="AT14" si="42">+AS14/AQ14</f>
        <v>0.18871252204585531</v>
      </c>
    </row>
    <row r="15" spans="1:46" ht="15.3" x14ac:dyDescent="0.55000000000000004">
      <c r="A15" s="37"/>
      <c r="B15" s="17">
        <v>0.79600000000000004</v>
      </c>
      <c r="C15" s="39"/>
      <c r="D15" s="39"/>
      <c r="E15" s="39"/>
      <c r="F15" s="41"/>
      <c r="G15" s="41"/>
      <c r="H15" s="41"/>
      <c r="I15" s="41"/>
      <c r="J15" s="44"/>
      <c r="K15" s="39"/>
      <c r="L15" s="45"/>
      <c r="M15" s="36"/>
      <c r="N15" s="36"/>
      <c r="O15" s="57"/>
      <c r="P15" s="1"/>
      <c r="R15" s="25" t="str">
        <f t="shared" si="2"/>
        <v>CL-3-T-2</v>
      </c>
      <c r="S15" s="34"/>
      <c r="AF15">
        <v>3</v>
      </c>
      <c r="AG15">
        <v>2</v>
      </c>
      <c r="AI15" s="64" t="s">
        <v>70</v>
      </c>
      <c r="AJ15" s="32">
        <f>453.5924*K38</f>
        <v>2932.474866</v>
      </c>
      <c r="AK15" s="32">
        <f>453.5924*M38*0.99</f>
        <v>2662.9049026799999</v>
      </c>
      <c r="AL15" s="32">
        <f t="shared" si="38"/>
        <v>269.56996332000017</v>
      </c>
      <c r="AM15" s="33">
        <f t="shared" si="39"/>
        <v>0.16371900826446292</v>
      </c>
      <c r="AP15" s="64" t="s">
        <v>70</v>
      </c>
      <c r="AQ15" s="32">
        <f t="shared" si="4"/>
        <v>1285.9344540000002</v>
      </c>
      <c r="AR15" s="32">
        <f t="shared" si="40"/>
        <v>1016.36449068</v>
      </c>
      <c r="AS15" s="32">
        <f t="shared" ref="AS15:AS16" si="43">+AQ15-AR15</f>
        <v>269.56996332000017</v>
      </c>
      <c r="AT15" s="33">
        <f t="shared" ref="AT15:AT16" si="44">+AS15/AQ15</f>
        <v>0.20962962962962972</v>
      </c>
    </row>
    <row r="16" spans="1:46" ht="15.6" thickBot="1" x14ac:dyDescent="0.6">
      <c r="A16" s="37"/>
      <c r="B16" s="17">
        <v>0.79300000000000004</v>
      </c>
      <c r="C16" s="39"/>
      <c r="D16" s="39"/>
      <c r="E16" s="39"/>
      <c r="F16" s="41"/>
      <c r="G16" s="41"/>
      <c r="H16" s="41"/>
      <c r="I16" s="41"/>
      <c r="J16" s="44"/>
      <c r="K16" s="39"/>
      <c r="L16" s="45"/>
      <c r="M16" s="36"/>
      <c r="N16" s="36"/>
      <c r="O16" s="57"/>
      <c r="P16" s="1"/>
      <c r="R16" s="25" t="str">
        <f t="shared" si="2"/>
        <v>CL-3-T-3</v>
      </c>
      <c r="S16" s="34"/>
      <c r="AF16">
        <v>3</v>
      </c>
      <c r="AG16">
        <v>3</v>
      </c>
      <c r="AI16" s="64" t="s">
        <v>71</v>
      </c>
      <c r="AJ16" s="32">
        <f>453.5924*K26</f>
        <v>2903.6717486000002</v>
      </c>
      <c r="AK16" s="32">
        <f>453.5924*M26</f>
        <v>2794.1291839999999</v>
      </c>
      <c r="AL16" s="32">
        <f t="shared" si="38"/>
        <v>109.54256460000033</v>
      </c>
      <c r="AM16" s="33">
        <f t="shared" si="39"/>
        <v>6.6528925619834922E-2</v>
      </c>
      <c r="AP16" s="64" t="s">
        <v>71</v>
      </c>
      <c r="AQ16" s="32">
        <f>+AJ16-$AO$2</f>
        <v>1257.1313366000004</v>
      </c>
      <c r="AR16" s="32">
        <f>+AK16-$AO$2</f>
        <v>1147.5887720000001</v>
      </c>
      <c r="AS16" s="32">
        <f t="shared" si="43"/>
        <v>109.54256460000033</v>
      </c>
      <c r="AT16" s="33">
        <f t="shared" si="44"/>
        <v>8.7136929460581145E-2</v>
      </c>
    </row>
    <row r="17" spans="1:42" ht="15.3" x14ac:dyDescent="0.55000000000000004">
      <c r="A17" s="37" t="s">
        <v>8</v>
      </c>
      <c r="B17" s="17">
        <v>0.84899999999999998</v>
      </c>
      <c r="C17" s="39">
        <f>+AVERAGE(B17:B19)</f>
        <v>0.83</v>
      </c>
      <c r="D17" s="39">
        <v>51</v>
      </c>
      <c r="E17" s="39">
        <v>6.1260000000000003</v>
      </c>
      <c r="F17" s="41">
        <f t="shared" ref="F17" si="45">+G17*12</f>
        <v>1.4414117647058824</v>
      </c>
      <c r="G17" s="41">
        <f t="shared" ref="G17" si="46">+E17/D17</f>
        <v>0.12011764705882354</v>
      </c>
      <c r="H17" s="41">
        <f t="shared" ref="H17" si="47">0.25*PI()*C17^2*D17</f>
        <v>27.594100532989607</v>
      </c>
      <c r="I17" s="41">
        <f t="shared" ref="I17" si="48">+E17/H17</f>
        <v>0.22200397482339301</v>
      </c>
      <c r="J17" s="44">
        <f t="shared" ref="J17" si="49">+I17*12^3</f>
        <v>383.62286849482314</v>
      </c>
      <c r="K17" s="39">
        <v>6.383</v>
      </c>
      <c r="L17" s="45">
        <f t="shared" ref="L17" si="50">ROUND(G17*21*0.1,4)</f>
        <v>0.25219999999999998</v>
      </c>
      <c r="M17" s="36">
        <v>6.125</v>
      </c>
      <c r="N17" s="35">
        <f t="shared" ref="N17" si="51">+K17-M17</f>
        <v>0.25800000000000001</v>
      </c>
      <c r="O17" s="58">
        <f t="shared" ref="O17" si="52">+N17/(G17*21)</f>
        <v>0.1022806772072198</v>
      </c>
      <c r="P17" s="1"/>
      <c r="R17" s="25" t="str">
        <f>+CONCATENATE("CL-",$AF17,"-BBT-",$AG17)</f>
        <v>CL-10-BBT-1</v>
      </c>
      <c r="S17" s="34" t="s">
        <v>8</v>
      </c>
      <c r="AF17">
        <v>10</v>
      </c>
      <c r="AG17">
        <v>1</v>
      </c>
      <c r="AP17" s="64"/>
    </row>
    <row r="18" spans="1:42" ht="15.3" x14ac:dyDescent="0.55000000000000004">
      <c r="A18" s="37"/>
      <c r="B18" s="17">
        <v>0.82099999999999995</v>
      </c>
      <c r="C18" s="39"/>
      <c r="D18" s="39"/>
      <c r="E18" s="39"/>
      <c r="F18" s="41"/>
      <c r="G18" s="41"/>
      <c r="H18" s="41"/>
      <c r="I18" s="41"/>
      <c r="J18" s="44"/>
      <c r="K18" s="39"/>
      <c r="L18" s="45"/>
      <c r="M18" s="36"/>
      <c r="N18" s="36"/>
      <c r="O18" s="59"/>
      <c r="P18" s="1"/>
      <c r="R18" s="25" t="str">
        <f t="shared" ref="R18:R19" si="53">+CONCATENATE("CL-",$AF18,"-BBT-",$AG18)</f>
        <v>CL-10-BBT-2</v>
      </c>
      <c r="S18" s="34"/>
      <c r="AF18">
        <v>10</v>
      </c>
      <c r="AG18">
        <v>2</v>
      </c>
      <c r="AP18" s="64"/>
    </row>
    <row r="19" spans="1:42" ht="15.6" thickBot="1" x14ac:dyDescent="0.6">
      <c r="A19" s="37"/>
      <c r="B19" s="17">
        <v>0.82</v>
      </c>
      <c r="C19" s="39"/>
      <c r="D19" s="39"/>
      <c r="E19" s="39"/>
      <c r="F19" s="41"/>
      <c r="G19" s="41"/>
      <c r="H19" s="41"/>
      <c r="I19" s="41"/>
      <c r="J19" s="44"/>
      <c r="K19" s="39"/>
      <c r="L19" s="45"/>
      <c r="M19" s="36"/>
      <c r="N19" s="36"/>
      <c r="O19" s="59"/>
      <c r="P19" s="1"/>
      <c r="R19" s="25" t="str">
        <f t="shared" si="53"/>
        <v>CL-10-BBT-3</v>
      </c>
      <c r="S19" s="34"/>
      <c r="AF19">
        <v>10</v>
      </c>
      <c r="AG19">
        <v>3</v>
      </c>
      <c r="AP19" s="64"/>
    </row>
    <row r="20" spans="1:42" ht="15.3" x14ac:dyDescent="0.55000000000000004">
      <c r="A20" s="37" t="s">
        <v>11</v>
      </c>
      <c r="B20" s="17">
        <v>0.8</v>
      </c>
      <c r="C20" s="39">
        <f>+AVERAGE(B20:B22)</f>
        <v>0.79500000000000004</v>
      </c>
      <c r="D20" s="39">
        <f>51+1/16</f>
        <v>51.0625</v>
      </c>
      <c r="E20" s="39">
        <v>6.1505000000000001</v>
      </c>
      <c r="F20" s="41">
        <f t="shared" ref="F20" si="54">+G20*12</f>
        <v>1.4454051407588739</v>
      </c>
      <c r="G20" s="41">
        <f t="shared" ref="G20" si="55">+E20/D20</f>
        <v>0.12045042839657283</v>
      </c>
      <c r="H20" s="41">
        <f t="shared" ref="H20" si="56">0.25*PI()*C20^2*D20</f>
        <v>25.346979439923714</v>
      </c>
      <c r="I20" s="41">
        <f t="shared" ref="I20" si="57">+E20/H20</f>
        <v>0.24265218719956916</v>
      </c>
      <c r="J20" s="44">
        <f t="shared" ref="J20" si="58">+I20*12^3</f>
        <v>419.30297948085553</v>
      </c>
      <c r="K20" s="39">
        <v>6.3884999999999996</v>
      </c>
      <c r="L20" s="45">
        <f>ROUND(G20*21*0.15,4)</f>
        <v>0.37940000000000002</v>
      </c>
      <c r="M20" s="36">
        <v>5.8849999999999998</v>
      </c>
      <c r="N20" s="35">
        <f t="shared" ref="N20" si="59">+K20-M20</f>
        <v>0.50349999999999984</v>
      </c>
      <c r="O20" s="60">
        <f t="shared" ref="O20" si="60">+N20/(G20*21)</f>
        <v>0.1990544225982401</v>
      </c>
      <c r="P20" s="1"/>
      <c r="R20" s="25" t="str">
        <f>+CONCATENATE("CL-",$AF20,"-T-",$AG20)</f>
        <v>CL-20-T-1</v>
      </c>
      <c r="S20" s="34" t="s">
        <v>11</v>
      </c>
      <c r="AF20">
        <v>20</v>
      </c>
      <c r="AG20">
        <v>1</v>
      </c>
    </row>
    <row r="21" spans="1:42" ht="15.3" x14ac:dyDescent="0.55000000000000004">
      <c r="A21" s="37"/>
      <c r="B21" s="17">
        <v>0.79</v>
      </c>
      <c r="C21" s="39"/>
      <c r="D21" s="39"/>
      <c r="E21" s="39"/>
      <c r="F21" s="41"/>
      <c r="G21" s="41"/>
      <c r="H21" s="41"/>
      <c r="I21" s="41"/>
      <c r="J21" s="44"/>
      <c r="K21" s="39"/>
      <c r="L21" s="45"/>
      <c r="M21" s="36"/>
      <c r="N21" s="36"/>
      <c r="O21" s="61"/>
      <c r="P21" s="1"/>
      <c r="R21" s="25" t="str">
        <f t="shared" si="2"/>
        <v>CL-20-T-2</v>
      </c>
      <c r="S21" s="34"/>
      <c r="AF21">
        <v>20</v>
      </c>
      <c r="AG21">
        <v>2</v>
      </c>
    </row>
    <row r="22" spans="1:42" ht="15.6" thickBot="1" x14ac:dyDescent="0.6">
      <c r="A22" s="37"/>
      <c r="B22" s="17">
        <v>0.79500000000000004</v>
      </c>
      <c r="C22" s="39"/>
      <c r="D22" s="39"/>
      <c r="E22" s="39"/>
      <c r="F22" s="41"/>
      <c r="G22" s="41"/>
      <c r="H22" s="41"/>
      <c r="I22" s="41"/>
      <c r="J22" s="44"/>
      <c r="K22" s="39"/>
      <c r="L22" s="45"/>
      <c r="M22" s="36"/>
      <c r="N22" s="36"/>
      <c r="O22" s="61"/>
      <c r="P22" s="1"/>
      <c r="R22" s="25" t="str">
        <f t="shared" si="2"/>
        <v>CL-20-T-3</v>
      </c>
      <c r="S22" s="34"/>
      <c r="AF22">
        <v>20</v>
      </c>
      <c r="AG22">
        <v>3</v>
      </c>
    </row>
    <row r="23" spans="1:42" ht="15.3" x14ac:dyDescent="0.55000000000000004">
      <c r="A23" s="37" t="s">
        <v>9</v>
      </c>
      <c r="B23" s="17">
        <v>0.79600000000000004</v>
      </c>
      <c r="C23" s="39">
        <f>+AVERAGE(B23:B25)</f>
        <v>0.79900000000000004</v>
      </c>
      <c r="D23" s="39">
        <f>51+1/16</f>
        <v>51.0625</v>
      </c>
      <c r="E23" s="39">
        <v>6.1539999999999999</v>
      </c>
      <c r="F23" s="41">
        <f t="shared" ref="F23" si="61">+G23*12</f>
        <v>1.4462276621787025</v>
      </c>
      <c r="G23" s="41">
        <f t="shared" ref="G23" si="62">+E23/D23</f>
        <v>0.12051897184822521</v>
      </c>
      <c r="H23" s="41">
        <f t="shared" ref="H23" si="63">0.25*PI()*C23^2*D23</f>
        <v>25.602685054272762</v>
      </c>
      <c r="I23" s="41">
        <f t="shared" ref="I23" si="64">+E23/H23</f>
        <v>0.24036541428973973</v>
      </c>
      <c r="J23" s="44">
        <f t="shared" ref="J23" si="65">+I23*12^3</f>
        <v>415.35143589267028</v>
      </c>
      <c r="K23" s="39">
        <v>6.4050000000000002</v>
      </c>
      <c r="L23" s="45">
        <f t="shared" ref="L23" si="66">ROUND(G23*21*0.15,4)</f>
        <v>0.37959999999999999</v>
      </c>
      <c r="M23" s="36">
        <v>6.15</v>
      </c>
      <c r="N23" s="35">
        <f t="shared" ref="N23" si="67">+K23-M23</f>
        <v>0.25499999999999989</v>
      </c>
      <c r="O23" s="58">
        <f t="shared" ref="O23" si="68">+N23/(G23*21)</f>
        <v>0.10075473559589578</v>
      </c>
      <c r="P23" s="1"/>
      <c r="R23" s="25" t="str">
        <f>+CONCATENATE("CL-",$AF23,"-BBT-",$AG23)</f>
        <v>CL-10-BBT-4</v>
      </c>
      <c r="S23" s="34" t="s">
        <v>9</v>
      </c>
      <c r="AF23">
        <v>10</v>
      </c>
      <c r="AG23">
        <v>4</v>
      </c>
    </row>
    <row r="24" spans="1:42" ht="15.3" x14ac:dyDescent="0.55000000000000004">
      <c r="A24" s="37"/>
      <c r="B24" s="17">
        <v>0.78700000000000003</v>
      </c>
      <c r="C24" s="39"/>
      <c r="D24" s="39"/>
      <c r="E24" s="39"/>
      <c r="F24" s="41"/>
      <c r="G24" s="41"/>
      <c r="H24" s="41"/>
      <c r="I24" s="41"/>
      <c r="J24" s="44"/>
      <c r="K24" s="39"/>
      <c r="L24" s="45"/>
      <c r="M24" s="36"/>
      <c r="N24" s="36"/>
      <c r="O24" s="59"/>
      <c r="P24" s="1"/>
      <c r="R24" s="25" t="str">
        <f t="shared" ref="R24:R25" si="69">+CONCATENATE("CL-",$AF24,"-BBT-",$AG24)</f>
        <v>CL-10-BBT-5</v>
      </c>
      <c r="S24" s="34"/>
      <c r="AF24">
        <v>10</v>
      </c>
      <c r="AG24">
        <v>5</v>
      </c>
    </row>
    <row r="25" spans="1:42" ht="15.6" thickBot="1" x14ac:dyDescent="0.6">
      <c r="A25" s="37"/>
      <c r="B25" s="17">
        <v>0.81399999999999995</v>
      </c>
      <c r="C25" s="39"/>
      <c r="D25" s="39"/>
      <c r="E25" s="39"/>
      <c r="F25" s="41"/>
      <c r="G25" s="41"/>
      <c r="H25" s="41"/>
      <c r="I25" s="41"/>
      <c r="J25" s="44"/>
      <c r="K25" s="39"/>
      <c r="L25" s="45"/>
      <c r="M25" s="36"/>
      <c r="N25" s="36"/>
      <c r="O25" s="59"/>
      <c r="P25" s="1"/>
      <c r="R25" s="25" t="str">
        <f t="shared" si="69"/>
        <v>CL-10-BBT-6</v>
      </c>
      <c r="S25" s="34"/>
      <c r="AF25">
        <v>10</v>
      </c>
      <c r="AG25">
        <v>6</v>
      </c>
    </row>
    <row r="26" spans="1:42" ht="15.3" x14ac:dyDescent="0.55000000000000004">
      <c r="A26" s="37" t="s">
        <v>10</v>
      </c>
      <c r="B26" s="17">
        <v>0.81899999999999995</v>
      </c>
      <c r="C26" s="39">
        <f>+AVERAGE(B26:B28)</f>
        <v>0.80799999999999994</v>
      </c>
      <c r="D26" s="39">
        <v>51</v>
      </c>
      <c r="E26" s="39">
        <v>6.1459999999999999</v>
      </c>
      <c r="F26" s="41">
        <f t="shared" ref="F26" si="70">+G26*12</f>
        <v>1.4461176470588235</v>
      </c>
      <c r="G26" s="41">
        <f>+E26/D26</f>
        <v>0.12050980392156863</v>
      </c>
      <c r="H26" s="41">
        <f t="shared" ref="H26" si="71">0.25*PI()*C26^2*D26</f>
        <v>26.150667513963892</v>
      </c>
      <c r="I26" s="41">
        <f t="shared" ref="I26" si="72">+E26/H26</f>
        <v>0.23502268141790905</v>
      </c>
      <c r="J26" s="44">
        <f t="shared" ref="J26" si="73">+I26*12^3</f>
        <v>406.11919349014681</v>
      </c>
      <c r="K26" s="39">
        <v>6.4015000000000004</v>
      </c>
      <c r="L26" s="45">
        <f t="shared" ref="L26" si="74">ROUND(G26*21*0.15,4)</f>
        <v>0.37959999999999999</v>
      </c>
      <c r="M26" s="36">
        <v>6.16</v>
      </c>
      <c r="N26" s="35">
        <f t="shared" ref="N26" si="75">+K26-M26</f>
        <v>0.24150000000000027</v>
      </c>
      <c r="O26" s="58">
        <f>+N26/(G26*21)</f>
        <v>9.5427920598763538E-2</v>
      </c>
      <c r="P26" s="1"/>
      <c r="R26" s="65" t="str">
        <f>+CONCATENATE("CL-",$AF26,"-BBT-",$AG26)</f>
        <v>CL-10-BBT-7</v>
      </c>
      <c r="S26" s="34" t="s">
        <v>10</v>
      </c>
      <c r="AF26">
        <v>10</v>
      </c>
      <c r="AG26">
        <v>7</v>
      </c>
    </row>
    <row r="27" spans="1:42" ht="15.3" x14ac:dyDescent="0.55000000000000004">
      <c r="A27" s="37"/>
      <c r="B27" s="17">
        <v>0.79100000000000004</v>
      </c>
      <c r="C27" s="39"/>
      <c r="D27" s="39"/>
      <c r="E27" s="39"/>
      <c r="F27" s="41"/>
      <c r="G27" s="41"/>
      <c r="H27" s="41"/>
      <c r="I27" s="41"/>
      <c r="J27" s="44"/>
      <c r="K27" s="39"/>
      <c r="L27" s="45"/>
      <c r="M27" s="36"/>
      <c r="N27" s="36"/>
      <c r="O27" s="59"/>
      <c r="P27" s="1"/>
      <c r="R27" s="65" t="str">
        <f t="shared" ref="R27:R28" si="76">+CONCATENATE("CL-",$AF27,"-BBT-",$AG27)</f>
        <v>CL-10-BBT-8</v>
      </c>
      <c r="S27" s="34"/>
      <c r="AF27">
        <v>10</v>
      </c>
      <c r="AG27">
        <v>8</v>
      </c>
    </row>
    <row r="28" spans="1:42" ht="15.6" thickBot="1" x14ac:dyDescent="0.6">
      <c r="A28" s="37"/>
      <c r="B28" s="17">
        <v>0.81399999999999995</v>
      </c>
      <c r="C28" s="39"/>
      <c r="D28" s="39"/>
      <c r="E28" s="39"/>
      <c r="F28" s="41"/>
      <c r="G28" s="41"/>
      <c r="H28" s="41"/>
      <c r="I28" s="41"/>
      <c r="J28" s="44"/>
      <c r="K28" s="39"/>
      <c r="L28" s="45"/>
      <c r="M28" s="36"/>
      <c r="N28" s="36"/>
      <c r="O28" s="59"/>
      <c r="P28" s="1"/>
      <c r="R28" s="65" t="str">
        <f t="shared" si="76"/>
        <v>CL-10-BBT-9</v>
      </c>
      <c r="S28" s="34"/>
      <c r="AF28">
        <v>10</v>
      </c>
      <c r="AG28">
        <v>9</v>
      </c>
    </row>
    <row r="29" spans="1:42" ht="15.3" x14ac:dyDescent="0.55000000000000004">
      <c r="A29" s="37" t="s">
        <v>35</v>
      </c>
      <c r="B29" s="17"/>
      <c r="C29" s="18"/>
      <c r="D29" s="18"/>
      <c r="E29" s="18"/>
      <c r="F29" s="19"/>
      <c r="G29" s="51">
        <v>0.121</v>
      </c>
      <c r="H29" s="19"/>
      <c r="I29" s="19"/>
      <c r="J29" s="20"/>
      <c r="K29" s="39">
        <v>6.375</v>
      </c>
      <c r="L29" s="45">
        <f>ROUND(G29*21*0.2,4)</f>
        <v>0.50819999999999999</v>
      </c>
      <c r="M29" s="36">
        <v>5.875</v>
      </c>
      <c r="N29" s="35">
        <f t="shared" ref="N29:N44" si="77">+K29-M29</f>
        <v>0.5</v>
      </c>
      <c r="O29" s="60">
        <f>+N29/(G29*21)</f>
        <v>0.19677292404565133</v>
      </c>
      <c r="P29" s="1"/>
      <c r="R29" s="25" t="str">
        <f>+CONCATENATE("CL-",$AF29,"-BBT-",$AG29)</f>
        <v>CL-20-BBT-1</v>
      </c>
      <c r="S29" s="34" t="s">
        <v>35</v>
      </c>
      <c r="T29">
        <v>0.67049999999999998</v>
      </c>
      <c r="Z29">
        <f>+AVERAGE(T29:Y29)</f>
        <v>0.67049999999999998</v>
      </c>
      <c r="AA29">
        <f>0.75*SQRT(1-O29)</f>
        <v>0.67217202427973843</v>
      </c>
      <c r="AB29">
        <f>+AA29*1/16</f>
        <v>4.2010751517483652E-2</v>
      </c>
      <c r="AC29" s="31">
        <f>+AB29/60</f>
        <v>7.0017919195806088E-4</v>
      </c>
      <c r="AD29" s="31">
        <f>+AC29/10</f>
        <v>7.001791919580609E-5</v>
      </c>
      <c r="AF29">
        <v>20</v>
      </c>
      <c r="AG29">
        <v>1</v>
      </c>
    </row>
    <row r="30" spans="1:42" ht="15.3" x14ac:dyDescent="0.55000000000000004">
      <c r="A30" s="37"/>
      <c r="B30" s="17"/>
      <c r="C30" s="18"/>
      <c r="D30" s="18"/>
      <c r="E30" s="18"/>
      <c r="F30" s="19"/>
      <c r="G30" s="52"/>
      <c r="H30" s="19"/>
      <c r="I30" s="19"/>
      <c r="J30" s="20"/>
      <c r="K30" s="39"/>
      <c r="L30" s="45"/>
      <c r="M30" s="36"/>
      <c r="N30" s="36"/>
      <c r="O30" s="61"/>
      <c r="P30" s="1"/>
      <c r="R30" s="25" t="str">
        <f t="shared" ref="R30:R31" si="78">+CONCATENATE("CL-",$AF30,"-BBT-",$AG30)</f>
        <v>CL-20-BBT-2</v>
      </c>
      <c r="S30" s="34"/>
      <c r="T30">
        <v>0.67</v>
      </c>
      <c r="Z30">
        <f>+AVERAGE(T30:Y30)</f>
        <v>0.67</v>
      </c>
      <c r="AA30">
        <f>0.75*SQRT(1-O29)</f>
        <v>0.67217202427973843</v>
      </c>
      <c r="AB30">
        <f t="shared" ref="AB30:AB31" si="79">+AA30*1/16</f>
        <v>4.2010751517483652E-2</v>
      </c>
      <c r="AF30">
        <v>20</v>
      </c>
      <c r="AG30">
        <v>2</v>
      </c>
    </row>
    <row r="31" spans="1:42" ht="15.6" thickBot="1" x14ac:dyDescent="0.6">
      <c r="A31" s="37"/>
      <c r="B31" s="17"/>
      <c r="C31" s="18"/>
      <c r="D31" s="18"/>
      <c r="E31" s="18"/>
      <c r="F31" s="19"/>
      <c r="G31" s="53"/>
      <c r="H31" s="19"/>
      <c r="I31" s="19"/>
      <c r="J31" s="20"/>
      <c r="K31" s="39"/>
      <c r="L31" s="45"/>
      <c r="M31" s="36"/>
      <c r="N31" s="36"/>
      <c r="O31" s="61"/>
      <c r="P31" s="1"/>
      <c r="R31" s="25" t="str">
        <f t="shared" si="78"/>
        <v>CL-20-BBT-3</v>
      </c>
      <c r="S31" s="34"/>
      <c r="T31">
        <v>0.67</v>
      </c>
      <c r="Z31">
        <f>+AVERAGE(T31:Y31)</f>
        <v>0.67</v>
      </c>
      <c r="AA31">
        <f>+AA29</f>
        <v>0.67217202427973843</v>
      </c>
      <c r="AB31">
        <f t="shared" si="79"/>
        <v>4.2010751517483652E-2</v>
      </c>
      <c r="AF31">
        <v>20</v>
      </c>
      <c r="AG31">
        <v>3</v>
      </c>
    </row>
    <row r="32" spans="1:42" ht="15.3" x14ac:dyDescent="0.55000000000000004">
      <c r="A32" s="37" t="s">
        <v>36</v>
      </c>
      <c r="B32" s="17"/>
      <c r="C32" s="18"/>
      <c r="D32" s="18"/>
      <c r="E32" s="18"/>
      <c r="F32" s="19"/>
      <c r="G32" s="51">
        <v>0.121</v>
      </c>
      <c r="H32" s="19"/>
      <c r="I32" s="19"/>
      <c r="J32" s="20"/>
      <c r="K32" s="39">
        <v>6.4349999999999996</v>
      </c>
      <c r="L32" s="45">
        <f t="shared" ref="L32" si="80">ROUND(G32*21*0.2,4)</f>
        <v>0.50819999999999999</v>
      </c>
      <c r="M32" s="36">
        <v>5.8650000000000002</v>
      </c>
      <c r="N32" s="35">
        <f t="shared" si="77"/>
        <v>0.5699999999999994</v>
      </c>
      <c r="O32" s="60">
        <f t="shared" ref="O32" si="81">+N32/(G32*21)</f>
        <v>0.22432113341204227</v>
      </c>
      <c r="P32" s="1"/>
      <c r="R32" s="25" t="str">
        <f>+CONCATENATE("CL-",$AF32,"-BBT-",$AG32)</f>
        <v>CL-20-BBT-4</v>
      </c>
      <c r="S32" s="34" t="s">
        <v>36</v>
      </c>
      <c r="AF32">
        <v>20</v>
      </c>
      <c r="AG32">
        <v>4</v>
      </c>
    </row>
    <row r="33" spans="1:33" ht="15.3" x14ac:dyDescent="0.55000000000000004">
      <c r="A33" s="37"/>
      <c r="B33" s="17"/>
      <c r="C33" s="18"/>
      <c r="D33" s="18"/>
      <c r="E33" s="18"/>
      <c r="F33" s="19"/>
      <c r="G33" s="52"/>
      <c r="H33" s="19"/>
      <c r="I33" s="19"/>
      <c r="J33" s="20"/>
      <c r="K33" s="39"/>
      <c r="L33" s="45"/>
      <c r="M33" s="36"/>
      <c r="N33" s="36"/>
      <c r="O33" s="61"/>
      <c r="P33" s="1"/>
      <c r="R33" s="25" t="str">
        <f t="shared" ref="R33:R46" si="82">+CONCATENATE("CL-",$AF33,"-BBT-",$AG33)</f>
        <v>CL-20-BBT-5</v>
      </c>
      <c r="S33" s="34"/>
      <c r="AF33">
        <v>20</v>
      </c>
      <c r="AG33">
        <v>5</v>
      </c>
    </row>
    <row r="34" spans="1:33" ht="15.6" thickBot="1" x14ac:dyDescent="0.6">
      <c r="A34" s="37"/>
      <c r="B34" s="17"/>
      <c r="C34" s="18"/>
      <c r="D34" s="18"/>
      <c r="E34" s="18"/>
      <c r="F34" s="19"/>
      <c r="G34" s="53"/>
      <c r="H34" s="19"/>
      <c r="I34" s="19"/>
      <c r="J34" s="20"/>
      <c r="K34" s="39"/>
      <c r="L34" s="45"/>
      <c r="M34" s="36"/>
      <c r="N34" s="36"/>
      <c r="O34" s="61"/>
      <c r="P34" s="1"/>
      <c r="R34" s="25" t="str">
        <f t="shared" si="82"/>
        <v>CL-20-BBT-6</v>
      </c>
      <c r="S34" s="34"/>
      <c r="AF34">
        <v>20</v>
      </c>
      <c r="AG34">
        <v>6</v>
      </c>
    </row>
    <row r="35" spans="1:33" ht="15.3" x14ac:dyDescent="0.55000000000000004">
      <c r="A35" s="37" t="s">
        <v>37</v>
      </c>
      <c r="B35" s="17"/>
      <c r="C35" s="18"/>
      <c r="D35" s="18"/>
      <c r="E35" s="18"/>
      <c r="F35" s="19"/>
      <c r="G35" s="51">
        <v>0.121</v>
      </c>
      <c r="H35" s="19"/>
      <c r="I35" s="19"/>
      <c r="J35" s="20"/>
      <c r="K35" s="39">
        <v>6.375</v>
      </c>
      <c r="L35" s="45">
        <f t="shared" ref="L35" si="83">ROUND(G35*21*0.2,4)</f>
        <v>0.50819999999999999</v>
      </c>
      <c r="M35" s="36">
        <v>6.1550000000000002</v>
      </c>
      <c r="N35" s="35">
        <f t="shared" si="77"/>
        <v>0.21999999999999975</v>
      </c>
      <c r="O35" s="58">
        <f t="shared" ref="O35" si="84">+N35/(G35*21)</f>
        <v>8.6580086580086479E-2</v>
      </c>
      <c r="P35" s="1"/>
      <c r="R35" s="65" t="str">
        <f t="shared" si="82"/>
        <v>CL-10-BBT-10</v>
      </c>
      <c r="S35" s="34" t="s">
        <v>37</v>
      </c>
      <c r="AF35">
        <v>10</v>
      </c>
      <c r="AG35">
        <v>10</v>
      </c>
    </row>
    <row r="36" spans="1:33" ht="15.3" x14ac:dyDescent="0.55000000000000004">
      <c r="A36" s="37"/>
      <c r="B36" s="17"/>
      <c r="C36" s="18"/>
      <c r="D36" s="18"/>
      <c r="E36" s="18"/>
      <c r="F36" s="19"/>
      <c r="G36" s="52"/>
      <c r="H36" s="19"/>
      <c r="I36" s="19"/>
      <c r="J36" s="20"/>
      <c r="K36" s="39"/>
      <c r="L36" s="45"/>
      <c r="M36" s="36"/>
      <c r="N36" s="36"/>
      <c r="O36" s="59"/>
      <c r="P36" s="1"/>
      <c r="R36" s="65" t="str">
        <f t="shared" si="82"/>
        <v>CL-10-BBT-11</v>
      </c>
      <c r="S36" s="34"/>
      <c r="AF36">
        <v>10</v>
      </c>
      <c r="AG36">
        <v>11</v>
      </c>
    </row>
    <row r="37" spans="1:33" ht="15.6" thickBot="1" x14ac:dyDescent="0.6">
      <c r="A37" s="37"/>
      <c r="B37" s="17"/>
      <c r="C37" s="18"/>
      <c r="D37" s="18"/>
      <c r="E37" s="18"/>
      <c r="F37" s="19"/>
      <c r="G37" s="53"/>
      <c r="H37" s="19"/>
      <c r="I37" s="19"/>
      <c r="J37" s="20"/>
      <c r="K37" s="39"/>
      <c r="L37" s="45"/>
      <c r="M37" s="36"/>
      <c r="N37" s="36"/>
      <c r="O37" s="59"/>
      <c r="P37" s="1"/>
      <c r="R37" s="65" t="str">
        <f t="shared" si="82"/>
        <v>CL-10-BBT-12</v>
      </c>
      <c r="S37" s="34"/>
      <c r="AF37">
        <v>10</v>
      </c>
      <c r="AG37">
        <v>12</v>
      </c>
    </row>
    <row r="38" spans="1:33" ht="15.3" x14ac:dyDescent="0.55000000000000004">
      <c r="A38" s="37" t="s">
        <v>38</v>
      </c>
      <c r="B38" s="17"/>
      <c r="C38" s="18"/>
      <c r="D38" s="18"/>
      <c r="E38" s="18"/>
      <c r="F38" s="19"/>
      <c r="G38" s="51">
        <v>0.121</v>
      </c>
      <c r="H38" s="19"/>
      <c r="I38" s="19"/>
      <c r="J38" s="20"/>
      <c r="K38" s="39">
        <v>6.4649999999999999</v>
      </c>
      <c r="L38" s="45">
        <f>ROUND(G38*21*0.25,4)</f>
        <v>0.63529999999999998</v>
      </c>
      <c r="M38" s="36">
        <v>5.93</v>
      </c>
      <c r="N38" s="35">
        <f t="shared" si="77"/>
        <v>0.53500000000000014</v>
      </c>
      <c r="O38" s="60">
        <f t="shared" ref="O38" si="85">+N38/(G38*21)</f>
        <v>0.21054702872884698</v>
      </c>
      <c r="P38" s="1"/>
      <c r="R38" s="65" t="str">
        <f t="shared" si="82"/>
        <v>CL-20-BBT-7</v>
      </c>
      <c r="S38" s="34" t="s">
        <v>38</v>
      </c>
      <c r="AF38">
        <v>20</v>
      </c>
      <c r="AG38">
        <v>7</v>
      </c>
    </row>
    <row r="39" spans="1:33" ht="15.3" x14ac:dyDescent="0.55000000000000004">
      <c r="A39" s="37"/>
      <c r="B39" s="17"/>
      <c r="C39" s="18"/>
      <c r="D39" s="18"/>
      <c r="E39" s="18"/>
      <c r="F39" s="19"/>
      <c r="G39" s="52"/>
      <c r="H39" s="19"/>
      <c r="I39" s="19"/>
      <c r="J39" s="20"/>
      <c r="K39" s="39"/>
      <c r="L39" s="45"/>
      <c r="M39" s="36"/>
      <c r="N39" s="36"/>
      <c r="O39" s="61"/>
      <c r="P39" s="1"/>
      <c r="R39" s="65" t="str">
        <f t="shared" si="82"/>
        <v>CL-20-BBT-8</v>
      </c>
      <c r="S39" s="34"/>
      <c r="AF39">
        <v>20</v>
      </c>
      <c r="AG39">
        <v>8</v>
      </c>
    </row>
    <row r="40" spans="1:33" ht="15.6" thickBot="1" x14ac:dyDescent="0.6">
      <c r="A40" s="37"/>
      <c r="B40" s="17"/>
      <c r="C40" s="18"/>
      <c r="D40" s="18"/>
      <c r="E40" s="18"/>
      <c r="F40" s="19"/>
      <c r="G40" s="53"/>
      <c r="H40" s="19"/>
      <c r="I40" s="19"/>
      <c r="J40" s="20"/>
      <c r="K40" s="39"/>
      <c r="L40" s="45"/>
      <c r="M40" s="36"/>
      <c r="N40" s="36"/>
      <c r="O40" s="61"/>
      <c r="P40" s="1"/>
      <c r="R40" s="65" t="str">
        <f t="shared" si="82"/>
        <v>CL-20-BBT-9</v>
      </c>
      <c r="S40" s="34"/>
      <c r="AF40">
        <v>20</v>
      </c>
      <c r="AG40">
        <v>9</v>
      </c>
    </row>
    <row r="41" spans="1:33" ht="15.3" x14ac:dyDescent="0.55000000000000004">
      <c r="A41" s="37" t="s">
        <v>39</v>
      </c>
      <c r="B41" s="17"/>
      <c r="C41" s="18"/>
      <c r="D41" s="18"/>
      <c r="E41" s="18"/>
      <c r="F41" s="19"/>
      <c r="G41" s="51">
        <v>0.121</v>
      </c>
      <c r="H41" s="19"/>
      <c r="I41" s="19"/>
      <c r="J41" s="20"/>
      <c r="K41" s="39">
        <v>6.3150000000000004</v>
      </c>
      <c r="L41" s="45">
        <f t="shared" ref="L41" si="86">ROUND(G41*21*0.25,4)</f>
        <v>0.63529999999999998</v>
      </c>
      <c r="M41" s="36">
        <v>5.95</v>
      </c>
      <c r="N41" s="35">
        <f t="shared" si="77"/>
        <v>0.36500000000000021</v>
      </c>
      <c r="O41" s="62">
        <f t="shared" ref="O41" si="87">+N41/(G41*21)</f>
        <v>0.14364423455332556</v>
      </c>
      <c r="P41" s="1"/>
      <c r="R41" s="25" t="str">
        <f t="shared" si="82"/>
        <v>CL-15-BBT-1</v>
      </c>
      <c r="S41" s="34" t="s">
        <v>39</v>
      </c>
      <c r="AF41">
        <v>15</v>
      </c>
      <c r="AG41">
        <v>1</v>
      </c>
    </row>
    <row r="42" spans="1:33" ht="15.3" x14ac:dyDescent="0.55000000000000004">
      <c r="A42" s="37"/>
      <c r="B42" s="17"/>
      <c r="C42" s="18"/>
      <c r="D42" s="18"/>
      <c r="E42" s="18"/>
      <c r="F42" s="19"/>
      <c r="G42" s="52"/>
      <c r="H42" s="19"/>
      <c r="I42" s="19"/>
      <c r="J42" s="20"/>
      <c r="K42" s="39"/>
      <c r="L42" s="45"/>
      <c r="M42" s="36"/>
      <c r="N42" s="36"/>
      <c r="O42" s="63"/>
      <c r="P42" s="1"/>
      <c r="R42" s="25" t="str">
        <f t="shared" si="82"/>
        <v>CL-15-BBT-2</v>
      </c>
      <c r="S42" s="34"/>
      <c r="AF42">
        <v>15</v>
      </c>
      <c r="AG42">
        <v>2</v>
      </c>
    </row>
    <row r="43" spans="1:33" ht="15.6" thickBot="1" x14ac:dyDescent="0.6">
      <c r="A43" s="47"/>
      <c r="B43" s="21"/>
      <c r="C43" s="22"/>
      <c r="D43" s="22"/>
      <c r="E43" s="22"/>
      <c r="F43" s="23"/>
      <c r="G43" s="53"/>
      <c r="H43" s="23"/>
      <c r="I43" s="23"/>
      <c r="J43" s="24"/>
      <c r="K43" s="49"/>
      <c r="L43" s="45"/>
      <c r="M43" s="54"/>
      <c r="N43" s="36"/>
      <c r="O43" s="63"/>
      <c r="P43" s="1"/>
      <c r="R43" s="25" t="str">
        <f t="shared" si="82"/>
        <v>CL-15-BBT-3</v>
      </c>
      <c r="S43" s="34"/>
      <c r="AF43">
        <v>15</v>
      </c>
      <c r="AG43">
        <v>3</v>
      </c>
    </row>
    <row r="44" spans="1:33" ht="15.3" x14ac:dyDescent="0.55000000000000004">
      <c r="A44" s="48" t="s">
        <v>40</v>
      </c>
      <c r="B44" s="1"/>
      <c r="C44" s="11"/>
      <c r="D44" s="11"/>
      <c r="E44" s="11"/>
      <c r="F44" s="13"/>
      <c r="G44" s="51">
        <v>0.121</v>
      </c>
      <c r="H44" s="13"/>
      <c r="I44" s="13"/>
      <c r="J44" s="12"/>
      <c r="K44" s="50">
        <v>6.42</v>
      </c>
      <c r="L44" s="45">
        <f t="shared" ref="L44" si="88">ROUND(G44*21*0.25,4)</f>
        <v>0.63529999999999998</v>
      </c>
      <c r="M44" s="55">
        <v>6.0449999999999999</v>
      </c>
      <c r="N44" s="35">
        <f t="shared" si="77"/>
        <v>0.375</v>
      </c>
      <c r="O44" s="62">
        <f t="shared" ref="O44" si="89">+N44/(G44*21)</f>
        <v>0.14757969303423848</v>
      </c>
      <c r="P44" s="1"/>
      <c r="R44" s="25" t="str">
        <f t="shared" si="82"/>
        <v>CL-15-BBT-4</v>
      </c>
      <c r="S44" s="34" t="s">
        <v>40</v>
      </c>
      <c r="AF44">
        <v>15</v>
      </c>
      <c r="AG44">
        <v>4</v>
      </c>
    </row>
    <row r="45" spans="1:33" ht="15.3" x14ac:dyDescent="0.55000000000000004">
      <c r="A45" s="48"/>
      <c r="B45" s="1"/>
      <c r="C45" s="11"/>
      <c r="D45" s="11"/>
      <c r="E45" s="11"/>
      <c r="F45" s="13"/>
      <c r="G45" s="52"/>
      <c r="H45" s="13"/>
      <c r="I45" s="13"/>
      <c r="J45" s="12"/>
      <c r="K45" s="50"/>
      <c r="L45" s="45"/>
      <c r="M45" s="55"/>
      <c r="N45" s="36"/>
      <c r="O45" s="63"/>
      <c r="P45" s="1"/>
      <c r="R45" s="25" t="str">
        <f t="shared" si="82"/>
        <v>CL-15-BBT-5</v>
      </c>
      <c r="S45" s="34"/>
      <c r="AF45">
        <v>15</v>
      </c>
      <c r="AG45">
        <v>5</v>
      </c>
    </row>
    <row r="46" spans="1:33" ht="15.6" thickBot="1" x14ac:dyDescent="0.6">
      <c r="A46" s="48"/>
      <c r="B46" s="1"/>
      <c r="C46" s="11"/>
      <c r="D46" s="11"/>
      <c r="E46" s="11"/>
      <c r="F46" s="13"/>
      <c r="G46" s="53"/>
      <c r="H46" s="13"/>
      <c r="I46" s="13"/>
      <c r="J46" s="12"/>
      <c r="K46" s="50"/>
      <c r="L46" s="45"/>
      <c r="M46" s="14"/>
      <c r="N46" s="36"/>
      <c r="O46" s="63"/>
      <c r="P46" s="1"/>
      <c r="R46" s="25" t="str">
        <f t="shared" si="82"/>
        <v>CL-15-BBT-6</v>
      </c>
      <c r="S46" s="34"/>
      <c r="AF46">
        <v>15</v>
      </c>
      <c r="AG46">
        <v>6</v>
      </c>
    </row>
    <row r="47" spans="1:33" ht="15.3" x14ac:dyDescent="0.55000000000000004">
      <c r="A47" s="2" t="s">
        <v>18</v>
      </c>
      <c r="B47" s="2"/>
      <c r="C47" s="3">
        <f>AVERAGE(C2:C28)</f>
        <v>0.80629629629629629</v>
      </c>
      <c r="D47" s="3">
        <f>AVERAGE(D2:D28)</f>
        <v>51.034722222222221</v>
      </c>
      <c r="E47" s="3">
        <f>AVERAGE(E2:E28)</f>
        <v>6.1836666666666673</v>
      </c>
      <c r="F47" s="3">
        <f>AVERAGE(F2:F28)</f>
        <v>1.4539969115318172</v>
      </c>
      <c r="G47" s="2"/>
      <c r="H47" s="2"/>
      <c r="I47" s="2"/>
      <c r="J47" s="4">
        <f>AVERAGE(J2:J28)</f>
        <v>410.28608160427189</v>
      </c>
      <c r="K47" s="3">
        <f>AVERAGE(K2:K46)</f>
        <v>6.3722941176470602</v>
      </c>
      <c r="L47" s="5"/>
      <c r="M47" s="5"/>
      <c r="N47" s="5"/>
      <c r="O47" s="5"/>
      <c r="P47" s="5"/>
    </row>
  </sheetData>
  <mergeCells count="183">
    <mergeCell ref="L29:L31"/>
    <mergeCell ref="L32:L34"/>
    <mergeCell ref="L35:L37"/>
    <mergeCell ref="L38:L40"/>
    <mergeCell ref="L41:L43"/>
    <mergeCell ref="L44:L46"/>
    <mergeCell ref="O2:O4"/>
    <mergeCell ref="O5:O7"/>
    <mergeCell ref="O8:O10"/>
    <mergeCell ref="O11:O13"/>
    <mergeCell ref="O14:O16"/>
    <mergeCell ref="O17:O19"/>
    <mergeCell ref="O20:O22"/>
    <mergeCell ref="O23:O25"/>
    <mergeCell ref="O26:O28"/>
    <mergeCell ref="O29:O31"/>
    <mergeCell ref="O32:O34"/>
    <mergeCell ref="O35:O37"/>
    <mergeCell ref="O38:O40"/>
    <mergeCell ref="O41:O43"/>
    <mergeCell ref="O44:O46"/>
    <mergeCell ref="N29:N31"/>
    <mergeCell ref="N32:N34"/>
    <mergeCell ref="N35:N37"/>
    <mergeCell ref="N38:N40"/>
    <mergeCell ref="N41:N43"/>
    <mergeCell ref="N44:N46"/>
    <mergeCell ref="M29:M31"/>
    <mergeCell ref="M32:M34"/>
    <mergeCell ref="M35:M37"/>
    <mergeCell ref="M38:M40"/>
    <mergeCell ref="M41:M43"/>
    <mergeCell ref="M44:M45"/>
    <mergeCell ref="A29:A31"/>
    <mergeCell ref="A32:A34"/>
    <mergeCell ref="A35:A37"/>
    <mergeCell ref="A38:A40"/>
    <mergeCell ref="A41:A43"/>
    <mergeCell ref="A44:A46"/>
    <mergeCell ref="K29:K31"/>
    <mergeCell ref="K32:K34"/>
    <mergeCell ref="K35:K37"/>
    <mergeCell ref="K38:K40"/>
    <mergeCell ref="K41:K43"/>
    <mergeCell ref="K44:K46"/>
    <mergeCell ref="G29:G31"/>
    <mergeCell ref="G32:G34"/>
    <mergeCell ref="G35:G37"/>
    <mergeCell ref="G38:G40"/>
    <mergeCell ref="G41:G43"/>
    <mergeCell ref="G44:G46"/>
    <mergeCell ref="L20:L22"/>
    <mergeCell ref="L23:L25"/>
    <mergeCell ref="L26:L28"/>
    <mergeCell ref="L17:L19"/>
    <mergeCell ref="K17:K19"/>
    <mergeCell ref="K20:K22"/>
    <mergeCell ref="K23:K25"/>
    <mergeCell ref="K26:K28"/>
    <mergeCell ref="L2:L4"/>
    <mergeCell ref="L5:L7"/>
    <mergeCell ref="L8:L10"/>
    <mergeCell ref="L11:L13"/>
    <mergeCell ref="L14:L16"/>
    <mergeCell ref="K2:K4"/>
    <mergeCell ref="K5:K7"/>
    <mergeCell ref="K8:K10"/>
    <mergeCell ref="K11:K13"/>
    <mergeCell ref="K14:K16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H23:H25"/>
    <mergeCell ref="H26:H28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H17:H19"/>
    <mergeCell ref="H20:H22"/>
    <mergeCell ref="H2:H4"/>
    <mergeCell ref="H5:H7"/>
    <mergeCell ref="H8:H10"/>
    <mergeCell ref="H11:H13"/>
    <mergeCell ref="H14:H16"/>
    <mergeCell ref="C26:C28"/>
    <mergeCell ref="D23:D25"/>
    <mergeCell ref="E20:E22"/>
    <mergeCell ref="F20:F22"/>
    <mergeCell ref="G20:G22"/>
    <mergeCell ref="E23:E25"/>
    <mergeCell ref="F23:F25"/>
    <mergeCell ref="G23:G25"/>
    <mergeCell ref="D20:D22"/>
    <mergeCell ref="E26:E28"/>
    <mergeCell ref="F26:F28"/>
    <mergeCell ref="G26:G28"/>
    <mergeCell ref="E2:E4"/>
    <mergeCell ref="F2:F4"/>
    <mergeCell ref="G2:G4"/>
    <mergeCell ref="E5:E7"/>
    <mergeCell ref="F5:F7"/>
    <mergeCell ref="G5:G7"/>
    <mergeCell ref="E17:E19"/>
    <mergeCell ref="F17:F19"/>
    <mergeCell ref="G17:G19"/>
    <mergeCell ref="F8:F10"/>
    <mergeCell ref="G8:G10"/>
    <mergeCell ref="E11:E13"/>
    <mergeCell ref="F11:F13"/>
    <mergeCell ref="G11:G13"/>
    <mergeCell ref="E8:E10"/>
    <mergeCell ref="E14:E16"/>
    <mergeCell ref="F14:F16"/>
    <mergeCell ref="G14:G16"/>
    <mergeCell ref="A20:A22"/>
    <mergeCell ref="A23:A25"/>
    <mergeCell ref="A26:A28"/>
    <mergeCell ref="D2:D4"/>
    <mergeCell ref="D5:D7"/>
    <mergeCell ref="D8:D10"/>
    <mergeCell ref="D11:D13"/>
    <mergeCell ref="D14:D16"/>
    <mergeCell ref="D17:D19"/>
    <mergeCell ref="A2:A4"/>
    <mergeCell ref="A5:A7"/>
    <mergeCell ref="A8:A10"/>
    <mergeCell ref="A11:A13"/>
    <mergeCell ref="A14:A16"/>
    <mergeCell ref="A17:A19"/>
    <mergeCell ref="D26:D28"/>
    <mergeCell ref="C17:C19"/>
    <mergeCell ref="C2:C4"/>
    <mergeCell ref="C5:C7"/>
    <mergeCell ref="C8:C10"/>
    <mergeCell ref="C11:C13"/>
    <mergeCell ref="C14:C16"/>
    <mergeCell ref="C20:C22"/>
    <mergeCell ref="C23:C25"/>
    <mergeCell ref="N17:N19"/>
    <mergeCell ref="N20:N22"/>
    <mergeCell ref="N23:N25"/>
    <mergeCell ref="N26:N28"/>
    <mergeCell ref="M2:M4"/>
    <mergeCell ref="M5:M7"/>
    <mergeCell ref="M8:M10"/>
    <mergeCell ref="M11:M13"/>
    <mergeCell ref="M14:M16"/>
    <mergeCell ref="M17:M19"/>
    <mergeCell ref="M20:M22"/>
    <mergeCell ref="M23:M25"/>
    <mergeCell ref="M26:M28"/>
    <mergeCell ref="N2:N4"/>
    <mergeCell ref="N5:N7"/>
    <mergeCell ref="N8:N10"/>
    <mergeCell ref="N11:N13"/>
    <mergeCell ref="N14:N16"/>
    <mergeCell ref="S29:S31"/>
    <mergeCell ref="S32:S34"/>
    <mergeCell ref="S35:S37"/>
    <mergeCell ref="S38:S40"/>
    <mergeCell ref="S41:S43"/>
    <mergeCell ref="S44:S46"/>
    <mergeCell ref="S2:S4"/>
    <mergeCell ref="S5:S7"/>
    <mergeCell ref="S8:S10"/>
    <mergeCell ref="S11:S13"/>
    <mergeCell ref="S14:S16"/>
    <mergeCell ref="S17:S19"/>
    <mergeCell ref="S20:S22"/>
    <mergeCell ref="S23:S25"/>
    <mergeCell ref="S26:S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30"/>
  <sheetViews>
    <sheetView workbookViewId="0">
      <selection activeCell="E9" sqref="E9"/>
    </sheetView>
  </sheetViews>
  <sheetFormatPr defaultRowHeight="14.4" x14ac:dyDescent="0.55000000000000004"/>
  <sheetData>
    <row r="3" spans="4:6" x14ac:dyDescent="0.55000000000000004">
      <c r="D3">
        <v>0.75</v>
      </c>
    </row>
    <row r="5" spans="4:6" x14ac:dyDescent="0.55000000000000004">
      <c r="D5" t="s">
        <v>52</v>
      </c>
      <c r="E5" t="s">
        <v>53</v>
      </c>
    </row>
    <row r="6" spans="4:6" x14ac:dyDescent="0.55000000000000004">
      <c r="D6">
        <v>0</v>
      </c>
      <c r="E6">
        <f>SQRT(1-D6/100)</f>
        <v>1</v>
      </c>
      <c r="F6">
        <f>+(1-0.005*D6)</f>
        <v>1</v>
      </c>
    </row>
    <row r="7" spans="4:6" x14ac:dyDescent="0.55000000000000004">
      <c r="D7">
        <v>5</v>
      </c>
      <c r="E7">
        <f t="shared" ref="E7:E30" si="0">SQRT(1-D7/100)</f>
        <v>0.97467943448089633</v>
      </c>
      <c r="F7">
        <f>+(1-0.014*D7)</f>
        <v>0.92999999999999994</v>
      </c>
    </row>
    <row r="8" spans="4:6" x14ac:dyDescent="0.55000000000000004">
      <c r="D8">
        <v>10</v>
      </c>
      <c r="E8">
        <f t="shared" si="0"/>
        <v>0.94868329805051377</v>
      </c>
      <c r="F8">
        <f t="shared" ref="F8:F10" si="1">+(1-0.014*D8)</f>
        <v>0.86</v>
      </c>
    </row>
    <row r="9" spans="4:6" x14ac:dyDescent="0.55000000000000004">
      <c r="D9">
        <v>15</v>
      </c>
      <c r="E9">
        <f t="shared" si="0"/>
        <v>0.92195444572928875</v>
      </c>
      <c r="F9">
        <f t="shared" si="1"/>
        <v>0.79</v>
      </c>
    </row>
    <row r="10" spans="4:6" x14ac:dyDescent="0.55000000000000004">
      <c r="D10">
        <v>20</v>
      </c>
      <c r="E10">
        <f t="shared" si="0"/>
        <v>0.89442719099991586</v>
      </c>
      <c r="F10">
        <f t="shared" si="1"/>
        <v>0.72</v>
      </c>
    </row>
    <row r="11" spans="4:6" x14ac:dyDescent="0.55000000000000004">
      <c r="D11">
        <v>25</v>
      </c>
      <c r="E11">
        <f t="shared" si="0"/>
        <v>0.8660254037844386</v>
      </c>
      <c r="F11">
        <f>+(1-0.014*D11)</f>
        <v>0.64999999999999991</v>
      </c>
    </row>
    <row r="12" spans="4:6" x14ac:dyDescent="0.55000000000000004">
      <c r="D12">
        <v>30</v>
      </c>
      <c r="E12">
        <f t="shared" si="0"/>
        <v>0.83666002653407556</v>
      </c>
      <c r="F12">
        <f t="shared" ref="F12:F30" si="2">+(1-0.015*D12)</f>
        <v>0.55000000000000004</v>
      </c>
    </row>
    <row r="13" spans="4:6" x14ac:dyDescent="0.55000000000000004">
      <c r="D13">
        <v>35</v>
      </c>
      <c r="E13">
        <f t="shared" si="0"/>
        <v>0.80622577482985502</v>
      </c>
      <c r="F13">
        <f t="shared" si="2"/>
        <v>0.47499999999999998</v>
      </c>
    </row>
    <row r="14" spans="4:6" x14ac:dyDescent="0.55000000000000004">
      <c r="D14">
        <v>40</v>
      </c>
      <c r="E14">
        <f t="shared" si="0"/>
        <v>0.7745966692414834</v>
      </c>
      <c r="F14">
        <f t="shared" si="2"/>
        <v>0.4</v>
      </c>
    </row>
    <row r="15" spans="4:6" x14ac:dyDescent="0.55000000000000004">
      <c r="D15">
        <v>45</v>
      </c>
      <c r="E15">
        <f t="shared" si="0"/>
        <v>0.74161984870956632</v>
      </c>
      <c r="F15">
        <f t="shared" si="2"/>
        <v>0.32500000000000007</v>
      </c>
    </row>
    <row r="16" spans="4:6" x14ac:dyDescent="0.55000000000000004">
      <c r="D16">
        <v>50</v>
      </c>
      <c r="E16">
        <f t="shared" si="0"/>
        <v>0.70710678118654757</v>
      </c>
      <c r="F16">
        <f t="shared" si="2"/>
        <v>0.25</v>
      </c>
    </row>
    <row r="17" spans="4:6" x14ac:dyDescent="0.55000000000000004">
      <c r="D17">
        <v>55</v>
      </c>
      <c r="E17">
        <f t="shared" si="0"/>
        <v>0.67082039324993692</v>
      </c>
      <c r="F17">
        <f t="shared" si="2"/>
        <v>0.17500000000000004</v>
      </c>
    </row>
    <row r="18" spans="4:6" x14ac:dyDescent="0.55000000000000004">
      <c r="D18">
        <v>60</v>
      </c>
      <c r="E18">
        <f t="shared" si="0"/>
        <v>0.63245553203367588</v>
      </c>
      <c r="F18">
        <f t="shared" si="2"/>
        <v>0.10000000000000009</v>
      </c>
    </row>
    <row r="19" spans="4:6" x14ac:dyDescent="0.55000000000000004">
      <c r="D19">
        <v>65</v>
      </c>
      <c r="E19">
        <f t="shared" si="0"/>
        <v>0.59160797830996159</v>
      </c>
      <c r="F19">
        <f t="shared" si="2"/>
        <v>2.5000000000000022E-2</v>
      </c>
    </row>
    <row r="20" spans="4:6" x14ac:dyDescent="0.55000000000000004">
      <c r="D20">
        <v>70</v>
      </c>
      <c r="E20">
        <f t="shared" si="0"/>
        <v>0.54772255750516619</v>
      </c>
      <c r="F20">
        <f t="shared" si="2"/>
        <v>-5.0000000000000044E-2</v>
      </c>
    </row>
    <row r="21" spans="4:6" x14ac:dyDescent="0.55000000000000004">
      <c r="D21">
        <v>75</v>
      </c>
      <c r="E21">
        <f t="shared" si="0"/>
        <v>0.5</v>
      </c>
      <c r="F21">
        <f t="shared" si="2"/>
        <v>-0.125</v>
      </c>
    </row>
    <row r="22" spans="4:6" x14ac:dyDescent="0.55000000000000004">
      <c r="D22">
        <v>80</v>
      </c>
      <c r="E22">
        <f t="shared" si="0"/>
        <v>0.44721359549995787</v>
      </c>
      <c r="F22">
        <f t="shared" si="2"/>
        <v>-0.19999999999999996</v>
      </c>
    </row>
    <row r="23" spans="4:6" x14ac:dyDescent="0.55000000000000004">
      <c r="D23">
        <v>85</v>
      </c>
      <c r="E23">
        <f t="shared" si="0"/>
        <v>0.3872983346207417</v>
      </c>
      <c r="F23">
        <f t="shared" si="2"/>
        <v>-0.27499999999999991</v>
      </c>
    </row>
    <row r="24" spans="4:6" x14ac:dyDescent="0.55000000000000004">
      <c r="D24">
        <v>90</v>
      </c>
      <c r="E24">
        <f t="shared" si="0"/>
        <v>0.31622776601683789</v>
      </c>
      <c r="F24">
        <f t="shared" si="2"/>
        <v>-0.34999999999999987</v>
      </c>
    </row>
    <row r="25" spans="4:6" x14ac:dyDescent="0.55000000000000004">
      <c r="D25">
        <v>95</v>
      </c>
      <c r="E25">
        <f t="shared" si="0"/>
        <v>0.22360679774997907</v>
      </c>
      <c r="F25">
        <f t="shared" si="2"/>
        <v>-0.42500000000000004</v>
      </c>
    </row>
    <row r="26" spans="4:6" x14ac:dyDescent="0.55000000000000004">
      <c r="D26">
        <v>96</v>
      </c>
      <c r="E26">
        <f t="shared" si="0"/>
        <v>0.20000000000000009</v>
      </c>
      <c r="F26">
        <f t="shared" si="2"/>
        <v>-0.43999999999999995</v>
      </c>
    </row>
    <row r="27" spans="4:6" x14ac:dyDescent="0.55000000000000004">
      <c r="D27">
        <v>97</v>
      </c>
      <c r="E27">
        <f t="shared" si="0"/>
        <v>0.17320508075688781</v>
      </c>
      <c r="F27">
        <f t="shared" si="2"/>
        <v>-0.45499999999999985</v>
      </c>
    </row>
    <row r="28" spans="4:6" x14ac:dyDescent="0.55000000000000004">
      <c r="D28">
        <v>98</v>
      </c>
      <c r="E28">
        <f t="shared" si="0"/>
        <v>0.14142135623730956</v>
      </c>
      <c r="F28">
        <f t="shared" si="2"/>
        <v>-0.47</v>
      </c>
    </row>
    <row r="29" spans="4:6" x14ac:dyDescent="0.55000000000000004">
      <c r="D29">
        <v>99</v>
      </c>
      <c r="E29">
        <f t="shared" si="0"/>
        <v>0.10000000000000005</v>
      </c>
      <c r="F29">
        <f t="shared" si="2"/>
        <v>-0.48499999999999988</v>
      </c>
    </row>
    <row r="30" spans="4:6" x14ac:dyDescent="0.55000000000000004">
      <c r="D30">
        <v>100</v>
      </c>
      <c r="E30">
        <f t="shared" si="0"/>
        <v>0</v>
      </c>
      <c r="F30">
        <f t="shared" si="2"/>
        <v>-0.5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4" sqref="C4"/>
    </sheetView>
  </sheetViews>
  <sheetFormatPr defaultRowHeight="14.4" x14ac:dyDescent="0.55000000000000004"/>
  <cols>
    <col min="1" max="1" width="24.41796875" bestFit="1" customWidth="1"/>
    <col min="2" max="2" width="22.578125" bestFit="1" customWidth="1"/>
  </cols>
  <sheetData>
    <row r="1" spans="1:2" ht="15.6" x14ac:dyDescent="0.6">
      <c r="A1" s="29" t="s">
        <v>43</v>
      </c>
      <c r="B1" s="29" t="s">
        <v>44</v>
      </c>
    </row>
    <row r="2" spans="1:2" x14ac:dyDescent="0.55000000000000004">
      <c r="A2" s="28">
        <f>+AVERAGE(Sheet1!O14)</f>
        <v>2.7155947019279859E-2</v>
      </c>
      <c r="B2" s="27">
        <v>3</v>
      </c>
    </row>
    <row r="3" spans="1:2" x14ac:dyDescent="0.55000000000000004">
      <c r="A3" s="28">
        <f>+AVERAGE(Sheet1!O2:O10)</f>
        <v>5.0914208996852763E-2</v>
      </c>
      <c r="B3" s="27">
        <v>9</v>
      </c>
    </row>
    <row r="4" spans="1:2" x14ac:dyDescent="0.55000000000000004">
      <c r="A4" s="28">
        <f>+AVERAGE(Sheet1!O11,Sheet1!O17,Sheet1!O23:O28,Sheet1!O35)</f>
        <v>9.8104735795797621E-2</v>
      </c>
      <c r="B4" s="27">
        <v>15</v>
      </c>
    </row>
    <row r="5" spans="1:2" x14ac:dyDescent="0.55000000000000004">
      <c r="A5" s="28">
        <f>+AVERAGE(Sheet1!O41,Sheet1!O44)</f>
        <v>0.14561196379378202</v>
      </c>
      <c r="B5" s="27">
        <v>12</v>
      </c>
    </row>
    <row r="6" spans="1:2" x14ac:dyDescent="0.55000000000000004">
      <c r="A6" s="28">
        <f>+AVERAGE(Sheet1!O20,Sheet1!O29,Sheet1!O32,Sheet1!O38)</f>
        <v>0.20767387719619518</v>
      </c>
      <c r="B6" s="27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2" sqref="D2"/>
    </sheetView>
  </sheetViews>
  <sheetFormatPr defaultRowHeight="14.4" x14ac:dyDescent="0.55000000000000004"/>
  <cols>
    <col min="1" max="1" width="18.15625" bestFit="1" customWidth="1"/>
    <col min="2" max="2" width="12.68359375" bestFit="1" customWidth="1"/>
    <col min="3" max="3" width="13.68359375" bestFit="1" customWidth="1"/>
    <col min="4" max="4" width="20.578125" bestFit="1" customWidth="1"/>
    <col min="5" max="5" width="50.15625" bestFit="1" customWidth="1"/>
  </cols>
  <sheetData>
    <row r="1" spans="1:5" ht="15.6" thickBot="1" x14ac:dyDescent="0.6">
      <c r="A1" s="6" t="s">
        <v>25</v>
      </c>
      <c r="B1" s="6" t="s">
        <v>26</v>
      </c>
      <c r="C1" s="6" t="s">
        <v>27</v>
      </c>
      <c r="D1" s="6" t="s">
        <v>28</v>
      </c>
      <c r="E1" s="6" t="s">
        <v>29</v>
      </c>
    </row>
    <row r="2" spans="1:5" ht="15.3" x14ac:dyDescent="0.55000000000000004">
      <c r="A2" s="1" t="s">
        <v>30</v>
      </c>
      <c r="B2" s="8">
        <v>0.75</v>
      </c>
      <c r="C2" s="9">
        <f>+Sheet1!C47</f>
        <v>0.80629629629629629</v>
      </c>
      <c r="D2" s="10">
        <f>+C2/B2</f>
        <v>1.0750617283950616</v>
      </c>
      <c r="E2" s="1" t="s">
        <v>32</v>
      </c>
    </row>
    <row r="3" spans="1:5" ht="15.3" x14ac:dyDescent="0.55000000000000004">
      <c r="A3" s="1" t="s">
        <v>31</v>
      </c>
      <c r="B3" s="8">
        <v>1.502</v>
      </c>
      <c r="C3" s="9">
        <f>+Sheet1!F47</f>
        <v>1.4539969115318172</v>
      </c>
      <c r="D3" s="10">
        <f>+C3/B3</f>
        <v>0.96804055361638963</v>
      </c>
      <c r="E3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Sheet3</vt:lpstr>
      <vt:lpstr>Sheet2</vt:lpstr>
      <vt:lpstr>Comparisson to ASTMA706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cp:lastPrinted>2021-08-30T19:47:21Z</cp:lastPrinted>
  <dcterms:created xsi:type="dcterms:W3CDTF">2020-10-15T16:04:46Z</dcterms:created>
  <dcterms:modified xsi:type="dcterms:W3CDTF">2022-02-07T20:11:14Z</dcterms:modified>
</cp:coreProperties>
</file>