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Trial Test\"/>
    </mc:Choice>
  </mc:AlternateContent>
  <bookViews>
    <workbookView xWindow="-90" yWindow="-90" windowWidth="23130" windowHeight="9150" activeTab="3"/>
  </bookViews>
  <sheets>
    <sheet name="AcceleratedCorrosion corrected" sheetId="5" r:id="rId1"/>
    <sheet name="Sheet1" sheetId="1" r:id="rId2"/>
    <sheet name="Final Budget" sheetId="3" r:id="rId3"/>
    <sheet name="Sheet2" sheetId="4" r:id="rId4"/>
    <sheet name="Budget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3" l="1"/>
  <c r="B10" i="5" l="1"/>
  <c r="L10" i="5" s="1"/>
  <c r="B11" i="5"/>
  <c r="L11" i="5" s="1"/>
  <c r="B12" i="5"/>
  <c r="L12" i="5" s="1"/>
  <c r="B13" i="5"/>
  <c r="L13" i="5" s="1"/>
  <c r="B14" i="5"/>
  <c r="L14" i="5" s="1"/>
  <c r="N10" i="5"/>
  <c r="O10" i="5" s="1"/>
  <c r="N14" i="5"/>
  <c r="K14" i="5"/>
  <c r="N13" i="5"/>
  <c r="K13" i="5"/>
  <c r="N12" i="5"/>
  <c r="K12" i="5"/>
  <c r="N11" i="5"/>
  <c r="K11" i="5"/>
  <c r="C11" i="5"/>
  <c r="C12" i="5" s="1"/>
  <c r="K10" i="5"/>
  <c r="B5" i="5"/>
  <c r="B7" i="5" s="1"/>
  <c r="D10" i="5" s="1"/>
  <c r="B1" i="5"/>
  <c r="O11" i="1"/>
  <c r="O12" i="1"/>
  <c r="O13" i="1"/>
  <c r="O14" i="1"/>
  <c r="O10" i="1"/>
  <c r="N11" i="1"/>
  <c r="N12" i="1"/>
  <c r="N13" i="1"/>
  <c r="N14" i="1"/>
  <c r="N10" i="1"/>
  <c r="D11" i="5" l="1"/>
  <c r="B21" i="5"/>
  <c r="C13" i="5"/>
  <c r="D13" i="5" s="1"/>
  <c r="D12" i="5"/>
  <c r="O11" i="5"/>
  <c r="O12" i="5"/>
  <c r="C14" i="5"/>
  <c r="D14" i="5" s="1"/>
  <c r="O13" i="5"/>
  <c r="H10" i="5"/>
  <c r="I10" i="5" s="1"/>
  <c r="H12" i="5"/>
  <c r="B22" i="5"/>
  <c r="E12" i="5"/>
  <c r="F12" i="5" s="1"/>
  <c r="B23" i="5"/>
  <c r="H11" i="5"/>
  <c r="B20" i="5"/>
  <c r="B24" i="5"/>
  <c r="H12" i="4"/>
  <c r="H11" i="4"/>
  <c r="O14" i="5" l="1"/>
  <c r="C21" i="5"/>
  <c r="C24" i="5"/>
  <c r="C20" i="5"/>
  <c r="C23" i="5"/>
  <c r="C22" i="5"/>
  <c r="E13" i="5"/>
  <c r="F13" i="5" s="1"/>
  <c r="E10" i="5"/>
  <c r="F10" i="5" s="1"/>
  <c r="M10" i="5" s="1"/>
  <c r="H13" i="5"/>
  <c r="E11" i="5"/>
  <c r="F11" i="5" s="1"/>
  <c r="E14" i="5"/>
  <c r="F14" i="5" s="1"/>
  <c r="H14" i="5"/>
  <c r="B21" i="1"/>
  <c r="B22" i="1"/>
  <c r="B23" i="1"/>
  <c r="B24" i="1"/>
  <c r="B20" i="1"/>
  <c r="B17" i="4" l="1"/>
  <c r="B16" i="4"/>
  <c r="B15" i="4"/>
  <c r="B14" i="4"/>
  <c r="A13" i="4"/>
  <c r="E11" i="4"/>
  <c r="E8" i="4" l="1"/>
  <c r="B7" i="4"/>
  <c r="B26" i="4"/>
  <c r="B25" i="4"/>
  <c r="B24" i="4"/>
  <c r="B22" i="4"/>
  <c r="C29" i="3" l="1"/>
  <c r="E30" i="3"/>
  <c r="B10" i="4"/>
  <c r="B9" i="4"/>
  <c r="B8" i="4"/>
  <c r="B6" i="4"/>
  <c r="B11" i="4" l="1"/>
  <c r="K11" i="1"/>
  <c r="K12" i="1"/>
  <c r="K13" i="1"/>
  <c r="K14" i="1"/>
  <c r="K10" i="1"/>
  <c r="F17" i="3" l="1"/>
  <c r="F16" i="3"/>
  <c r="F13" i="3"/>
  <c r="F6" i="3"/>
  <c r="F10" i="3"/>
  <c r="F15" i="3"/>
  <c r="F14" i="3"/>
  <c r="C45" i="3"/>
  <c r="E45" i="3" s="1"/>
  <c r="C44" i="3"/>
  <c r="C36" i="3"/>
  <c r="C35" i="3"/>
  <c r="C37" i="3" s="1"/>
  <c r="C38" i="3" s="1"/>
  <c r="C40" i="3" s="1"/>
  <c r="I26" i="3"/>
  <c r="C43" i="3"/>
  <c r="F23" i="3"/>
  <c r="F22" i="3"/>
  <c r="F21" i="3"/>
  <c r="F20" i="3"/>
  <c r="F19" i="3"/>
  <c r="F18" i="3"/>
  <c r="F12" i="3"/>
  <c r="F11" i="3"/>
  <c r="F9" i="3"/>
  <c r="F8" i="3"/>
  <c r="F7" i="3"/>
  <c r="F5" i="3"/>
  <c r="F4" i="3"/>
  <c r="F24" i="3" l="1"/>
  <c r="C28" i="3"/>
  <c r="E28" i="3" s="1"/>
  <c r="E29" i="3"/>
  <c r="C46" i="2"/>
  <c r="E46" i="2" s="1"/>
  <c r="C45" i="2"/>
  <c r="C44" i="2" l="1"/>
  <c r="F23" i="2" l="1"/>
  <c r="F22" i="2"/>
  <c r="F21" i="2"/>
  <c r="F20" i="2"/>
  <c r="F19" i="2"/>
  <c r="F24" i="2"/>
  <c r="B10" i="1"/>
  <c r="E10" i="1" s="1"/>
  <c r="B1" i="1"/>
  <c r="B7" i="1"/>
  <c r="D10" i="1" s="1"/>
  <c r="H10" i="1" l="1"/>
  <c r="I10" i="1" s="1"/>
  <c r="L10" i="1"/>
  <c r="F13" i="2"/>
  <c r="F27" i="2" l="1"/>
  <c r="I27" i="2"/>
  <c r="F18" i="2"/>
  <c r="F7" i="2"/>
  <c r="F8" i="2"/>
  <c r="F9" i="2"/>
  <c r="F10" i="2"/>
  <c r="F11" i="2"/>
  <c r="F12" i="2"/>
  <c r="F14" i="2"/>
  <c r="F15" i="2"/>
  <c r="F16" i="2"/>
  <c r="F17" i="2"/>
  <c r="B5" i="1"/>
  <c r="C37" i="2"/>
  <c r="C36" i="2"/>
  <c r="C38" i="2" l="1"/>
  <c r="C39" i="2" s="1"/>
  <c r="C41" i="2" s="1"/>
  <c r="E31" i="2"/>
  <c r="F6" i="2"/>
  <c r="F5" i="2"/>
  <c r="C29" i="2"/>
  <c r="E29" i="2" s="1"/>
  <c r="F4" i="2"/>
  <c r="F25" i="2" s="1"/>
  <c r="C30" i="2" l="1"/>
  <c r="E30" i="2" s="1"/>
  <c r="C11" i="1"/>
  <c r="B12" i="1"/>
  <c r="H12" i="1" l="1"/>
  <c r="L12" i="1"/>
  <c r="B11" i="1"/>
  <c r="F10" i="1"/>
  <c r="M10" i="1" s="1"/>
  <c r="B14" i="1"/>
  <c r="B13" i="1"/>
  <c r="C12" i="1"/>
  <c r="H13" i="1" l="1"/>
  <c r="L13" i="1"/>
  <c r="H14" i="1"/>
  <c r="L14" i="1"/>
  <c r="E11" i="1"/>
  <c r="F11" i="1" s="1"/>
  <c r="H11" i="1"/>
  <c r="L11" i="1"/>
  <c r="D12" i="1"/>
  <c r="D11" i="1"/>
  <c r="E12" i="1"/>
  <c r="F12" i="1" s="1"/>
  <c r="C13" i="1"/>
  <c r="D13" i="1" s="1"/>
  <c r="C14" i="1" l="1"/>
  <c r="E13" i="1"/>
  <c r="F13" i="1" s="1"/>
  <c r="C23" i="1" l="1"/>
  <c r="C24" i="1"/>
  <c r="C20" i="1"/>
  <c r="C21" i="1"/>
  <c r="C22" i="1"/>
  <c r="E14" i="1"/>
  <c r="F14" i="1" s="1"/>
  <c r="D14" i="1"/>
</calcChain>
</file>

<file path=xl/sharedStrings.xml><?xml version="1.0" encoding="utf-8"?>
<sst xmlns="http://schemas.openxmlformats.org/spreadsheetml/2006/main" count="291" uniqueCount="145">
  <si>
    <t>Corrosion Level</t>
  </si>
  <si>
    <t>Mspecimen</t>
  </si>
  <si>
    <t>Mol</t>
  </si>
  <si>
    <t>Cfaraday</t>
  </si>
  <si>
    <t>C/Mol</t>
  </si>
  <si>
    <t>eta specimen</t>
  </si>
  <si>
    <t>mloss</t>
  </si>
  <si>
    <t>db</t>
  </si>
  <si>
    <t>l_naught</t>
  </si>
  <si>
    <t>density of steel</t>
  </si>
  <si>
    <t>cm</t>
  </si>
  <si>
    <t>g/cm3</t>
  </si>
  <si>
    <t>t(h)</t>
  </si>
  <si>
    <t>t(days)</t>
  </si>
  <si>
    <t>Current (A)</t>
  </si>
  <si>
    <t>Surface Area</t>
  </si>
  <si>
    <t>cm2</t>
  </si>
  <si>
    <r>
      <t>Current Density (</t>
    </r>
    <r>
      <rPr>
        <sz val="11"/>
        <color theme="1"/>
        <rFont val="Calibri"/>
        <family val="2"/>
      </rPr>
      <t>μa/cm^2)</t>
    </r>
  </si>
  <si>
    <t>ID</t>
  </si>
  <si>
    <t>Item</t>
  </si>
  <si>
    <t>qty</t>
  </si>
  <si>
    <t>unit</t>
  </si>
  <si>
    <t>unit price</t>
  </si>
  <si>
    <t>subtotal</t>
  </si>
  <si>
    <t>Note</t>
  </si>
  <si>
    <t>u</t>
  </si>
  <si>
    <t>Electro platter tape</t>
  </si>
  <si>
    <t xml:space="preserve">Two part epoxy </t>
  </si>
  <si>
    <t>Shrink tube</t>
  </si>
  <si>
    <t>Calcium hydroxyde</t>
  </si>
  <si>
    <t>Sodium hydroxyde</t>
  </si>
  <si>
    <t>Potassium Hydroxide</t>
  </si>
  <si>
    <t>Calcium sulfate dihydratte</t>
  </si>
  <si>
    <t>Container volumne</t>
  </si>
  <si>
    <t>gal</t>
  </si>
  <si>
    <t>=</t>
  </si>
  <si>
    <t>L</t>
  </si>
  <si>
    <t>g</t>
  </si>
  <si>
    <t>Calcium hydarate</t>
  </si>
  <si>
    <t>500 g bottle</t>
  </si>
  <si>
    <t>S75071</t>
  </si>
  <si>
    <t>1 Kg</t>
  </si>
  <si>
    <t>S25548C</t>
  </si>
  <si>
    <t>S25230A</t>
  </si>
  <si>
    <t>S25491A</t>
  </si>
  <si>
    <t>https://www.amazon.com/3M-Electroplating-Tape-470-Tan/dp/B0728439MJ</t>
  </si>
  <si>
    <t>4 ft</t>
  </si>
  <si>
    <t>PVC Pipe phi 2 in ID</t>
  </si>
  <si>
    <t>24x40 mesh</t>
  </si>
  <si>
    <t>https://www.amazon.com/Woven-X100cm-x0-9mm-medium-Stainless/dp/B01MUE0YPN/ref=sr_1_7?c=ts&amp;dchild=1&amp;keywords=Mesh+%26+Wire+Cloth&amp;qid=1594411031&amp;refinements=p_n_feature_seven_browse-bin%3A5485702011&amp;sr=8-7&amp;ts_id=6469724011</t>
  </si>
  <si>
    <t>https://www.grainger.com/product/DIRECT-METALS-Wire-Cloth-3DNT8?</t>
  </si>
  <si>
    <t>1 Gal</t>
  </si>
  <si>
    <t>https://coastalone.com/sikadur-30.html</t>
  </si>
  <si>
    <t>D</t>
  </si>
  <si>
    <t>in</t>
  </si>
  <si>
    <t>A</t>
  </si>
  <si>
    <t>in^2</t>
  </si>
  <si>
    <t>Rho</t>
  </si>
  <si>
    <t>R</t>
  </si>
  <si>
    <t>Amps</t>
  </si>
  <si>
    <t>Amp</t>
  </si>
  <si>
    <t>V</t>
  </si>
  <si>
    <t>Checking voltage</t>
  </si>
  <si>
    <t>https://www.homedepot.com/p/Sterilite-45-Gal-Wheeled-Latching-Storage-Bin-in-Lapis-Blue-19481004/202097689</t>
  </si>
  <si>
    <t>Power suply</t>
  </si>
  <si>
    <t>https://www.grainger.com/product/WESTWARD-2-lb-Stainless-Steel-Spool-41R285?</t>
  </si>
  <si>
    <t>2 lb</t>
  </si>
  <si>
    <t>0.3 M per liter</t>
  </si>
  <si>
    <t>Sodium Chloride</t>
  </si>
  <si>
    <t>Total</t>
  </si>
  <si>
    <t>Container 45 gal</t>
  </si>
  <si>
    <t xml:space="preserve">Stailess steel mesh </t>
  </si>
  <si>
    <t>Steel wire ER316L</t>
  </si>
  <si>
    <t>45 Gal to</t>
  </si>
  <si>
    <t>Resistor 3kOhms</t>
  </si>
  <si>
    <t>https://www.mouser.com/ProductDetail/Vishay-Dale/CMF073K0000JNEK?qs=w0S%252B%2FsJ%252B%2Fi0GZ3fUT3Vt%252BQ%3D%3D</t>
  </si>
  <si>
    <t>https://www.amazon.com/%EF%BC%88Precision-00-01V%EF%BC%8C0-001A%EF%BC%894-Digital-Precision-Adjustable-Regulated/dp/B07M6JJS93</t>
  </si>
  <si>
    <t>Cable wire gauge 14</t>
  </si>
  <si>
    <t xml:space="preserve">25 ft </t>
  </si>
  <si>
    <t>https://www.homedepot.com/p/Southwire-25-ft-12-Green-Solid-CU-THHN-Wire-11591585/301238014</t>
  </si>
  <si>
    <t>4-20mA Generator</t>
  </si>
  <si>
    <t>Switch Power Supply</t>
  </si>
  <si>
    <t>Fuse Switch Male Power Socket</t>
  </si>
  <si>
    <t>https://www.amazon.com/URBEST-Inlet-Module-Plug-5A-Fuse-Switch-Male-Power-Socket-10A-250V-3-Pin-IEC320-C14/dp/B00ME5YAPK/ref=cm_cr_dp_d_rvw_txt?ie=UTF8</t>
  </si>
  <si>
    <t>https://www.amazon.com/Aiposen-110V-220V-AC-to-DC-24V-8A-200W-Switch-Power-Supply-Driver-Power-Transformer-for-CCTV-camera-Security-System-LED-Strip-Light-Radio-Computer-Project-24V-8A/dp/B01B1PRE7E/ref=cm_cr_dp_d_rvw_txt?ie=UTF8&amp;th=1</t>
  </si>
  <si>
    <t>https://www.amazon.com/Generator-DROK-Adjustable-Transmitter-Simulation/dp/B071NLGP6L/ref=sr_1_3?dchild=1&amp;keywords=current+source&amp;qid=1596740320&amp;sr=8-3</t>
  </si>
  <si>
    <t>https://www.amazon.com/Wiwaplex-10Pcs-Gold-plated-Insulated-Terminal-Binding-Post-Power-Amplifier-Dual-2-way-Banana-Plug-Jack/dp/B01LYA4YDP/ref=cm_cr_dp_d_rvw_txt?ie=UTF8</t>
  </si>
  <si>
    <t>2-way Banana Plug Jack</t>
  </si>
  <si>
    <t>https://www.amazon.com/uxcell-9-8-34-x-7-5-34-x-4-3-34-Blue-Metal-Enclosure-Project-Case-DIY-Junction-Box/dp/B00LGKE2GQ/ref=cm_cr_dp_d_rvw_txt?ie=UTF8</t>
  </si>
  <si>
    <t>Cassing</t>
  </si>
  <si>
    <t>205881703</t>
  </si>
  <si>
    <t>Pipe cap</t>
  </si>
  <si>
    <t>5 ft</t>
  </si>
  <si>
    <t>1/7 ordered so far</t>
  </si>
  <si>
    <t>Volume in pipe</t>
  </si>
  <si>
    <t>Cubic Inches =</t>
  </si>
  <si>
    <t>liters</t>
  </si>
  <si>
    <t>Moles of NaCl</t>
  </si>
  <si>
    <t>grams</t>
  </si>
  <si>
    <t>PVC Pipe phi 3 in ID</t>
  </si>
  <si>
    <t>Pipe cap 3in</t>
  </si>
  <si>
    <t>90 degree Elbow</t>
  </si>
  <si>
    <t>10 ft</t>
  </si>
  <si>
    <t>Stainless stee self driving screw</t>
  </si>
  <si>
    <t>bag</t>
  </si>
  <si>
    <t>Stainless steel terminal blocks</t>
  </si>
  <si>
    <t>pieces</t>
  </si>
  <si>
    <t>Hilti HDM 500</t>
  </si>
  <si>
    <t>U</t>
  </si>
  <si>
    <t>50 ft</t>
  </si>
  <si>
    <t>48x48</t>
  </si>
  <si>
    <t>1/4 ordered so far</t>
  </si>
  <si>
    <t>Wire 14</t>
  </si>
  <si>
    <t>Spools</t>
  </si>
  <si>
    <t>time (days)</t>
  </si>
  <si>
    <t>mass loss (g)</t>
  </si>
  <si>
    <t>0.3 moles per liter</t>
  </si>
  <si>
    <t>Solution preparation (1st phase of experiments)</t>
  </si>
  <si>
    <t>Number of pipes</t>
  </si>
  <si>
    <t>Inside diameter</t>
  </si>
  <si>
    <t>Length of Pipes</t>
  </si>
  <si>
    <t>Volume of fittings</t>
  </si>
  <si>
    <t>Pipe Volumne</t>
  </si>
  <si>
    <t>inch ^ 3</t>
  </si>
  <si>
    <t xml:space="preserve">inch </t>
  </si>
  <si>
    <t>Bars Volume</t>
  </si>
  <si>
    <t>Total bars volume</t>
  </si>
  <si>
    <t>Total volume of pipe</t>
  </si>
  <si>
    <t>Total volume</t>
  </si>
  <si>
    <t>Calcium hydroxide</t>
  </si>
  <si>
    <t>11.22 g/L</t>
  </si>
  <si>
    <t>4 g/L</t>
  </si>
  <si>
    <t>13.77 g/L</t>
  </si>
  <si>
    <t>r</t>
  </si>
  <si>
    <t>inch</t>
  </si>
  <si>
    <t>inch^2</t>
  </si>
  <si>
    <t>inch^3</t>
  </si>
  <si>
    <t>saturated (≈1.7 g/L)</t>
  </si>
  <si>
    <t>per pipe</t>
  </si>
  <si>
    <t>Rule of thumb calcs</t>
  </si>
  <si>
    <t>mils lost</t>
  </si>
  <si>
    <t>Corrected mass loss</t>
  </si>
  <si>
    <t>Corrected time (days)</t>
  </si>
  <si>
    <t>Time (days)</t>
  </si>
  <si>
    <t>Mass loss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</si>
</sst>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2B2B2B"/>
      <name val="Arial"/>
      <family val="2"/>
    </font>
    <font>
      <u/>
      <sz val="11"/>
      <color theme="10"/>
      <name val="Calibri"/>
      <family val="2"/>
      <scheme val="minor"/>
    </font>
    <font>
      <sz val="10"/>
      <color rgb="FFEE7225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0" applyFont="1"/>
    <xf numFmtId="49" fontId="4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44" fontId="0" fillId="0" borderId="0" xfId="2" applyFont="1"/>
    <xf numFmtId="1" fontId="0" fillId="0" borderId="0" xfId="0" applyNumberFormat="1" applyAlignment="1">
      <alignment horizontal="center" vertical="center"/>
    </xf>
    <xf numFmtId="44" fontId="0" fillId="0" borderId="1" xfId="2" applyFont="1" applyBorder="1"/>
    <xf numFmtId="0" fontId="0" fillId="2" borderId="0" xfId="0" applyFill="1"/>
    <xf numFmtId="0" fontId="0" fillId="0" borderId="0" xfId="0" applyFill="1"/>
    <xf numFmtId="0" fontId="6" fillId="3" borderId="2" xfId="0" applyFont="1" applyFill="1" applyBorder="1"/>
    <xf numFmtId="9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7" fillId="3" borderId="0" xfId="0" applyFont="1" applyFill="1"/>
    <xf numFmtId="0" fontId="8" fillId="3" borderId="0" xfId="0" applyFont="1" applyFill="1"/>
    <xf numFmtId="1" fontId="8" fillId="3" borderId="0" xfId="0" applyNumberFormat="1" applyFont="1" applyFill="1"/>
    <xf numFmtId="164" fontId="8" fillId="3" borderId="0" xfId="3" applyNumberFormat="1" applyFont="1" applyFill="1"/>
    <xf numFmtId="0" fontId="9" fillId="3" borderId="0" xfId="0" applyFont="1" applyFill="1"/>
    <xf numFmtId="0" fontId="0" fillId="4" borderId="3" xfId="0" applyFont="1" applyFill="1" applyBorder="1"/>
    <xf numFmtId="0" fontId="0" fillId="0" borderId="3" xfId="0" applyFont="1" applyBorder="1"/>
    <xf numFmtId="165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13" displayName="Table13" ref="A9:F14" totalsRowShown="0">
  <autoFilter ref="A9:F14"/>
  <tableColumns count="6">
    <tableColumn id="1" name="Corrosion Level"/>
    <tableColumn id="2" name="mloss" dataDxfId="1">
      <calculatedColumnFormula>Table13[[#This Row],[Corrosion Level]]*0.121*21*453.5924</calculatedColumnFormula>
    </tableColumn>
    <tableColumn id="3" name="Current (A)">
      <calculatedColumnFormula>+C9</calculatedColumnFormula>
    </tableColumn>
    <tableColumn id="4" name="Current Density (μa/cm^2)" dataDxfId="0">
      <calculatedColumnFormula>+C10*1000000/($B$7*3)</calculatedColumnFormula>
    </tableColumn>
    <tableColumn id="5" name="t(h)">
      <calculatedColumnFormula>+(B10*$B$4*$B$3)/(C10*$B$2*60*60)</calculatedColumnFormula>
    </tableColumn>
    <tableColumn id="6" name="t(days)">
      <calculatedColumnFormula>+E10/24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9:F14" totalsRowShown="0">
  <autoFilter ref="A9:F14"/>
  <tableColumns count="6">
    <tableColumn id="1" name="Corrosion Level"/>
    <tableColumn id="2" name="mloss">
      <calculatedColumnFormula>0.25*PI()*$B$5^2*$B$6*A10</calculatedColumnFormula>
    </tableColumn>
    <tableColumn id="3" name="Current (A)">
      <calculatedColumnFormula>+C9</calculatedColumnFormula>
    </tableColumn>
    <tableColumn id="4" name="Current Density (μa/cm^2)">
      <calculatedColumnFormula>+C10*1000000/$B$7</calculatedColumnFormula>
    </tableColumn>
    <tableColumn id="5" name="t(h)">
      <calculatedColumnFormula>+(B10*$B$4*$B$3)/(C10*$B$2*60*60)</calculatedColumnFormula>
    </tableColumn>
    <tableColumn id="6" name="t(days)">
      <calculatedColumnFormula>+E10/24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astalone.com/sikadur-30.htm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grainger.com/product/DIRECT-METALS-Wire-Cloth-3DNT8?" TargetMode="External"/><Relationship Id="rId1" Type="http://schemas.openxmlformats.org/officeDocument/2006/relationships/hyperlink" Target="https://www.amazon.com/3M-Electroplating-Tape-470-Tan/dp/B0728439MJ" TargetMode="External"/><Relationship Id="rId6" Type="http://schemas.openxmlformats.org/officeDocument/2006/relationships/hyperlink" Target="https://www.amazon.com/Generator-DROK-Adjustable-Transmitter-Simulation/dp/B071NLGP6L/ref=sr_1_3?dchild=1&amp;keywords=current+source&amp;qid=1596740320&amp;sr=8-3" TargetMode="External"/><Relationship Id="rId5" Type="http://schemas.openxmlformats.org/officeDocument/2006/relationships/hyperlink" Target="https://www.amazon.com/Aiposen-110V-220V-AC-to-DC-24V-8A-200W-Switch-Power-Supply-Driver-Power-Transformer-for-CCTV-camera-Security-System-LED-Strip-Light-Radio-Computer-Project-24V-8A/dp/B01B1PRE7E/ref=cm_cr_dp_d_rvw_txt?ie=UTF8&amp;th=1" TargetMode="External"/><Relationship Id="rId4" Type="http://schemas.openxmlformats.org/officeDocument/2006/relationships/hyperlink" Target="https://www.grainger.com/product/WESTWARD-2-lb-Stainless-Steel-Spool-41R285?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Southwire-25-ft-12-Green-Solid-CU-THHN-Wire-11591585/301238014" TargetMode="External"/><Relationship Id="rId13" Type="http://schemas.openxmlformats.org/officeDocument/2006/relationships/hyperlink" Target="https://www.amazon.com/uxcell-9-8-34-x-7-5-34-x-4-3-34-Blue-Metal-Enclosure-Project-Case-DIY-Junction-Box/dp/B00LGKE2GQ/ref=cm_cr_dp_d_rvw_txt?ie=UTF8" TargetMode="External"/><Relationship Id="rId3" Type="http://schemas.openxmlformats.org/officeDocument/2006/relationships/hyperlink" Target="https://www.grainger.com/product/DIRECT-METALS-Wire-Cloth-3DNT8?" TargetMode="External"/><Relationship Id="rId7" Type="http://schemas.openxmlformats.org/officeDocument/2006/relationships/hyperlink" Target="https://www.mouser.com/ProductDetail/Vishay-Dale/CMF073K0000JNEK?qs=w0S%252B%2FsJ%252B%2Fi0GZ3fUT3Vt%252BQ%3D%3D" TargetMode="External"/><Relationship Id="rId12" Type="http://schemas.openxmlformats.org/officeDocument/2006/relationships/hyperlink" Target="https://www.amazon.com/Wiwaplex-10Pcs-Gold-plated-Insulated-Terminal-Binding-Post-Power-Amplifier-Dual-2-way-Banana-Plug-Jack/dp/B01LYA4YDP/ref=cm_cr_dp_d_rvw_txt?ie=UTF8" TargetMode="External"/><Relationship Id="rId2" Type="http://schemas.openxmlformats.org/officeDocument/2006/relationships/hyperlink" Target="https://www.amazon.com/Woven-X100cm-x0-9mm-medium-Stainless/dp/B01MUE0YPN/ref=sr_1_7?c=ts&amp;dchild=1&amp;keywords=Mesh+%26+Wire+Cloth&amp;qid=1594411031&amp;refinements=p_n_feature_seven_browse-bin%3A5485702011&amp;sr=8-7&amp;ts_id=6469724011" TargetMode="External"/><Relationship Id="rId1" Type="http://schemas.openxmlformats.org/officeDocument/2006/relationships/hyperlink" Target="https://www.amazon.com/3M-Electroplating-Tape-470-Tan/dp/B0728439MJ" TargetMode="External"/><Relationship Id="rId6" Type="http://schemas.openxmlformats.org/officeDocument/2006/relationships/hyperlink" Target="https://www.grainger.com/product/WESTWARD-2-lb-Stainless-Steel-Spool-41R285?" TargetMode="External"/><Relationship Id="rId11" Type="http://schemas.openxmlformats.org/officeDocument/2006/relationships/hyperlink" Target="https://www.amazon.com/Generator-DROK-Adjustable-Transmitter-Simulation/dp/B071NLGP6L/ref=sr_1_3?dchild=1&amp;keywords=current+source&amp;qid=1596740320&amp;sr=8-3" TargetMode="External"/><Relationship Id="rId5" Type="http://schemas.openxmlformats.org/officeDocument/2006/relationships/hyperlink" Target="https://www.homedepot.com/p/Sterilite-45-Gal-Wheeled-Latching-Storage-Bin-in-Lapis-Blue-19481004/202097689" TargetMode="External"/><Relationship Id="rId10" Type="http://schemas.openxmlformats.org/officeDocument/2006/relationships/hyperlink" Target="https://www.amazon.com/Aiposen-110V-220V-AC-to-DC-24V-8A-200W-Switch-Power-Supply-Driver-Power-Transformer-for-CCTV-camera-Security-System-LED-Strip-Light-Radio-Computer-Project-24V-8A/dp/B01B1PRE7E/ref=cm_cr_dp_d_rvw_txt?ie=UTF8&amp;th=1" TargetMode="External"/><Relationship Id="rId4" Type="http://schemas.openxmlformats.org/officeDocument/2006/relationships/hyperlink" Target="https://coastalone.com/sikadur-30.html" TargetMode="External"/><Relationship Id="rId9" Type="http://schemas.openxmlformats.org/officeDocument/2006/relationships/hyperlink" Target="https://www.amazon.com/URBEST-Inlet-Module-Plug-5A-Fuse-Switch-Male-Power-Socket-10A-250V-3-Pin-IEC320-C14/dp/B00ME5YAPK/ref=cm_cr_dp_d_rvw_txt?ie=UTF8" TargetMode="External"/><Relationship Id="rId1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Normal="100" workbookViewId="0">
      <selection activeCell="D22" sqref="D22"/>
    </sheetView>
  </sheetViews>
  <sheetFormatPr defaultRowHeight="15" x14ac:dyDescent="0.25"/>
  <cols>
    <col min="1" max="1" width="16.85546875" customWidth="1"/>
    <col min="3" max="3" width="13" customWidth="1"/>
    <col min="4" max="4" width="26.42578125" customWidth="1"/>
    <col min="6" max="6" width="9.28515625" customWidth="1"/>
    <col min="11" max="11" width="17.42578125" customWidth="1"/>
    <col min="12" max="12" width="14.5703125" hidden="1" customWidth="1"/>
    <col min="13" max="13" width="12.42578125" hidden="1" customWidth="1"/>
    <col min="14" max="14" width="22" bestFit="1" customWidth="1"/>
    <col min="15" max="15" width="20.28515625" bestFit="1" customWidth="1"/>
  </cols>
  <sheetData>
    <row r="1" spans="1:15" x14ac:dyDescent="0.25">
      <c r="A1" t="s">
        <v>8</v>
      </c>
      <c r="B1">
        <f>2.54*7</f>
        <v>17.78</v>
      </c>
      <c r="C1" t="s">
        <v>10</v>
      </c>
    </row>
    <row r="2" spans="1:15" x14ac:dyDescent="0.25">
      <c r="A2" t="s">
        <v>1</v>
      </c>
      <c r="B2">
        <v>55.8</v>
      </c>
      <c r="C2" t="s">
        <v>2</v>
      </c>
    </row>
    <row r="3" spans="1:15" x14ac:dyDescent="0.25">
      <c r="A3" t="s">
        <v>3</v>
      </c>
      <c r="B3">
        <v>96485</v>
      </c>
      <c r="C3" t="s">
        <v>4</v>
      </c>
    </row>
    <row r="4" spans="1:15" x14ac:dyDescent="0.25">
      <c r="A4" t="s">
        <v>5</v>
      </c>
      <c r="B4">
        <v>2</v>
      </c>
    </row>
    <row r="5" spans="1:15" x14ac:dyDescent="0.25">
      <c r="A5" t="s">
        <v>7</v>
      </c>
      <c r="B5">
        <f>2.54*0.75</f>
        <v>1.905</v>
      </c>
      <c r="C5" t="s">
        <v>10</v>
      </c>
    </row>
    <row r="6" spans="1:15" x14ac:dyDescent="0.25">
      <c r="A6" t="s">
        <v>9</v>
      </c>
      <c r="B6">
        <v>6.54</v>
      </c>
      <c r="C6" t="s">
        <v>11</v>
      </c>
    </row>
    <row r="7" spans="1:15" x14ac:dyDescent="0.25">
      <c r="A7" t="s">
        <v>15</v>
      </c>
      <c r="B7">
        <f>2*PI()*(B5/2)*B1</f>
        <v>106.40857061047453</v>
      </c>
      <c r="C7" t="s">
        <v>16</v>
      </c>
    </row>
    <row r="9" spans="1:15" ht="16.5" thickBot="1" x14ac:dyDescent="0.3">
      <c r="A9" t="s">
        <v>0</v>
      </c>
      <c r="B9" t="s">
        <v>6</v>
      </c>
      <c r="C9" t="s">
        <v>14</v>
      </c>
      <c r="D9" t="s">
        <v>17</v>
      </c>
      <c r="E9" t="s">
        <v>12</v>
      </c>
      <c r="F9" t="s">
        <v>13</v>
      </c>
      <c r="K9" s="27" t="s">
        <v>0</v>
      </c>
      <c r="L9" s="27" t="s">
        <v>115</v>
      </c>
      <c r="M9" s="27" t="s">
        <v>114</v>
      </c>
      <c r="N9" s="27" t="s">
        <v>144</v>
      </c>
      <c r="O9" s="27" t="s">
        <v>143</v>
      </c>
    </row>
    <row r="10" spans="1:15" ht="15.75" x14ac:dyDescent="0.25">
      <c r="A10">
        <v>0.05</v>
      </c>
      <c r="B10">
        <f>Table13[[#This Row],[Corrosion Level]]*0.121*21*453.5924</f>
        <v>57.628914420000001</v>
      </c>
      <c r="C10">
        <v>0.15</v>
      </c>
      <c r="D10">
        <f t="shared" ref="D10:D14" si="0">+C10*1000000/($B$7*3)</f>
        <v>469.88696223571066</v>
      </c>
      <c r="E10">
        <f>+(B10*$B$4*$B$3)/(C10*$B$2*60*60)</f>
        <v>369.06450337274003</v>
      </c>
      <c r="F10">
        <f>+E10/24</f>
        <v>15.377687640530835</v>
      </c>
      <c r="H10">
        <f>+Table13[[#This Row],[mloss]]/$B$7</f>
        <v>0.54158151067511084</v>
      </c>
      <c r="I10">
        <f>+H10/((47*54.845)/(2*96485*B6))</f>
        <v>265.15295760467853</v>
      </c>
      <c r="K10" s="14">
        <f>+Table13[[#This Row],[Corrosion Level]]</f>
        <v>0.05</v>
      </c>
      <c r="L10" s="25">
        <f>+Table13[[#This Row],[mloss]]</f>
        <v>57.628914420000001</v>
      </c>
      <c r="M10" s="16">
        <f>+ROUND(Table13[[#This Row],[t(days)]],2)</f>
        <v>15.38</v>
      </c>
      <c r="N10" s="25">
        <f>Table13[[#This Row],[Corrosion Level]]*0.121*21*453.5924</f>
        <v>57.628914420000001</v>
      </c>
      <c r="O10" s="26">
        <f>+((N10*2*96485)/(Table13[[#This Row],[Current (A)]]*54.845))/(60*60*24)</f>
        <v>15.645454833469243</v>
      </c>
    </row>
    <row r="11" spans="1:15" ht="15.75" x14ac:dyDescent="0.25">
      <c r="A11">
        <v>0.1</v>
      </c>
      <c r="B11">
        <f>Table13[[#This Row],[Corrosion Level]]*0.121*21*453.5924</f>
        <v>115.25782884</v>
      </c>
      <c r="C11">
        <f>+C10</f>
        <v>0.15</v>
      </c>
      <c r="D11">
        <f t="shared" si="0"/>
        <v>469.88696223571066</v>
      </c>
      <c r="E11">
        <f t="shared" ref="E11:E14" si="1">+(B11*$B$4*$B$3)/(C11*$B$2*60*60)</f>
        <v>738.12900674548007</v>
      </c>
      <c r="F11">
        <f t="shared" ref="F11:F14" si="2">+E11/24</f>
        <v>30.755375281061671</v>
      </c>
      <c r="H11">
        <f>+Table13[[#This Row],[mloss]]/$B$7</f>
        <v>1.0831630213502217</v>
      </c>
      <c r="K11" s="14">
        <f>+Table13[[#This Row],[Corrosion Level]]</f>
        <v>0.1</v>
      </c>
      <c r="L11" s="25">
        <f>+Table13[[#This Row],[mloss]]</f>
        <v>115.25782884</v>
      </c>
      <c r="M11" s="16">
        <v>15</v>
      </c>
      <c r="N11" s="25">
        <f>Table13[[#This Row],[Corrosion Level]]*0.121*21*453.5924</f>
        <v>115.25782884</v>
      </c>
      <c r="O11" s="26">
        <f>+((N11*2*96485)/(Table13[[#This Row],[Current (A)]]*54.845))/(60*60*24)</f>
        <v>31.290909666938486</v>
      </c>
    </row>
    <row r="12" spans="1:15" ht="15.75" x14ac:dyDescent="0.25">
      <c r="A12">
        <v>0.15</v>
      </c>
      <c r="B12">
        <f>Table13[[#This Row],[Corrosion Level]]*0.121*21*453.5924</f>
        <v>172.88674326</v>
      </c>
      <c r="C12">
        <f t="shared" ref="C12:C14" si="3">+C11</f>
        <v>0.15</v>
      </c>
      <c r="D12">
        <f t="shared" si="0"/>
        <v>469.88696223571066</v>
      </c>
      <c r="E12">
        <f t="shared" si="1"/>
        <v>1107.19351011822</v>
      </c>
      <c r="F12">
        <f t="shared" si="2"/>
        <v>46.133062921592504</v>
      </c>
      <c r="H12">
        <f>+Table13[[#This Row],[mloss]]/$B$7</f>
        <v>1.6247445320253326</v>
      </c>
      <c r="K12" s="14">
        <f>+Table13[[#This Row],[Corrosion Level]]</f>
        <v>0.15</v>
      </c>
      <c r="L12" s="25">
        <f>+Table13[[#This Row],[mloss]]</f>
        <v>172.88674326</v>
      </c>
      <c r="M12" s="16">
        <v>22.5</v>
      </c>
      <c r="N12" s="25">
        <f>Table13[[#This Row],[Corrosion Level]]*0.121*21*453.5924</f>
        <v>172.88674326</v>
      </c>
      <c r="O12" s="26">
        <f>+((N12*2*96485)/(Table13[[#This Row],[Current (A)]]*54.845))/(60*60*24)</f>
        <v>46.936364500407727</v>
      </c>
    </row>
    <row r="13" spans="1:15" ht="15.75" x14ac:dyDescent="0.25">
      <c r="A13">
        <v>0.2</v>
      </c>
      <c r="B13">
        <f>Table13[[#This Row],[Corrosion Level]]*0.121*21*453.5924</f>
        <v>230.51565768</v>
      </c>
      <c r="C13">
        <f t="shared" si="3"/>
        <v>0.15</v>
      </c>
      <c r="D13">
        <f t="shared" si="0"/>
        <v>469.88696223571066</v>
      </c>
      <c r="E13">
        <f t="shared" si="1"/>
        <v>1476.2580134909601</v>
      </c>
      <c r="F13">
        <f t="shared" si="2"/>
        <v>61.510750562123341</v>
      </c>
      <c r="H13">
        <f>+Table13[[#This Row],[mloss]]/$B$7</f>
        <v>2.1663260427004434</v>
      </c>
      <c r="K13" s="14">
        <f>+Table13[[#This Row],[Corrosion Level]]</f>
        <v>0.2</v>
      </c>
      <c r="L13" s="25">
        <f>+Table13[[#This Row],[mloss]]</f>
        <v>230.51565768</v>
      </c>
      <c r="M13" s="16">
        <v>30</v>
      </c>
      <c r="N13" s="25">
        <f>Table13[[#This Row],[Corrosion Level]]*0.121*21*453.5924</f>
        <v>230.51565768</v>
      </c>
      <c r="O13" s="26">
        <f>+((N13*2*96485)/(Table13[[#This Row],[Current (A)]]*54.845))/(60*60*24)</f>
        <v>62.581819333876972</v>
      </c>
    </row>
    <row r="14" spans="1:15" ht="15.75" x14ac:dyDescent="0.25">
      <c r="A14">
        <v>0.25</v>
      </c>
      <c r="B14">
        <f>Table13[[#This Row],[Corrosion Level]]*0.121*21*453.5924</f>
        <v>288.1445721</v>
      </c>
      <c r="C14">
        <f t="shared" si="3"/>
        <v>0.15</v>
      </c>
      <c r="D14">
        <f t="shared" si="0"/>
        <v>469.88696223571066</v>
      </c>
      <c r="E14">
        <f t="shared" si="1"/>
        <v>1845.3225168637</v>
      </c>
      <c r="F14">
        <f t="shared" si="2"/>
        <v>76.888438202654172</v>
      </c>
      <c r="H14">
        <f>+Table13[[#This Row],[mloss]]/$B$7</f>
        <v>2.7079075533755543</v>
      </c>
      <c r="K14" s="14">
        <f>+Table13[[#This Row],[Corrosion Level]]</f>
        <v>0.25</v>
      </c>
      <c r="L14" s="25">
        <f>+Table13[[#This Row],[mloss]]</f>
        <v>288.1445721</v>
      </c>
      <c r="M14" s="16">
        <v>37.5</v>
      </c>
      <c r="N14" s="25">
        <f>Table13[[#This Row],[Corrosion Level]]*0.121*21*453.5924</f>
        <v>288.1445721</v>
      </c>
      <c r="O14" s="26">
        <f>+((N14*2*96485)/(Table13[[#This Row],[Current (A)]]*54.845))/(60*60*24)</f>
        <v>78.227274167346209</v>
      </c>
    </row>
    <row r="18" spans="1:3" x14ac:dyDescent="0.25">
      <c r="A18" t="s">
        <v>139</v>
      </c>
    </row>
    <row r="19" spans="1:3" x14ac:dyDescent="0.25">
      <c r="B19" t="s">
        <v>140</v>
      </c>
    </row>
    <row r="20" spans="1:3" x14ac:dyDescent="0.25">
      <c r="A20" s="23">
        <v>0.05</v>
      </c>
      <c r="B20">
        <f>+A20*$B$5/2.54*1000</f>
        <v>37.5</v>
      </c>
      <c r="C20">
        <f>+B20/($C$14*1000000*0.5)*360</f>
        <v>0.18</v>
      </c>
    </row>
    <row r="21" spans="1:3" x14ac:dyDescent="0.25">
      <c r="A21" s="24">
        <v>0.1</v>
      </c>
      <c r="B21">
        <f t="shared" ref="B21:B24" si="4">+A21*$B$5/2.54*1000</f>
        <v>75</v>
      </c>
      <c r="C21">
        <f t="shared" ref="C21:C24" si="5">+B21/($C$14*1000000*0.5)*360</f>
        <v>0.36</v>
      </c>
    </row>
    <row r="22" spans="1:3" x14ac:dyDescent="0.25">
      <c r="A22" s="23">
        <v>0.15</v>
      </c>
      <c r="B22">
        <f t="shared" si="4"/>
        <v>112.5</v>
      </c>
      <c r="C22">
        <f t="shared" si="5"/>
        <v>0.54</v>
      </c>
    </row>
    <row r="23" spans="1:3" x14ac:dyDescent="0.25">
      <c r="A23" s="24">
        <v>0.2</v>
      </c>
      <c r="B23">
        <f t="shared" si="4"/>
        <v>150</v>
      </c>
      <c r="C23">
        <f t="shared" si="5"/>
        <v>0.72</v>
      </c>
    </row>
    <row r="24" spans="1:3" x14ac:dyDescent="0.25">
      <c r="A24" s="23">
        <v>0.25</v>
      </c>
      <c r="B24">
        <f t="shared" si="4"/>
        <v>187.5</v>
      </c>
      <c r="C24">
        <f t="shared" si="5"/>
        <v>0.9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39" sqref="A39"/>
    </sheetView>
  </sheetViews>
  <sheetFormatPr defaultRowHeight="15" x14ac:dyDescent="0.25"/>
  <cols>
    <col min="1" max="1" width="16.85546875" customWidth="1"/>
    <col min="3" max="3" width="13" customWidth="1"/>
    <col min="4" max="4" width="26.42578125" customWidth="1"/>
    <col min="6" max="6" width="9.28515625" customWidth="1"/>
    <col min="11" max="11" width="17.42578125" customWidth="1"/>
    <col min="12" max="12" width="14.5703125" customWidth="1"/>
    <col min="13" max="13" width="12.42578125" customWidth="1"/>
    <col min="14" max="14" width="18.85546875" bestFit="1" customWidth="1"/>
    <col min="15" max="15" width="20.28515625" bestFit="1" customWidth="1"/>
  </cols>
  <sheetData>
    <row r="1" spans="1:15" x14ac:dyDescent="0.25">
      <c r="A1" t="s">
        <v>8</v>
      </c>
      <c r="B1">
        <f>2.54*7</f>
        <v>17.78</v>
      </c>
      <c r="C1" t="s">
        <v>10</v>
      </c>
    </row>
    <row r="2" spans="1:15" x14ac:dyDescent="0.25">
      <c r="A2" t="s">
        <v>1</v>
      </c>
      <c r="B2">
        <v>55.8</v>
      </c>
      <c r="C2" t="s">
        <v>2</v>
      </c>
    </row>
    <row r="3" spans="1:15" x14ac:dyDescent="0.25">
      <c r="A3" t="s">
        <v>3</v>
      </c>
      <c r="B3">
        <v>96485</v>
      </c>
      <c r="C3" t="s">
        <v>4</v>
      </c>
    </row>
    <row r="4" spans="1:15" x14ac:dyDescent="0.25">
      <c r="A4" t="s">
        <v>5</v>
      </c>
      <c r="B4">
        <v>2</v>
      </c>
    </row>
    <row r="5" spans="1:15" x14ac:dyDescent="0.25">
      <c r="A5" t="s">
        <v>7</v>
      </c>
      <c r="B5">
        <f>2.54*0.75</f>
        <v>1.905</v>
      </c>
      <c r="C5" t="s">
        <v>10</v>
      </c>
    </row>
    <row r="6" spans="1:15" x14ac:dyDescent="0.25">
      <c r="A6" t="s">
        <v>9</v>
      </c>
      <c r="B6">
        <v>6.54</v>
      </c>
      <c r="C6" t="s">
        <v>11</v>
      </c>
    </row>
    <row r="7" spans="1:15" x14ac:dyDescent="0.25">
      <c r="A7" t="s">
        <v>15</v>
      </c>
      <c r="B7">
        <f>2*PI()*(B5/2)*B1</f>
        <v>106.40857061047453</v>
      </c>
      <c r="C7" t="s">
        <v>16</v>
      </c>
    </row>
    <row r="9" spans="1:15" ht="16.5" thickBot="1" x14ac:dyDescent="0.3">
      <c r="A9" t="s">
        <v>0</v>
      </c>
      <c r="B9" t="s">
        <v>6</v>
      </c>
      <c r="C9" t="s">
        <v>14</v>
      </c>
      <c r="D9" t="s">
        <v>17</v>
      </c>
      <c r="E9" t="s">
        <v>12</v>
      </c>
      <c r="F9" t="s">
        <v>13</v>
      </c>
      <c r="K9" s="13" t="s">
        <v>0</v>
      </c>
      <c r="L9" s="13" t="s">
        <v>115</v>
      </c>
      <c r="M9" s="13" t="s">
        <v>114</v>
      </c>
      <c r="N9" s="13" t="s">
        <v>141</v>
      </c>
      <c r="O9" s="13" t="s">
        <v>142</v>
      </c>
    </row>
    <row r="10" spans="1:15" ht="15.75" x14ac:dyDescent="0.25">
      <c r="A10">
        <v>0.05</v>
      </c>
      <c r="B10">
        <f>0.25*PI()*$B$5^2*$B$6*A10</f>
        <v>0.93202506936495988</v>
      </c>
      <c r="C10">
        <v>5.0000000000000001E-3</v>
      </c>
      <c r="D10">
        <f>+C10*1000000/$B$7</f>
        <v>46.988696223571068</v>
      </c>
      <c r="E10">
        <f>+(B10*$B$4*$B$3)/(C10*$B$2*60*60)</f>
        <v>179.06499167199954</v>
      </c>
      <c r="F10">
        <f>+E10/24</f>
        <v>7.4610413196666476</v>
      </c>
      <c r="H10">
        <f>+Table1[[#This Row],[mloss]]/$B$7</f>
        <v>8.7589285714285703E-3</v>
      </c>
      <c r="I10">
        <f>+H10/((47*54.845)/(2*96485*B6))</f>
        <v>4.2882849033515553</v>
      </c>
      <c r="K10" s="14">
        <f>+Table1[[#This Row],[Corrosion Level]]</f>
        <v>0.05</v>
      </c>
      <c r="L10" s="15">
        <f>+Table1[[#This Row],[mloss]]</f>
        <v>0.93202506936495988</v>
      </c>
      <c r="M10" s="16">
        <f>+ROUND(Table1[[#This Row],[t(days)]],2)</f>
        <v>7.46</v>
      </c>
      <c r="N10" s="15">
        <f>Table1[[#This Row],[Corrosion Level]]*0.121*21*453.5924</f>
        <v>57.628914420000001</v>
      </c>
      <c r="O10" s="15">
        <f>+((N10*2*96485)/(Table1[[#This Row],[Current (A)]]*54.845))/(60*60*24)</f>
        <v>469.36364500407717</v>
      </c>
    </row>
    <row r="11" spans="1:15" ht="15.75" x14ac:dyDescent="0.25">
      <c r="A11">
        <v>0.1</v>
      </c>
      <c r="B11">
        <f t="shared" ref="B11:B14" si="0">0.25*PI()*$B$5^2*$B$6*A11</f>
        <v>1.8640501387299198</v>
      </c>
      <c r="C11">
        <f>+C10</f>
        <v>5.0000000000000001E-3</v>
      </c>
      <c r="D11">
        <f t="shared" ref="D11:D14" si="1">+C11*1000000/$B$7</f>
        <v>46.988696223571068</v>
      </c>
      <c r="E11">
        <f t="shared" ref="E11:E14" si="2">+(B11*$B$4*$B$3)/(C11*$B$2*60*60)</f>
        <v>358.12998334399907</v>
      </c>
      <c r="F11">
        <f t="shared" ref="F11:F14" si="3">+E11/24</f>
        <v>14.922082639333295</v>
      </c>
      <c r="H11">
        <f>+Table1[[#This Row],[mloss]]/$B$7</f>
        <v>1.7517857142857141E-2</v>
      </c>
      <c r="K11" s="14">
        <f>+Table1[[#This Row],[Corrosion Level]]</f>
        <v>0.1</v>
      </c>
      <c r="L11" s="15">
        <f>+Table1[[#This Row],[mloss]]</f>
        <v>1.8640501387299198</v>
      </c>
      <c r="M11" s="16">
        <v>15</v>
      </c>
      <c r="N11" s="15">
        <f>Table1[[#This Row],[Corrosion Level]]*0.121*21*453.5924</f>
        <v>115.25782884</v>
      </c>
      <c r="O11" s="15">
        <f>+((N11*2*96485)/(Table1[[#This Row],[Current (A)]]*54.845))/(60*60*24)</f>
        <v>938.72729000815434</v>
      </c>
    </row>
    <row r="12" spans="1:15" ht="15.75" x14ac:dyDescent="0.25">
      <c r="A12">
        <v>0.15</v>
      </c>
      <c r="B12">
        <f t="shared" si="0"/>
        <v>2.7960752080948792</v>
      </c>
      <c r="C12">
        <f t="shared" ref="C12:C14" si="4">+C11</f>
        <v>5.0000000000000001E-3</v>
      </c>
      <c r="D12">
        <f t="shared" si="1"/>
        <v>46.988696223571068</v>
      </c>
      <c r="E12">
        <f t="shared" si="2"/>
        <v>537.19497501599847</v>
      </c>
      <c r="F12">
        <f t="shared" si="3"/>
        <v>22.383123958999935</v>
      </c>
      <c r="H12">
        <f>+Table1[[#This Row],[mloss]]/$B$7</f>
        <v>2.6276785714285707E-2</v>
      </c>
      <c r="K12" s="14">
        <f>+Table1[[#This Row],[Corrosion Level]]</f>
        <v>0.15</v>
      </c>
      <c r="L12" s="15">
        <f>+Table1[[#This Row],[mloss]]</f>
        <v>2.7960752080948792</v>
      </c>
      <c r="M12" s="16">
        <v>22.5</v>
      </c>
      <c r="N12" s="15">
        <f>Table1[[#This Row],[Corrosion Level]]*0.121*21*453.5924</f>
        <v>172.88674326</v>
      </c>
      <c r="O12" s="15">
        <f>+((N12*2*96485)/(Table1[[#This Row],[Current (A)]]*54.845))/(60*60*24)</f>
        <v>1408.0909350122315</v>
      </c>
    </row>
    <row r="13" spans="1:15" ht="15.75" x14ac:dyDescent="0.25">
      <c r="A13">
        <v>0.2</v>
      </c>
      <c r="B13">
        <f t="shared" si="0"/>
        <v>3.7281002774598395</v>
      </c>
      <c r="C13">
        <f t="shared" si="4"/>
        <v>5.0000000000000001E-3</v>
      </c>
      <c r="D13">
        <f t="shared" si="1"/>
        <v>46.988696223571068</v>
      </c>
      <c r="E13">
        <f t="shared" si="2"/>
        <v>716.25996668799814</v>
      </c>
      <c r="F13">
        <f t="shared" si="3"/>
        <v>29.844165278666591</v>
      </c>
      <c r="H13">
        <f>+Table1[[#This Row],[mloss]]/$B$7</f>
        <v>3.5035714285714281E-2</v>
      </c>
      <c r="K13" s="14">
        <f>+Table1[[#This Row],[Corrosion Level]]</f>
        <v>0.2</v>
      </c>
      <c r="L13" s="15">
        <f>+Table1[[#This Row],[mloss]]</f>
        <v>3.7281002774598395</v>
      </c>
      <c r="M13" s="16">
        <v>30</v>
      </c>
      <c r="N13" s="15">
        <f>Table1[[#This Row],[Corrosion Level]]*0.121*21*453.5924</f>
        <v>230.51565768</v>
      </c>
      <c r="O13" s="15">
        <f>+((N13*2*96485)/(Table1[[#This Row],[Current (A)]]*54.845))/(60*60*24)</f>
        <v>1877.4545800163087</v>
      </c>
    </row>
    <row r="14" spans="1:15" ht="15.75" x14ac:dyDescent="0.25">
      <c r="A14">
        <v>0.25</v>
      </c>
      <c r="B14">
        <f t="shared" si="0"/>
        <v>4.660125346824799</v>
      </c>
      <c r="C14">
        <f t="shared" si="4"/>
        <v>5.0000000000000001E-3</v>
      </c>
      <c r="D14">
        <f t="shared" si="1"/>
        <v>46.988696223571068</v>
      </c>
      <c r="E14">
        <f t="shared" si="2"/>
        <v>895.32495835999759</v>
      </c>
      <c r="F14">
        <f t="shared" si="3"/>
        <v>37.305206598333235</v>
      </c>
      <c r="H14">
        <f>+Table1[[#This Row],[mloss]]/$B$7</f>
        <v>4.3794642857142851E-2</v>
      </c>
      <c r="K14" s="14">
        <f>+Table1[[#This Row],[Corrosion Level]]</f>
        <v>0.25</v>
      </c>
      <c r="L14" s="15">
        <f>+Table1[[#This Row],[mloss]]</f>
        <v>4.660125346824799</v>
      </c>
      <c r="M14" s="16">
        <v>37.5</v>
      </c>
      <c r="N14" s="15">
        <f>Table1[[#This Row],[Corrosion Level]]*0.121*21*453.5924</f>
        <v>288.1445721</v>
      </c>
      <c r="O14" s="15">
        <f>+((N14*2*96485)/(Table1[[#This Row],[Current (A)]]*54.845))/(60*60*24)</f>
        <v>2346.8182250203859</v>
      </c>
    </row>
    <row r="18" spans="1:3" x14ac:dyDescent="0.25">
      <c r="A18" t="s">
        <v>139</v>
      </c>
    </row>
    <row r="19" spans="1:3" x14ac:dyDescent="0.25">
      <c r="B19" t="s">
        <v>140</v>
      </c>
    </row>
    <row r="20" spans="1:3" x14ac:dyDescent="0.25">
      <c r="A20" s="23">
        <v>0.05</v>
      </c>
      <c r="B20">
        <f>+A20*$B$5/2.54*1000</f>
        <v>37.5</v>
      </c>
      <c r="C20">
        <f>+B20/($C$14*1000000*0.5)*360</f>
        <v>5.3999999999999995</v>
      </c>
    </row>
    <row r="21" spans="1:3" x14ac:dyDescent="0.25">
      <c r="A21" s="24">
        <v>0.1</v>
      </c>
      <c r="B21">
        <f t="shared" ref="B21:B24" si="5">+A21*$B$5/2.54*1000</f>
        <v>75</v>
      </c>
      <c r="C21">
        <f t="shared" ref="C21:C24" si="6">+B21/($C$14*1000000*0.5)*360</f>
        <v>10.799999999999999</v>
      </c>
    </row>
    <row r="22" spans="1:3" x14ac:dyDescent="0.25">
      <c r="A22" s="23">
        <v>0.15</v>
      </c>
      <c r="B22">
        <f t="shared" si="5"/>
        <v>112.5</v>
      </c>
      <c r="C22">
        <f t="shared" si="6"/>
        <v>16.2</v>
      </c>
    </row>
    <row r="23" spans="1:3" x14ac:dyDescent="0.25">
      <c r="A23" s="24">
        <v>0.2</v>
      </c>
      <c r="B23">
        <f t="shared" si="5"/>
        <v>150</v>
      </c>
      <c r="C23">
        <f t="shared" si="6"/>
        <v>21.599999999999998</v>
      </c>
    </row>
    <row r="24" spans="1:3" x14ac:dyDescent="0.25">
      <c r="A24" s="23">
        <v>0.25</v>
      </c>
      <c r="B24">
        <f t="shared" si="5"/>
        <v>187.5</v>
      </c>
      <c r="C24">
        <f t="shared" si="6"/>
        <v>27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topLeftCell="A7" workbookViewId="0">
      <selection activeCell="B26" sqref="B26"/>
    </sheetView>
  </sheetViews>
  <sheetFormatPr defaultRowHeight="15" x14ac:dyDescent="0.25"/>
  <cols>
    <col min="2" max="2" width="24.7109375" bestFit="1" customWidth="1"/>
    <col min="3" max="3" width="12" bestFit="1" customWidth="1"/>
    <col min="6" max="6" width="10.5703125" bestFit="1" customWidth="1"/>
  </cols>
  <sheetData>
    <row r="2" spans="1:15" ht="15.75" thickBot="1" x14ac:dyDescent="0.3"/>
    <row r="3" spans="1:15" ht="15.75" thickBot="1" x14ac:dyDescent="0.3">
      <c r="A3" s="7" t="s">
        <v>18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</row>
    <row r="4" spans="1:15" x14ac:dyDescent="0.25">
      <c r="A4" s="11">
        <v>1</v>
      </c>
      <c r="B4" t="s">
        <v>26</v>
      </c>
      <c r="C4" s="9">
        <v>2</v>
      </c>
      <c r="D4" t="s">
        <v>25</v>
      </c>
      <c r="E4" s="8">
        <v>16.68</v>
      </c>
      <c r="F4" s="8">
        <f t="shared" ref="F4:F23" si="0">+E4*C4</f>
        <v>33.36</v>
      </c>
      <c r="G4" s="3" t="s">
        <v>45</v>
      </c>
    </row>
    <row r="5" spans="1:15" x14ac:dyDescent="0.25">
      <c r="A5">
        <v>2</v>
      </c>
      <c r="B5" t="s">
        <v>27</v>
      </c>
      <c r="C5" s="9">
        <v>2</v>
      </c>
      <c r="D5" t="s">
        <v>51</v>
      </c>
      <c r="E5" s="8">
        <v>64.75</v>
      </c>
      <c r="F5" s="8">
        <f t="shared" si="0"/>
        <v>129.5</v>
      </c>
      <c r="G5" s="3" t="s">
        <v>52</v>
      </c>
    </row>
    <row r="6" spans="1:15" x14ac:dyDescent="0.25">
      <c r="A6">
        <v>3</v>
      </c>
      <c r="B6" t="s">
        <v>107</v>
      </c>
      <c r="C6" s="9">
        <v>1</v>
      </c>
      <c r="D6" t="s">
        <v>108</v>
      </c>
      <c r="E6" s="8">
        <v>149</v>
      </c>
      <c r="F6" s="8">
        <f t="shared" si="0"/>
        <v>149</v>
      </c>
      <c r="G6" s="3"/>
    </row>
    <row r="7" spans="1:15" x14ac:dyDescent="0.25">
      <c r="A7">
        <v>4</v>
      </c>
      <c r="B7" t="s">
        <v>28</v>
      </c>
      <c r="C7" s="9">
        <v>1</v>
      </c>
      <c r="D7" t="s">
        <v>109</v>
      </c>
      <c r="E7" s="8">
        <v>40.93</v>
      </c>
      <c r="F7" s="8">
        <f t="shared" si="0"/>
        <v>40.93</v>
      </c>
      <c r="G7" s="5" t="s">
        <v>90</v>
      </c>
    </row>
    <row r="8" spans="1:15" x14ac:dyDescent="0.25">
      <c r="A8" s="11">
        <v>5</v>
      </c>
      <c r="B8" t="s">
        <v>72</v>
      </c>
      <c r="C8" s="9">
        <v>4</v>
      </c>
      <c r="D8" t="s">
        <v>66</v>
      </c>
      <c r="E8" s="8">
        <v>24.45</v>
      </c>
      <c r="F8" s="8">
        <f t="shared" si="0"/>
        <v>97.8</v>
      </c>
      <c r="G8" s="3" t="s">
        <v>65</v>
      </c>
      <c r="O8">
        <v>1</v>
      </c>
    </row>
    <row r="9" spans="1:15" x14ac:dyDescent="0.25">
      <c r="A9" s="11">
        <v>6</v>
      </c>
      <c r="B9" t="s">
        <v>71</v>
      </c>
      <c r="C9" s="9">
        <v>4</v>
      </c>
      <c r="D9" t="s">
        <v>110</v>
      </c>
      <c r="E9" s="8">
        <v>35.5</v>
      </c>
      <c r="F9" s="8">
        <f t="shared" si="0"/>
        <v>142</v>
      </c>
      <c r="G9" s="3" t="s">
        <v>50</v>
      </c>
      <c r="O9" t="s">
        <v>111</v>
      </c>
    </row>
    <row r="10" spans="1:15" x14ac:dyDescent="0.25">
      <c r="A10">
        <v>7</v>
      </c>
      <c r="B10" t="s">
        <v>103</v>
      </c>
      <c r="C10" s="9">
        <v>1</v>
      </c>
      <c r="D10" t="s">
        <v>104</v>
      </c>
      <c r="E10" s="8">
        <v>7</v>
      </c>
      <c r="F10" s="8">
        <f t="shared" si="0"/>
        <v>7</v>
      </c>
      <c r="G10" s="4"/>
    </row>
    <row r="11" spans="1:15" x14ac:dyDescent="0.25">
      <c r="A11">
        <v>8</v>
      </c>
      <c r="B11" t="s">
        <v>99</v>
      </c>
      <c r="C11" s="9">
        <v>7</v>
      </c>
      <c r="D11" t="s">
        <v>102</v>
      </c>
      <c r="E11" s="8">
        <v>33.26</v>
      </c>
      <c r="F11" s="8">
        <f t="shared" si="0"/>
        <v>232.82</v>
      </c>
      <c r="G11" s="4">
        <v>295096</v>
      </c>
    </row>
    <row r="12" spans="1:15" x14ac:dyDescent="0.25">
      <c r="A12">
        <v>9</v>
      </c>
      <c r="B12" t="s">
        <v>100</v>
      </c>
      <c r="C12" s="9">
        <v>30</v>
      </c>
      <c r="D12" t="s">
        <v>25</v>
      </c>
      <c r="E12" s="8">
        <v>4.59</v>
      </c>
      <c r="F12" s="8">
        <f t="shared" si="0"/>
        <v>137.69999999999999</v>
      </c>
      <c r="G12" s="4"/>
    </row>
    <row r="13" spans="1:15" x14ac:dyDescent="0.25">
      <c r="A13">
        <v>10</v>
      </c>
      <c r="B13" t="s">
        <v>101</v>
      </c>
      <c r="C13" s="9">
        <v>30</v>
      </c>
      <c r="D13" t="s">
        <v>25</v>
      </c>
      <c r="E13" s="8">
        <v>11.7</v>
      </c>
      <c r="F13" s="8">
        <f>+E13*C13</f>
        <v>351</v>
      </c>
      <c r="G13" s="4"/>
    </row>
    <row r="14" spans="1:15" x14ac:dyDescent="0.25">
      <c r="A14">
        <v>11</v>
      </c>
      <c r="B14" t="s">
        <v>80</v>
      </c>
      <c r="C14" s="9">
        <v>9</v>
      </c>
      <c r="D14" t="s">
        <v>25</v>
      </c>
      <c r="E14" s="8">
        <v>28.99</v>
      </c>
      <c r="F14" s="8">
        <f t="shared" ref="F14:F17" si="1">+E14*C14</f>
        <v>260.90999999999997</v>
      </c>
      <c r="G14" s="3" t="s">
        <v>85</v>
      </c>
    </row>
    <row r="15" spans="1:15" x14ac:dyDescent="0.25">
      <c r="A15" s="12">
        <v>12</v>
      </c>
      <c r="B15" t="s">
        <v>81</v>
      </c>
      <c r="C15" s="9">
        <v>9</v>
      </c>
      <c r="D15" t="s">
        <v>25</v>
      </c>
      <c r="E15" s="8">
        <v>9.8800000000000008</v>
      </c>
      <c r="F15" s="8">
        <f t="shared" si="1"/>
        <v>88.92</v>
      </c>
      <c r="G15" s="3" t="s">
        <v>84</v>
      </c>
    </row>
    <row r="16" spans="1:15" x14ac:dyDescent="0.25">
      <c r="A16" s="12">
        <v>13</v>
      </c>
      <c r="B16" t="s">
        <v>105</v>
      </c>
      <c r="C16" s="9">
        <v>9</v>
      </c>
      <c r="D16" t="s">
        <v>106</v>
      </c>
      <c r="E16" s="8">
        <v>2.2400000000000002</v>
      </c>
      <c r="F16" s="8">
        <f t="shared" si="1"/>
        <v>20.160000000000004</v>
      </c>
      <c r="G16" s="3"/>
    </row>
    <row r="17" spans="1:9" x14ac:dyDescent="0.25">
      <c r="A17" s="12">
        <v>14</v>
      </c>
      <c r="B17" t="s">
        <v>112</v>
      </c>
      <c r="C17" s="9">
        <v>2</v>
      </c>
      <c r="D17" t="s">
        <v>113</v>
      </c>
      <c r="E17" s="8">
        <v>13.25</v>
      </c>
      <c r="F17" s="8">
        <f t="shared" si="1"/>
        <v>26.5</v>
      </c>
      <c r="G17" s="3"/>
    </row>
    <row r="18" spans="1:9" x14ac:dyDescent="0.25">
      <c r="A18" s="11">
        <v>15</v>
      </c>
      <c r="B18" t="s">
        <v>74</v>
      </c>
      <c r="C18" s="9">
        <v>1</v>
      </c>
      <c r="D18" t="s">
        <v>25</v>
      </c>
      <c r="E18" s="8">
        <v>8.41</v>
      </c>
      <c r="F18" s="8">
        <f t="shared" si="0"/>
        <v>8.41</v>
      </c>
      <c r="G18" s="3"/>
    </row>
    <row r="19" spans="1:9" x14ac:dyDescent="0.25">
      <c r="A19" s="11">
        <v>16</v>
      </c>
      <c r="B19" t="s">
        <v>29</v>
      </c>
      <c r="C19" s="9">
        <v>0</v>
      </c>
      <c r="D19" t="s">
        <v>39</v>
      </c>
      <c r="E19" s="8">
        <v>4.8</v>
      </c>
      <c r="F19" s="8">
        <f t="shared" si="0"/>
        <v>0</v>
      </c>
      <c r="G19" s="2" t="s">
        <v>40</v>
      </c>
    </row>
    <row r="20" spans="1:9" x14ac:dyDescent="0.25">
      <c r="A20" s="11">
        <v>17</v>
      </c>
      <c r="B20" t="s">
        <v>30</v>
      </c>
      <c r="C20" s="9">
        <v>0</v>
      </c>
      <c r="D20" t="s">
        <v>41</v>
      </c>
      <c r="E20" s="8">
        <v>53.5</v>
      </c>
      <c r="F20" s="8">
        <f t="shared" si="0"/>
        <v>0</v>
      </c>
      <c r="G20" s="2" t="s">
        <v>42</v>
      </c>
    </row>
    <row r="21" spans="1:9" x14ac:dyDescent="0.25">
      <c r="A21" s="11">
        <v>18</v>
      </c>
      <c r="B21" t="s">
        <v>31</v>
      </c>
      <c r="C21" s="9">
        <v>0</v>
      </c>
      <c r="D21" t="s">
        <v>39</v>
      </c>
      <c r="E21" s="8">
        <v>27.75</v>
      </c>
      <c r="F21" s="8">
        <f t="shared" si="0"/>
        <v>0</v>
      </c>
      <c r="G21" s="2" t="s">
        <v>44</v>
      </c>
    </row>
    <row r="22" spans="1:9" x14ac:dyDescent="0.25">
      <c r="A22">
        <v>19</v>
      </c>
      <c r="B22" t="s">
        <v>32</v>
      </c>
      <c r="C22" s="9">
        <v>5</v>
      </c>
      <c r="D22" t="s">
        <v>39</v>
      </c>
      <c r="E22" s="8">
        <v>22.2</v>
      </c>
      <c r="F22" s="8">
        <f t="shared" si="0"/>
        <v>111</v>
      </c>
      <c r="G22" s="2" t="s">
        <v>43</v>
      </c>
    </row>
    <row r="23" spans="1:9" ht="15.75" thickBot="1" x14ac:dyDescent="0.3">
      <c r="A23" s="11">
        <v>20</v>
      </c>
      <c r="B23" t="s">
        <v>68</v>
      </c>
      <c r="C23" s="9">
        <v>0</v>
      </c>
      <c r="D23" t="s">
        <v>39</v>
      </c>
      <c r="E23" s="8">
        <v>7.5</v>
      </c>
      <c r="F23" s="8">
        <f t="shared" si="0"/>
        <v>0</v>
      </c>
      <c r="G23" s="2"/>
    </row>
    <row r="24" spans="1:9" ht="15.75" thickBot="1" x14ac:dyDescent="0.3">
      <c r="A24" s="28" t="s">
        <v>69</v>
      </c>
      <c r="B24" s="28"/>
      <c r="C24" s="28"/>
      <c r="D24" s="28"/>
      <c r="E24" s="28"/>
      <c r="F24" s="10">
        <f>SUM(F4:F23)</f>
        <v>1837.0100000000002</v>
      </c>
    </row>
    <row r="26" spans="1:9" x14ac:dyDescent="0.25">
      <c r="B26" t="s">
        <v>33</v>
      </c>
      <c r="C26">
        <v>45</v>
      </c>
      <c r="D26" t="s">
        <v>34</v>
      </c>
      <c r="E26" t="s">
        <v>35</v>
      </c>
      <c r="F26">
        <f>+C26*3.78541</f>
        <v>170.34345000000002</v>
      </c>
      <c r="G26" t="s">
        <v>36</v>
      </c>
      <c r="I26">
        <f>250/1000</f>
        <v>0.25</v>
      </c>
    </row>
    <row r="27" spans="1:9" x14ac:dyDescent="0.25">
      <c r="B27" t="s">
        <v>30</v>
      </c>
      <c r="C27" s="1" t="s">
        <v>73</v>
      </c>
      <c r="D27" t="s">
        <v>37</v>
      </c>
      <c r="E27">
        <v>1</v>
      </c>
    </row>
    <row r="28" spans="1:9" x14ac:dyDescent="0.25">
      <c r="B28" t="s">
        <v>31</v>
      </c>
      <c r="C28" s="1">
        <f>11.22*F26</f>
        <v>1911.2535090000003</v>
      </c>
      <c r="D28" t="s">
        <v>37</v>
      </c>
      <c r="E28">
        <f>+C28/500</f>
        <v>3.8225070180000005</v>
      </c>
    </row>
    <row r="29" spans="1:9" x14ac:dyDescent="0.25">
      <c r="B29" t="s">
        <v>32</v>
      </c>
      <c r="C29" s="1">
        <f>13.77*F26</f>
        <v>2345.6293065</v>
      </c>
      <c r="D29" t="s">
        <v>37</v>
      </c>
      <c r="E29">
        <f>+C29/500</f>
        <v>4.6912586129999996</v>
      </c>
    </row>
    <row r="30" spans="1:9" x14ac:dyDescent="0.25">
      <c r="B30" t="s">
        <v>38</v>
      </c>
      <c r="C30" s="1">
        <v>150</v>
      </c>
      <c r="D30" t="s">
        <v>37</v>
      </c>
      <c r="E30">
        <f>POWER(0.0000065/4,1/3)*F26*74</f>
        <v>148.19775124007987</v>
      </c>
    </row>
    <row r="32" spans="1:9" x14ac:dyDescent="0.25">
      <c r="B32" t="s">
        <v>62</v>
      </c>
    </row>
    <row r="33" spans="2:6" x14ac:dyDescent="0.25">
      <c r="B33" t="s">
        <v>53</v>
      </c>
      <c r="C33">
        <v>0.75</v>
      </c>
      <c r="D33" t="s">
        <v>54</v>
      </c>
    </row>
    <row r="34" spans="2:6" x14ac:dyDescent="0.25">
      <c r="B34" t="s">
        <v>36</v>
      </c>
      <c r="C34">
        <v>17.5</v>
      </c>
      <c r="D34" t="s">
        <v>54</v>
      </c>
    </row>
    <row r="35" spans="2:6" x14ac:dyDescent="0.25">
      <c r="B35" t="s">
        <v>55</v>
      </c>
      <c r="C35">
        <f>0.25*PI()*C33^2</f>
        <v>0.44178646691106466</v>
      </c>
      <c r="D35" t="s">
        <v>56</v>
      </c>
    </row>
    <row r="36" spans="2:6" x14ac:dyDescent="0.25">
      <c r="B36" t="s">
        <v>57</v>
      </c>
      <c r="C36">
        <f>0.000001</f>
        <v>9.9999999999999995E-7</v>
      </c>
    </row>
    <row r="37" spans="2:6" x14ac:dyDescent="0.25">
      <c r="B37" t="s">
        <v>58</v>
      </c>
      <c r="C37">
        <f>+C36*C34/C35</f>
        <v>3.9611896947316168E-5</v>
      </c>
    </row>
    <row r="38" spans="2:6" x14ac:dyDescent="0.25">
      <c r="B38" t="s">
        <v>58</v>
      </c>
      <c r="C38">
        <f>+C37*4</f>
        <v>1.5844758778926467E-4</v>
      </c>
    </row>
    <row r="39" spans="2:6" x14ac:dyDescent="0.25">
      <c r="B39" t="s">
        <v>59</v>
      </c>
      <c r="C39">
        <v>5.0000000000000001E-3</v>
      </c>
      <c r="D39" t="s">
        <v>60</v>
      </c>
    </row>
    <row r="40" spans="2:6" x14ac:dyDescent="0.25">
      <c r="B40" t="s">
        <v>61</v>
      </c>
      <c r="C40">
        <f>+C39*C38</f>
        <v>7.9223793894632341E-7</v>
      </c>
    </row>
    <row r="43" spans="2:6" x14ac:dyDescent="0.25">
      <c r="B43" t="s">
        <v>116</v>
      </c>
      <c r="C43">
        <f>0.3*F26</f>
        <v>51.103035000000006</v>
      </c>
    </row>
    <row r="44" spans="2:6" x14ac:dyDescent="0.25">
      <c r="B44" t="s">
        <v>94</v>
      </c>
      <c r="C44">
        <f>43*0.25*PI()*1.25^2</f>
        <v>52.768939103266057</v>
      </c>
      <c r="D44" t="s">
        <v>95</v>
      </c>
      <c r="E44">
        <v>2</v>
      </c>
      <c r="F44" t="s">
        <v>96</v>
      </c>
    </row>
    <row r="45" spans="2:6" x14ac:dyDescent="0.25">
      <c r="B45" t="s">
        <v>97</v>
      </c>
      <c r="C45">
        <f>0.3*E44</f>
        <v>0.6</v>
      </c>
      <c r="D45" t="s">
        <v>97</v>
      </c>
      <c r="E45">
        <f>+C45*58.44277</f>
        <v>35.065662000000003</v>
      </c>
      <c r="F45" t="s">
        <v>98</v>
      </c>
    </row>
  </sheetData>
  <mergeCells count="1">
    <mergeCell ref="A24:E24"/>
  </mergeCells>
  <hyperlinks>
    <hyperlink ref="G4" r:id="rId1"/>
    <hyperlink ref="G9" r:id="rId2"/>
    <hyperlink ref="G5" r:id="rId3"/>
    <hyperlink ref="G8" r:id="rId4"/>
    <hyperlink ref="G15" r:id="rId5"/>
    <hyperlink ref="G14" r:id="rId6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17" sqref="B17"/>
    </sheetView>
  </sheetViews>
  <sheetFormatPr defaultRowHeight="15" x14ac:dyDescent="0.25"/>
  <cols>
    <col min="1" max="1" width="23.140625" customWidth="1"/>
  </cols>
  <sheetData>
    <row r="1" spans="1:9" ht="15.75" x14ac:dyDescent="0.25">
      <c r="A1" s="18" t="s">
        <v>117</v>
      </c>
      <c r="B1" s="19"/>
      <c r="C1" s="19"/>
      <c r="D1" s="19"/>
      <c r="E1" s="19"/>
      <c r="F1" s="19"/>
      <c r="G1" s="19"/>
      <c r="H1" s="19"/>
    </row>
    <row r="2" spans="1:9" x14ac:dyDescent="0.25">
      <c r="A2" s="19"/>
      <c r="B2" s="19"/>
      <c r="C2" s="19"/>
      <c r="D2" s="19"/>
      <c r="E2" s="19"/>
      <c r="F2" s="19"/>
      <c r="G2" s="19"/>
      <c r="H2" s="19"/>
    </row>
    <row r="3" spans="1:9" x14ac:dyDescent="0.25">
      <c r="A3" s="19" t="s">
        <v>118</v>
      </c>
      <c r="B3" s="19">
        <v>9</v>
      </c>
      <c r="C3" s="19"/>
      <c r="D3" s="19"/>
      <c r="E3" s="19"/>
      <c r="F3" s="19"/>
      <c r="G3" s="19"/>
      <c r="H3" s="19"/>
    </row>
    <row r="4" spans="1:9" x14ac:dyDescent="0.25">
      <c r="A4" s="19" t="s">
        <v>119</v>
      </c>
      <c r="B4" s="19">
        <v>3</v>
      </c>
      <c r="C4" s="19" t="s">
        <v>124</v>
      </c>
      <c r="D4" s="19"/>
      <c r="E4" s="19"/>
      <c r="F4" s="19"/>
      <c r="G4" s="19"/>
      <c r="H4" s="19"/>
    </row>
    <row r="5" spans="1:9" x14ac:dyDescent="0.25">
      <c r="A5" s="19" t="s">
        <v>120</v>
      </c>
      <c r="B5" s="19">
        <v>50</v>
      </c>
      <c r="C5" s="19" t="s">
        <v>124</v>
      </c>
      <c r="D5" s="19"/>
      <c r="E5" s="19"/>
      <c r="F5" s="19"/>
      <c r="G5" s="19"/>
      <c r="H5" s="19"/>
    </row>
    <row r="6" spans="1:9" x14ac:dyDescent="0.25">
      <c r="A6" s="19" t="s">
        <v>122</v>
      </c>
      <c r="B6" s="19">
        <f>0.25*PI()*B4^2*B5</f>
        <v>353.42917352885172</v>
      </c>
      <c r="C6" s="19" t="s">
        <v>123</v>
      </c>
      <c r="D6" s="19"/>
      <c r="E6" s="19"/>
      <c r="F6" s="19"/>
      <c r="G6" s="19"/>
      <c r="H6" s="19"/>
    </row>
    <row r="7" spans="1:9" x14ac:dyDescent="0.25">
      <c r="A7" s="19" t="s">
        <v>121</v>
      </c>
      <c r="B7" s="19">
        <f>0.1*B6</f>
        <v>35.342917352885173</v>
      </c>
      <c r="C7" s="19" t="s">
        <v>123</v>
      </c>
      <c r="D7" s="19"/>
      <c r="E7" s="19"/>
      <c r="F7" s="19"/>
      <c r="G7" s="19"/>
      <c r="H7" s="19"/>
    </row>
    <row r="8" spans="1:9" x14ac:dyDescent="0.25">
      <c r="A8" s="19" t="s">
        <v>127</v>
      </c>
      <c r="B8" s="19">
        <f>+B6*B3+B7*B3*2</f>
        <v>3817.0350741115985</v>
      </c>
      <c r="C8" s="19" t="s">
        <v>123</v>
      </c>
      <c r="D8" s="19"/>
      <c r="E8" s="19">
        <f>ROUND((B6+B7*2)*0.016387064,2)</f>
        <v>6.95</v>
      </c>
      <c r="F8" s="19"/>
      <c r="G8" s="19"/>
      <c r="H8" s="19"/>
    </row>
    <row r="9" spans="1:9" x14ac:dyDescent="0.25">
      <c r="A9" s="19" t="s">
        <v>125</v>
      </c>
      <c r="B9" s="19">
        <f>0.25*PI()*0.75^2*51</f>
        <v>22.531109812464297</v>
      </c>
      <c r="C9" s="19" t="s">
        <v>123</v>
      </c>
      <c r="D9" s="19"/>
      <c r="E9" s="19"/>
      <c r="F9" s="19"/>
      <c r="G9" s="19"/>
      <c r="H9" s="19"/>
    </row>
    <row r="10" spans="1:9" x14ac:dyDescent="0.25">
      <c r="A10" s="19" t="s">
        <v>126</v>
      </c>
      <c r="B10" s="19">
        <f>+B9*B3</f>
        <v>202.77998831217869</v>
      </c>
      <c r="C10" s="19" t="s">
        <v>123</v>
      </c>
      <c r="D10" s="19"/>
      <c r="E10" s="19"/>
      <c r="F10" s="19"/>
      <c r="G10" s="19"/>
      <c r="H10" s="19"/>
    </row>
    <row r="11" spans="1:9" x14ac:dyDescent="0.25">
      <c r="A11" s="22" t="s">
        <v>128</v>
      </c>
      <c r="B11" s="22">
        <f>+B8-B10</f>
        <v>3614.2550857994197</v>
      </c>
      <c r="C11" s="22" t="s">
        <v>123</v>
      </c>
      <c r="D11" s="19" t="s">
        <v>35</v>
      </c>
      <c r="E11" s="19">
        <f>0.01638706*B11</f>
        <v>59.22701494630023</v>
      </c>
      <c r="F11" s="19" t="s">
        <v>36</v>
      </c>
      <c r="G11" s="19"/>
      <c r="H11" s="19">
        <f>+E11/B3</f>
        <v>6.5807794384778031</v>
      </c>
      <c r="I11" s="19" t="s">
        <v>138</v>
      </c>
    </row>
    <row r="12" spans="1:9" x14ac:dyDescent="0.25">
      <c r="A12" s="22"/>
      <c r="B12" s="22"/>
      <c r="C12" s="22"/>
      <c r="D12" s="19"/>
      <c r="E12" s="19"/>
      <c r="F12" s="19"/>
      <c r="G12" s="19"/>
      <c r="H12" s="19">
        <f>+H11*0.2641729</f>
        <v>1.7384635885230528</v>
      </c>
    </row>
    <row r="13" spans="1:9" x14ac:dyDescent="0.25">
      <c r="A13" s="22" t="str">
        <f>+CONCATENATE("Components quantitty for ",H11," L")</f>
        <v>Components quantitty for 6.5807794384778 L</v>
      </c>
      <c r="B13" s="19"/>
      <c r="C13" s="19"/>
      <c r="D13" s="19"/>
      <c r="E13" s="19"/>
      <c r="F13" s="19"/>
      <c r="G13" s="19"/>
      <c r="H13" s="19"/>
    </row>
    <row r="14" spans="1:9" x14ac:dyDescent="0.25">
      <c r="A14" s="19" t="s">
        <v>30</v>
      </c>
      <c r="B14" s="20">
        <f>4*H11</f>
        <v>26.323117753911212</v>
      </c>
      <c r="C14" s="19" t="s">
        <v>37</v>
      </c>
      <c r="D14" s="19" t="s">
        <v>131</v>
      </c>
      <c r="E14" s="19"/>
      <c r="F14" s="19"/>
      <c r="G14" s="19"/>
      <c r="H14" s="19"/>
    </row>
    <row r="15" spans="1:9" x14ac:dyDescent="0.25">
      <c r="A15" s="19" t="s">
        <v>31</v>
      </c>
      <c r="B15" s="20">
        <f>11.22*H11</f>
        <v>73.836345299720961</v>
      </c>
      <c r="C15" s="19" t="s">
        <v>37</v>
      </c>
      <c r="D15" s="19" t="s">
        <v>130</v>
      </c>
      <c r="E15" s="19"/>
      <c r="F15" s="19"/>
      <c r="G15" s="19"/>
      <c r="H15" s="19"/>
    </row>
    <row r="16" spans="1:9" x14ac:dyDescent="0.25">
      <c r="A16" s="19" t="s">
        <v>32</v>
      </c>
      <c r="B16" s="20">
        <f>13.77*H11</f>
        <v>90.617332867839352</v>
      </c>
      <c r="C16" s="19" t="s">
        <v>37</v>
      </c>
      <c r="D16" s="19" t="s">
        <v>132</v>
      </c>
      <c r="E16" s="19"/>
      <c r="F16" s="19"/>
      <c r="G16" s="19"/>
      <c r="H16" s="19"/>
    </row>
    <row r="17" spans="1:8" x14ac:dyDescent="0.25">
      <c r="A17" s="19" t="s">
        <v>129</v>
      </c>
      <c r="B17" s="19">
        <f>1.7*1.5*H11</f>
        <v>16.780987568118398</v>
      </c>
      <c r="C17" s="19" t="s">
        <v>37</v>
      </c>
      <c r="D17" s="19" t="s">
        <v>137</v>
      </c>
      <c r="E17" s="19"/>
      <c r="F17" s="19"/>
      <c r="G17" s="19"/>
      <c r="H17" s="21"/>
    </row>
    <row r="18" spans="1:8" x14ac:dyDescent="0.25">
      <c r="A18" s="19"/>
      <c r="B18" s="19"/>
      <c r="C18" s="19"/>
      <c r="D18" s="19"/>
      <c r="E18" s="19"/>
      <c r="F18" s="19"/>
      <c r="G18" s="19"/>
      <c r="H18" s="19"/>
    </row>
    <row r="19" spans="1:8" x14ac:dyDescent="0.25">
      <c r="A19" s="17"/>
      <c r="B19" s="17"/>
      <c r="C19" s="17"/>
      <c r="D19" s="17"/>
      <c r="E19" s="17"/>
      <c r="F19" s="17"/>
      <c r="G19" s="17"/>
      <c r="H19" s="17"/>
    </row>
    <row r="22" spans="1:8" x14ac:dyDescent="0.25">
      <c r="A22" t="s">
        <v>58</v>
      </c>
      <c r="B22">
        <f>3+1/16</f>
        <v>3.0625</v>
      </c>
      <c r="C22" t="s">
        <v>134</v>
      </c>
    </row>
    <row r="23" spans="1:8" x14ac:dyDescent="0.25">
      <c r="A23" t="s">
        <v>133</v>
      </c>
      <c r="B23">
        <v>3</v>
      </c>
      <c r="C23" t="s">
        <v>134</v>
      </c>
    </row>
    <row r="24" spans="1:8" x14ac:dyDescent="0.25">
      <c r="A24" t="s">
        <v>55</v>
      </c>
      <c r="B24">
        <f>0.25*PI()*B23^2</f>
        <v>7.0685834705770345</v>
      </c>
      <c r="C24" t="s">
        <v>135</v>
      </c>
    </row>
    <row r="25" spans="1:8" x14ac:dyDescent="0.25">
      <c r="A25" t="s">
        <v>36</v>
      </c>
      <c r="B25">
        <f>0.5*PI()*B22</f>
        <v>4.8105637508093704</v>
      </c>
      <c r="C25" t="s">
        <v>134</v>
      </c>
    </row>
    <row r="26" spans="1:8" x14ac:dyDescent="0.25">
      <c r="A26" t="s">
        <v>61</v>
      </c>
      <c r="B26">
        <f>+B24*B25</f>
        <v>34.003871413128174</v>
      </c>
      <c r="C26" t="s">
        <v>136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D11" sqref="D10:D11"/>
    </sheetView>
  </sheetViews>
  <sheetFormatPr defaultRowHeight="15" x14ac:dyDescent="0.25"/>
  <cols>
    <col min="2" max="2" width="24.7109375" bestFit="1" customWidth="1"/>
    <col min="3" max="3" width="12" bestFit="1" customWidth="1"/>
    <col min="6" max="6" width="10.5703125" bestFit="1" customWidth="1"/>
  </cols>
  <sheetData>
    <row r="2" spans="1:15" ht="15.75" thickBot="1" x14ac:dyDescent="0.3"/>
    <row r="3" spans="1:15" ht="15.75" thickBot="1" x14ac:dyDescent="0.3">
      <c r="A3" s="7" t="s">
        <v>18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</row>
    <row r="4" spans="1:15" x14ac:dyDescent="0.25">
      <c r="A4">
        <v>1</v>
      </c>
      <c r="B4" t="s">
        <v>70</v>
      </c>
      <c r="C4" s="6">
        <v>0</v>
      </c>
      <c r="D4" t="s">
        <v>25</v>
      </c>
      <c r="E4" s="8">
        <v>24.97</v>
      </c>
      <c r="F4" s="8">
        <f>+E4*C4</f>
        <v>0</v>
      </c>
      <c r="G4" s="3" t="s">
        <v>63</v>
      </c>
    </row>
    <row r="5" spans="1:15" x14ac:dyDescent="0.25">
      <c r="A5" s="11">
        <v>2</v>
      </c>
      <c r="B5" t="s">
        <v>26</v>
      </c>
      <c r="C5" s="9">
        <v>2</v>
      </c>
      <c r="D5" t="s">
        <v>25</v>
      </c>
      <c r="E5" s="8">
        <v>16.68</v>
      </c>
      <c r="F5" s="8">
        <f t="shared" ref="F5:F24" si="0">+E5*C5</f>
        <v>33.36</v>
      </c>
      <c r="G5" s="3" t="s">
        <v>45</v>
      </c>
    </row>
    <row r="6" spans="1:15" x14ac:dyDescent="0.25">
      <c r="A6">
        <v>3</v>
      </c>
      <c r="B6" t="s">
        <v>27</v>
      </c>
      <c r="C6" s="9">
        <v>1</v>
      </c>
      <c r="D6" t="s">
        <v>51</v>
      </c>
      <c r="E6" s="8">
        <v>151.74</v>
      </c>
      <c r="F6" s="8">
        <f t="shared" si="0"/>
        <v>151.74</v>
      </c>
      <c r="G6" s="3" t="s">
        <v>52</v>
      </c>
    </row>
    <row r="7" spans="1:15" x14ac:dyDescent="0.25">
      <c r="A7">
        <v>4</v>
      </c>
      <c r="B7" t="s">
        <v>28</v>
      </c>
      <c r="C7" s="9">
        <v>12</v>
      </c>
      <c r="D7" t="s">
        <v>46</v>
      </c>
      <c r="E7" s="8">
        <v>10.89</v>
      </c>
      <c r="F7" s="8">
        <f t="shared" si="0"/>
        <v>130.68</v>
      </c>
      <c r="G7" s="5" t="s">
        <v>90</v>
      </c>
    </row>
    <row r="8" spans="1:15" x14ac:dyDescent="0.25">
      <c r="A8" s="11">
        <v>5</v>
      </c>
      <c r="B8" t="s">
        <v>72</v>
      </c>
      <c r="C8" s="9">
        <v>1</v>
      </c>
      <c r="D8" t="s">
        <v>66</v>
      </c>
      <c r="E8" s="8">
        <v>24.45</v>
      </c>
      <c r="F8" s="8">
        <f t="shared" si="0"/>
        <v>24.45</v>
      </c>
      <c r="G8" s="3" t="s">
        <v>65</v>
      </c>
    </row>
    <row r="9" spans="1:15" x14ac:dyDescent="0.25">
      <c r="A9" s="11">
        <v>6</v>
      </c>
      <c r="B9" t="s">
        <v>71</v>
      </c>
      <c r="C9" s="9">
        <v>7</v>
      </c>
      <c r="D9" t="s">
        <v>48</v>
      </c>
      <c r="E9" s="8">
        <v>39.99</v>
      </c>
      <c r="F9" s="8">
        <f t="shared" si="0"/>
        <v>279.93</v>
      </c>
      <c r="G9" s="3" t="s">
        <v>49</v>
      </c>
      <c r="H9" s="3" t="s">
        <v>50</v>
      </c>
      <c r="O9" t="s">
        <v>93</v>
      </c>
    </row>
    <row r="10" spans="1:15" x14ac:dyDescent="0.25">
      <c r="A10">
        <v>7</v>
      </c>
      <c r="B10" t="s">
        <v>47</v>
      </c>
      <c r="C10" s="9">
        <v>3</v>
      </c>
      <c r="D10" t="s">
        <v>92</v>
      </c>
      <c r="E10" s="8">
        <v>10.63</v>
      </c>
      <c r="F10" s="8">
        <f t="shared" si="0"/>
        <v>31.89</v>
      </c>
      <c r="G10" s="4">
        <v>295096</v>
      </c>
    </row>
    <row r="11" spans="1:15" x14ac:dyDescent="0.25">
      <c r="A11">
        <v>8</v>
      </c>
      <c r="B11" t="s">
        <v>91</v>
      </c>
      <c r="C11" s="9">
        <v>54</v>
      </c>
      <c r="D11" t="s">
        <v>25</v>
      </c>
      <c r="E11" s="8">
        <v>3.52</v>
      </c>
      <c r="F11" s="8">
        <f t="shared" si="0"/>
        <v>190.08</v>
      </c>
      <c r="G11" s="4"/>
    </row>
    <row r="12" spans="1:15" x14ac:dyDescent="0.25">
      <c r="A12" s="12">
        <v>9</v>
      </c>
      <c r="B12" t="s">
        <v>64</v>
      </c>
      <c r="C12" s="9">
        <v>0</v>
      </c>
      <c r="D12" t="s">
        <v>25</v>
      </c>
      <c r="E12" s="8">
        <v>79.98</v>
      </c>
      <c r="F12" s="8">
        <f t="shared" si="0"/>
        <v>0</v>
      </c>
      <c r="G12" s="4" t="s">
        <v>76</v>
      </c>
    </row>
    <row r="13" spans="1:15" x14ac:dyDescent="0.25">
      <c r="A13" s="11">
        <v>10</v>
      </c>
      <c r="B13" t="s">
        <v>74</v>
      </c>
      <c r="C13" s="9">
        <v>1</v>
      </c>
      <c r="D13" t="s">
        <v>25</v>
      </c>
      <c r="E13" s="8">
        <v>8.41</v>
      </c>
      <c r="F13" s="8">
        <f t="shared" si="0"/>
        <v>8.41</v>
      </c>
      <c r="G13" s="3" t="s">
        <v>75</v>
      </c>
    </row>
    <row r="14" spans="1:15" x14ac:dyDescent="0.25">
      <c r="A14" s="11">
        <v>11</v>
      </c>
      <c r="B14" t="s">
        <v>29</v>
      </c>
      <c r="C14" s="9">
        <v>0</v>
      </c>
      <c r="D14" t="s">
        <v>39</v>
      </c>
      <c r="E14" s="8">
        <v>4.8</v>
      </c>
      <c r="F14" s="8">
        <f t="shared" si="0"/>
        <v>0</v>
      </c>
      <c r="G14" s="2" t="s">
        <v>40</v>
      </c>
    </row>
    <row r="15" spans="1:15" x14ac:dyDescent="0.25">
      <c r="A15" s="11">
        <v>12</v>
      </c>
      <c r="B15" t="s">
        <v>30</v>
      </c>
      <c r="C15" s="9">
        <v>0</v>
      </c>
      <c r="D15" t="s">
        <v>41</v>
      </c>
      <c r="E15" s="8">
        <v>53.5</v>
      </c>
      <c r="F15" s="8">
        <f t="shared" si="0"/>
        <v>0</v>
      </c>
      <c r="G15" s="2" t="s">
        <v>42</v>
      </c>
    </row>
    <row r="16" spans="1:15" x14ac:dyDescent="0.25">
      <c r="A16" s="11">
        <v>13</v>
      </c>
      <c r="B16" t="s">
        <v>31</v>
      </c>
      <c r="C16" s="9">
        <v>0</v>
      </c>
      <c r="D16" t="s">
        <v>39</v>
      </c>
      <c r="E16" s="8">
        <v>27.75</v>
      </c>
      <c r="F16" s="8">
        <f t="shared" si="0"/>
        <v>0</v>
      </c>
      <c r="G16" s="2" t="s">
        <v>44</v>
      </c>
    </row>
    <row r="17" spans="1:9" x14ac:dyDescent="0.25">
      <c r="A17">
        <v>14</v>
      </c>
      <c r="B17" t="s">
        <v>32</v>
      </c>
      <c r="C17" s="9">
        <v>5</v>
      </c>
      <c r="D17" t="s">
        <v>39</v>
      </c>
      <c r="E17" s="8">
        <v>26.75</v>
      </c>
      <c r="F17" s="8">
        <f t="shared" si="0"/>
        <v>133.75</v>
      </c>
      <c r="G17" s="2" t="s">
        <v>43</v>
      </c>
    </row>
    <row r="18" spans="1:9" x14ac:dyDescent="0.25">
      <c r="A18" s="11">
        <v>15</v>
      </c>
      <c r="B18" t="s">
        <v>68</v>
      </c>
      <c r="C18" s="9">
        <v>0</v>
      </c>
      <c r="D18" t="s">
        <v>39</v>
      </c>
      <c r="E18" s="8">
        <v>7.5</v>
      </c>
      <c r="F18" s="8">
        <f t="shared" si="0"/>
        <v>0</v>
      </c>
      <c r="G18" s="2"/>
    </row>
    <row r="19" spans="1:9" x14ac:dyDescent="0.25">
      <c r="A19" s="11">
        <v>16</v>
      </c>
      <c r="B19" t="s">
        <v>80</v>
      </c>
      <c r="C19" s="9">
        <v>9</v>
      </c>
      <c r="D19" t="s">
        <v>25</v>
      </c>
      <c r="E19" s="8">
        <v>28.99</v>
      </c>
      <c r="F19" s="8">
        <f t="shared" si="0"/>
        <v>260.90999999999997</v>
      </c>
      <c r="G19" s="3" t="s">
        <v>85</v>
      </c>
    </row>
    <row r="20" spans="1:9" x14ac:dyDescent="0.25">
      <c r="A20" s="11">
        <v>17</v>
      </c>
      <c r="B20" t="s">
        <v>81</v>
      </c>
      <c r="C20" s="9">
        <v>9</v>
      </c>
      <c r="D20" t="s">
        <v>25</v>
      </c>
      <c r="E20" s="8">
        <v>9.8800000000000008</v>
      </c>
      <c r="F20" s="8">
        <f t="shared" si="0"/>
        <v>88.92</v>
      </c>
      <c r="G20" s="3" t="s">
        <v>84</v>
      </c>
    </row>
    <row r="21" spans="1:9" x14ac:dyDescent="0.25">
      <c r="A21">
        <v>18</v>
      </c>
      <c r="B21" t="s">
        <v>82</v>
      </c>
      <c r="C21" s="9">
        <v>0</v>
      </c>
      <c r="D21" t="s">
        <v>25</v>
      </c>
      <c r="E21" s="8">
        <v>7.99</v>
      </c>
      <c r="F21" s="8">
        <f t="shared" si="0"/>
        <v>0</v>
      </c>
      <c r="G21" s="3" t="s">
        <v>83</v>
      </c>
    </row>
    <row r="22" spans="1:9" x14ac:dyDescent="0.25">
      <c r="A22">
        <v>19</v>
      </c>
      <c r="B22" t="s">
        <v>87</v>
      </c>
      <c r="C22" s="9">
        <v>0</v>
      </c>
      <c r="D22" t="s">
        <v>25</v>
      </c>
      <c r="E22" s="8">
        <v>9.99</v>
      </c>
      <c r="F22" s="8">
        <f t="shared" si="0"/>
        <v>0</v>
      </c>
      <c r="G22" s="3" t="s">
        <v>86</v>
      </c>
    </row>
    <row r="23" spans="1:9" x14ac:dyDescent="0.25">
      <c r="A23">
        <v>20</v>
      </c>
      <c r="B23" t="s">
        <v>89</v>
      </c>
      <c r="C23" s="9">
        <v>0</v>
      </c>
      <c r="D23" t="s">
        <v>25</v>
      </c>
      <c r="E23" s="8">
        <v>19.989999999999998</v>
      </c>
      <c r="F23" s="8">
        <f t="shared" si="0"/>
        <v>0</v>
      </c>
      <c r="G23" s="3" t="s">
        <v>88</v>
      </c>
    </row>
    <row r="24" spans="1:9" ht="15.75" thickBot="1" x14ac:dyDescent="0.3">
      <c r="A24">
        <v>21</v>
      </c>
      <c r="B24" t="s">
        <v>77</v>
      </c>
      <c r="C24" s="9">
        <v>0</v>
      </c>
      <c r="D24" t="s">
        <v>78</v>
      </c>
      <c r="E24" s="8">
        <v>6.37</v>
      </c>
      <c r="F24" s="8">
        <f t="shared" si="0"/>
        <v>0</v>
      </c>
      <c r="G24" s="3" t="s">
        <v>79</v>
      </c>
    </row>
    <row r="25" spans="1:9" ht="15.75" thickBot="1" x14ac:dyDescent="0.3">
      <c r="A25" s="28" t="s">
        <v>69</v>
      </c>
      <c r="B25" s="28"/>
      <c r="C25" s="28"/>
      <c r="D25" s="28"/>
      <c r="E25" s="28"/>
      <c r="F25" s="10">
        <f>SUM(F4:F24)</f>
        <v>1334.1200000000001</v>
      </c>
    </row>
    <row r="27" spans="1:9" x14ac:dyDescent="0.25">
      <c r="B27" t="s">
        <v>33</v>
      </c>
      <c r="C27">
        <v>45</v>
      </c>
      <c r="D27" t="s">
        <v>34</v>
      </c>
      <c r="E27" t="s">
        <v>35</v>
      </c>
      <c r="F27">
        <f>+C27*3.78541</f>
        <v>170.34345000000002</v>
      </c>
      <c r="G27" t="s">
        <v>36</v>
      </c>
      <c r="I27">
        <f>250/1000</f>
        <v>0.25</v>
      </c>
    </row>
    <row r="28" spans="1:9" x14ac:dyDescent="0.25">
      <c r="B28" t="s">
        <v>30</v>
      </c>
      <c r="C28" s="1" t="s">
        <v>73</v>
      </c>
      <c r="D28" t="s">
        <v>37</v>
      </c>
      <c r="E28">
        <v>1</v>
      </c>
    </row>
    <row r="29" spans="1:9" x14ac:dyDescent="0.25">
      <c r="B29" t="s">
        <v>31</v>
      </c>
      <c r="C29" s="1">
        <f>11.22*F27</f>
        <v>1911.2535090000003</v>
      </c>
      <c r="D29" t="s">
        <v>37</v>
      </c>
      <c r="E29">
        <f>+C29/500</f>
        <v>3.8225070180000005</v>
      </c>
    </row>
    <row r="30" spans="1:9" x14ac:dyDescent="0.25">
      <c r="B30" t="s">
        <v>32</v>
      </c>
      <c r="C30" s="1">
        <f>13.77*F27</f>
        <v>2345.6293065</v>
      </c>
      <c r="D30" t="s">
        <v>37</v>
      </c>
      <c r="E30">
        <f>+C30/500</f>
        <v>4.6912586129999996</v>
      </c>
    </row>
    <row r="31" spans="1:9" x14ac:dyDescent="0.25">
      <c r="B31" t="s">
        <v>38</v>
      </c>
      <c r="C31" s="1">
        <v>150</v>
      </c>
      <c r="D31" t="s">
        <v>37</v>
      </c>
      <c r="E31">
        <f>POWER(0.0000065/4,1/3)*F27*74</f>
        <v>148.19775124007987</v>
      </c>
    </row>
    <row r="33" spans="2:6" x14ac:dyDescent="0.25">
      <c r="B33" t="s">
        <v>62</v>
      </c>
    </row>
    <row r="34" spans="2:6" x14ac:dyDescent="0.25">
      <c r="B34" t="s">
        <v>53</v>
      </c>
      <c r="C34">
        <v>0.75</v>
      </c>
      <c r="D34" t="s">
        <v>54</v>
      </c>
    </row>
    <row r="35" spans="2:6" x14ac:dyDescent="0.25">
      <c r="B35" t="s">
        <v>36</v>
      </c>
      <c r="C35">
        <v>17.5</v>
      </c>
      <c r="D35" t="s">
        <v>54</v>
      </c>
    </row>
    <row r="36" spans="2:6" x14ac:dyDescent="0.25">
      <c r="B36" t="s">
        <v>55</v>
      </c>
      <c r="C36">
        <f>0.25*PI()*C34^2</f>
        <v>0.44178646691106466</v>
      </c>
      <c r="D36" t="s">
        <v>56</v>
      </c>
    </row>
    <row r="37" spans="2:6" x14ac:dyDescent="0.25">
      <c r="B37" t="s">
        <v>57</v>
      </c>
      <c r="C37">
        <f>0.000001</f>
        <v>9.9999999999999995E-7</v>
      </c>
    </row>
    <row r="38" spans="2:6" x14ac:dyDescent="0.25">
      <c r="B38" t="s">
        <v>58</v>
      </c>
      <c r="C38">
        <f>+C37*C35/C36</f>
        <v>3.9611896947316168E-5</v>
      </c>
    </row>
    <row r="39" spans="2:6" x14ac:dyDescent="0.25">
      <c r="B39" t="s">
        <v>58</v>
      </c>
      <c r="C39">
        <f>+C38*4</f>
        <v>1.5844758778926467E-4</v>
      </c>
    </row>
    <row r="40" spans="2:6" x14ac:dyDescent="0.25">
      <c r="B40" t="s">
        <v>59</v>
      </c>
      <c r="C40">
        <v>5.0000000000000001E-3</v>
      </c>
      <c r="D40" t="s">
        <v>60</v>
      </c>
    </row>
    <row r="41" spans="2:6" x14ac:dyDescent="0.25">
      <c r="B41" t="s">
        <v>61</v>
      </c>
      <c r="C41">
        <f>+C40*C39</f>
        <v>7.9223793894632341E-7</v>
      </c>
    </row>
    <row r="44" spans="2:6" x14ac:dyDescent="0.25">
      <c r="B44" t="s">
        <v>67</v>
      </c>
      <c r="C44">
        <f>0.3*F27</f>
        <v>51.103035000000006</v>
      </c>
    </row>
    <row r="45" spans="2:6" x14ac:dyDescent="0.25">
      <c r="B45" t="s">
        <v>94</v>
      </c>
      <c r="C45">
        <f>43*0.25*PI()*1.25^2</f>
        <v>52.768939103266057</v>
      </c>
      <c r="D45" t="s">
        <v>95</v>
      </c>
      <c r="E45">
        <v>2</v>
      </c>
      <c r="F45" t="s">
        <v>96</v>
      </c>
    </row>
    <row r="46" spans="2:6" x14ac:dyDescent="0.25">
      <c r="B46" t="s">
        <v>97</v>
      </c>
      <c r="C46">
        <f>0.3*E45</f>
        <v>0.6</v>
      </c>
      <c r="D46" t="s">
        <v>97</v>
      </c>
      <c r="E46">
        <f>+C46*58.44277</f>
        <v>35.065662000000003</v>
      </c>
      <c r="F46" t="s">
        <v>98</v>
      </c>
    </row>
  </sheetData>
  <mergeCells count="1">
    <mergeCell ref="A25:E25"/>
  </mergeCells>
  <hyperlinks>
    <hyperlink ref="G5" r:id="rId1"/>
    <hyperlink ref="G9" r:id="rId2"/>
    <hyperlink ref="H9" r:id="rId3"/>
    <hyperlink ref="G6" r:id="rId4"/>
    <hyperlink ref="G4" r:id="rId5"/>
    <hyperlink ref="G8" r:id="rId6"/>
    <hyperlink ref="G13" r:id="rId7"/>
    <hyperlink ref="G24" r:id="rId8"/>
    <hyperlink ref="G21" r:id="rId9"/>
    <hyperlink ref="G20" r:id="rId10"/>
    <hyperlink ref="G19" r:id="rId11"/>
    <hyperlink ref="G22" r:id="rId12"/>
    <hyperlink ref="G23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AcceleratedCorrosion corrected</vt:lpstr>
      <vt:lpstr>Sheet1</vt:lpstr>
      <vt:lpstr>Final Budget</vt:lpstr>
      <vt:lpstr>Sheet2</vt:lpstr>
      <vt:lpstr>Budget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2020-11-11T16:46:55Z</cp:lastPrinted>
  <dcterms:created xsi:type="dcterms:W3CDTF">2019-11-07T19:27:57Z</dcterms:created>
  <dcterms:modified xsi:type="dcterms:W3CDTF">2021-03-31T13:07:20Z</dcterms:modified>
</cp:coreProperties>
</file>