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Thesis\VAC Prelim 2.0\Chapter-4\tables\"/>
    </mc:Choice>
  </mc:AlternateContent>
  <bookViews>
    <workbookView xWindow="-90" yWindow="-90" windowWidth="23235" windowHeight="12555" activeTab="1"/>
  </bookViews>
  <sheets>
    <sheet name="Sheet1" sheetId="1" r:id="rId1"/>
    <sheet name="Budget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2" l="1"/>
  <c r="F20" i="2"/>
  <c r="C37" i="2" s="1"/>
  <c r="I20" i="2"/>
  <c r="F17" i="2"/>
  <c r="F18" i="2"/>
  <c r="B1" i="1"/>
  <c r="F7" i="2"/>
  <c r="F8" i="2"/>
  <c r="F9" i="2"/>
  <c r="F10" i="2"/>
  <c r="F11" i="2"/>
  <c r="F12" i="2"/>
  <c r="F13" i="2"/>
  <c r="F14" i="2"/>
  <c r="F15" i="2"/>
  <c r="F16" i="2"/>
  <c r="B5" i="1"/>
  <c r="B7" i="1"/>
  <c r="D10" i="1" s="1"/>
  <c r="C34" i="2"/>
  <c r="C32" i="2"/>
  <c r="C30" i="2"/>
  <c r="C31" i="2" s="1"/>
  <c r="C29" i="2"/>
  <c r="F6" i="2" l="1"/>
  <c r="F5" i="2"/>
  <c r="C22" i="2"/>
  <c r="E22" i="2" s="1"/>
  <c r="F4" i="2"/>
  <c r="C23" i="2" l="1"/>
  <c r="E23" i="2" s="1"/>
  <c r="C11" i="1"/>
  <c r="B12" i="1"/>
  <c r="B11" i="1" l="1"/>
  <c r="E11" i="1" s="1"/>
  <c r="F11" i="1" s="1"/>
  <c r="B10" i="1"/>
  <c r="E10" i="1" s="1"/>
  <c r="F10" i="1" s="1"/>
  <c r="B14" i="1"/>
  <c r="B13" i="1"/>
  <c r="C12" i="1"/>
  <c r="D12" i="1" l="1"/>
  <c r="D11" i="1"/>
  <c r="E12" i="1"/>
  <c r="F12" i="1" s="1"/>
  <c r="C13" i="1"/>
  <c r="D13" i="1" s="1"/>
  <c r="C14" i="1" l="1"/>
  <c r="E13" i="1"/>
  <c r="F13" i="1" s="1"/>
  <c r="E14" i="1" l="1"/>
  <c r="F14" i="1" s="1"/>
  <c r="D14" i="1"/>
</calcChain>
</file>

<file path=xl/sharedStrings.xml><?xml version="1.0" encoding="utf-8"?>
<sst xmlns="http://schemas.openxmlformats.org/spreadsheetml/2006/main" count="92" uniqueCount="76">
  <si>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</si>
  <si>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</si>
  <si>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</si>
  <si>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</si>
  <si>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</si>
  <si>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</si>
  <si>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</si>
  <si>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</si>
  <si>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</si>
  <si>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</si>
  <si>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</si>
  <si>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</si>
  <si>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</si>
  <si>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</si>
  <si>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</si>
  <si>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</si>
  <si>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</si>
  <si>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</si>
  <si>
    <t>ID</t>
  </si>
  <si>
    <t>Item</t>
  </si>
  <si>
    <t>qty</t>
  </si>
  <si>
    <t>unit</t>
  </si>
  <si>
    <t>unit price</t>
  </si>
  <si>
    <t>subtotal</t>
  </si>
  <si>
    <t>Note</t>
  </si>
  <si>
    <t>u</t>
  </si>
  <si>
    <t>Electro platter tape</t>
  </si>
  <si>
    <t xml:space="preserve">Two part epoxy </t>
  </si>
  <si>
    <t>Shrink tube</t>
  </si>
  <si>
    <t>Calcium hydroxyde</t>
  </si>
  <si>
    <t>Sodium hydroxyde</t>
  </si>
  <si>
    <t>Potassium Hydroxide</t>
  </si>
  <si>
    <t>Calcium sulfate dihydratte</t>
  </si>
  <si>
    <t>Container volumne</t>
  </si>
  <si>
    <t>gal</t>
  </si>
  <si>
    <t>=</t>
  </si>
  <si>
    <t>L</t>
  </si>
  <si>
    <t>g</t>
  </si>
  <si>
    <t>Calcium hydarate</t>
  </si>
  <si>
    <t>500 g bottle</t>
  </si>
  <si>
    <t>S75071</t>
  </si>
  <si>
    <t>1 Kg</t>
  </si>
  <si>
    <t>S25548C</t>
  </si>
  <si>
    <t>S25230A</t>
  </si>
  <si>
    <t>S25491A</t>
  </si>
  <si>
    <t>https://www.amazon.com/3M-Electroplating-Tape-470-Tan/dp/B0728439MJ</t>
  </si>
  <si>
    <t>4 ft</t>
  </si>
  <si>
    <t>PVC Pipe phi 2 in ID</t>
  </si>
  <si>
    <t>10 ft</t>
  </si>
  <si>
    <t>24x40 mesh</t>
  </si>
  <si>
    <t>https://www.amazon.com/Woven-X100cm-x0-9mm-medium-Stainless/dp/B01MUE0YPN/ref=sr_1_7?c=ts&amp;dchild=1&amp;keywords=Mesh+%26+Wire+Cloth&amp;qid=1594411031&amp;refinements=p_n_feature_seven_browse-bin%3A5485702011&amp;sr=8-7&amp;ts_id=6469724011</t>
  </si>
  <si>
    <t>https://www.grainger.com/product/DIRECT-METALS-Wire-Cloth-3DNT8?</t>
  </si>
  <si>
    <t>1 Gal</t>
  </si>
  <si>
    <t>https://coastalone.com/sikadur-30.html</t>
  </si>
  <si>
    <t>D</t>
  </si>
  <si>
    <t>in</t>
  </si>
  <si>
    <t>A</t>
  </si>
  <si>
    <t>in^2</t>
  </si>
  <si>
    <t>Rho</t>
  </si>
  <si>
    <t>R</t>
  </si>
  <si>
    <t>Amps</t>
  </si>
  <si>
    <t>Amp</t>
  </si>
  <si>
    <t>V</t>
  </si>
  <si>
    <t>Checking voltage</t>
  </si>
  <si>
    <t>https://www.homedepot.com/p/Sterilite-45-Gal-Wheeled-Latching-Storage-Bin-in-Lapis-Blue-19481004/202097689</t>
  </si>
  <si>
    <t>Rebar cap</t>
  </si>
  <si>
    <t>Power suply</t>
  </si>
  <si>
    <t>https://www.grainger.com/product/WESTWARD-2-lb-Stainless-Steel-Spool-41R285?</t>
  </si>
  <si>
    <t>2 lb</t>
  </si>
  <si>
    <t>0.3 M per liter</t>
  </si>
  <si>
    <t>Sodium Chloride</t>
  </si>
  <si>
    <t>Total</t>
  </si>
  <si>
    <t>Container 45 gal</t>
  </si>
  <si>
    <t xml:space="preserve">Stailess steel mesh </t>
  </si>
  <si>
    <t>Steel wire ER316L</t>
  </si>
  <si>
    <t>45 Gal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</si>
</sst>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B2B2B"/>
      <name val="Arial"/>
      <family val="2"/>
    </font>
    <font>
      <u/>
      <sz val="11"/>
      <color theme="10"/>
      <name val="Calibri"/>
      <family val="2"/>
      <scheme val="minor"/>
    </font>
    <font>
      <sz val="10"/>
      <color rgb="FFEE7225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</cellStyleXfs>
  <cellXfs count="12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44" fontId="0" fillId="0" borderId="0" xfId="2" applyFont="1"/>
    <xf numFmtId="1" fontId="0" fillId="0" borderId="0" xfId="0" applyNumberFormat="1" applyAlignment="1">
      <alignment horizontal="center" vertical="center"/>
    </xf>
    <xf numFmtId="44" fontId="0" fillId="0" borderId="1" xfId="2" applyFont="1" applyBorder="1"/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rainger.com/product/DIRECT-METALS-Wire-Cloth-3DNT8?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amazon.com/Woven-X100cm-x0-9mm-medium-Stainless/dp/B01MUE0YPN/ref=sr_1_7?c=ts&amp;dchild=1&amp;keywords=Mesh+%26+Wire+Cloth&amp;qid=1594411031&amp;refinements=p_n_feature_seven_browse-bin%3A5485702011&amp;sr=8-7&amp;ts_id=6469724011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grainger.com/product/WESTWARD-2-lb-Stainless-Steel-Spool-41R285?" TargetMode="External"/><Relationship Id="rId5" Type="http://schemas.openxmlformats.org/officeDocument/2006/relationships/hyperlink" Target="https://www.homedepot.com/p/Sterilite-45-Gal-Wheeled-Latching-Storage-Bin-in-Lapis-Blue-19481004/202097689" TargetMode="External"/><Relationship Id="rId4" Type="http://schemas.openxmlformats.org/officeDocument/2006/relationships/hyperlink" Target="https://coastalone.com/sikadur-30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C35" sqref="A21:C35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</cols>
  <sheetData>
    <row r="1" spans="1:6" x14ac:dyDescent="0.25">
      <c r="A1" t="s">
        <v>8</v>
      </c>
      <c r="B1">
        <f>2.54*7</f>
        <v>17.78</v>
      </c>
      <c r="C1" t="s">
        <v>10</v>
      </c>
    </row>
    <row r="2" spans="1:6" x14ac:dyDescent="0.25">
      <c r="A2" t="s">
        <v>1</v>
      </c>
      <c r="B2">
        <v>55.8</v>
      </c>
      <c r="C2" t="s">
        <v>2</v>
      </c>
    </row>
    <row r="3" spans="1:6" x14ac:dyDescent="0.25">
      <c r="A3" t="s">
        <v>3</v>
      </c>
      <c r="B3">
        <v>96485</v>
      </c>
      <c r="C3" t="s">
        <v>4</v>
      </c>
    </row>
    <row r="4" spans="1:6" x14ac:dyDescent="0.25">
      <c r="A4" t="s">
        <v>5</v>
      </c>
      <c r="B4">
        <v>2</v>
      </c>
    </row>
    <row r="5" spans="1:6" x14ac:dyDescent="0.25">
      <c r="A5" t="s">
        <v>7</v>
      </c>
      <c r="B5">
        <f>2.54*0.75</f>
        <v>1.905</v>
      </c>
      <c r="C5" t="s">
        <v>10</v>
      </c>
    </row>
    <row r="6" spans="1:6" x14ac:dyDescent="0.25">
      <c r="A6" t="s">
        <v>9</v>
      </c>
      <c r="B6">
        <v>7.85</v>
      </c>
      <c r="C6" t="s">
        <v>11</v>
      </c>
    </row>
    <row r="7" spans="1:6" x14ac:dyDescent="0.25">
      <c r="A7" t="s">
        <v>15</v>
      </c>
      <c r="B7">
        <f>2*PI()*(B5/2)*B1</f>
        <v>106.40857061047453</v>
      </c>
      <c r="C7" t="s">
        <v>16</v>
      </c>
    </row>
    <row r="9" spans="1:6" x14ac:dyDescent="0.25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</row>
    <row r="10" spans="1:6" x14ac:dyDescent="0.25">
      <c r="A10">
        <v>0.05</v>
      </c>
      <c r="B10">
        <f>0.25*PI()*$B$5^2*$B$6*A10</f>
        <v>1.1187151061949441</v>
      </c>
      <c r="C10">
        <v>5.0000000000000001E-3</v>
      </c>
      <c r="D10">
        <f>+C10*1000000/$B$7</f>
        <v>46.988696223571068</v>
      </c>
      <c r="E10">
        <f>+(B10*$B$4*$B$3)/(C10*$B$2*60*60)</f>
        <v>214.93274994269055</v>
      </c>
      <c r="F10">
        <f>+E10/24</f>
        <v>8.9555312476121056</v>
      </c>
    </row>
    <row r="11" spans="1:6" x14ac:dyDescent="0.25">
      <c r="A11">
        <v>0.1</v>
      </c>
      <c r="B11">
        <f t="shared" ref="B11:B14" si="0">0.25*PI()*$B$5^2*$B$6*A11</f>
        <v>2.2374302123898882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429.8654998853811</v>
      </c>
      <c r="F11">
        <f t="shared" ref="F11:F14" si="3">+E11/24</f>
        <v>17.911062495224211</v>
      </c>
    </row>
    <row r="12" spans="1:6" x14ac:dyDescent="0.25">
      <c r="A12">
        <v>0.15</v>
      </c>
      <c r="B12">
        <f t="shared" si="0"/>
        <v>3.3561453185848324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644.79824982807168</v>
      </c>
      <c r="F12">
        <f t="shared" si="3"/>
        <v>26.866593742836319</v>
      </c>
    </row>
    <row r="13" spans="1:6" x14ac:dyDescent="0.25">
      <c r="A13">
        <v>0.2</v>
      </c>
      <c r="B13">
        <f t="shared" si="0"/>
        <v>4.4748604247797763</v>
      </c>
      <c r="C13">
        <f t="shared" si="4"/>
        <v>5.0000000000000001E-3</v>
      </c>
      <c r="D13">
        <f t="shared" si="1"/>
        <v>46.988696223571068</v>
      </c>
      <c r="E13">
        <f t="shared" si="2"/>
        <v>859.7309997707622</v>
      </c>
      <c r="F13">
        <f t="shared" si="3"/>
        <v>35.822124990448422</v>
      </c>
    </row>
    <row r="14" spans="1:6" x14ac:dyDescent="0.25">
      <c r="A14">
        <v>0.25</v>
      </c>
      <c r="B14">
        <f t="shared" si="0"/>
        <v>5.5935755309747206</v>
      </c>
      <c r="C14">
        <f t="shared" si="4"/>
        <v>5.0000000000000001E-3</v>
      </c>
      <c r="D14">
        <f t="shared" si="1"/>
        <v>46.988696223571068</v>
      </c>
      <c r="E14">
        <f t="shared" si="2"/>
        <v>1074.6637497134527</v>
      </c>
      <c r="F14">
        <f t="shared" si="3"/>
        <v>44.77765623806053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7"/>
  <sheetViews>
    <sheetView tabSelected="1" topLeftCell="A13" workbookViewId="0">
      <selection activeCell="E25" sqref="E25"/>
    </sheetView>
  </sheetViews>
  <sheetFormatPr defaultRowHeight="15" x14ac:dyDescent="0.25"/>
  <cols>
    <col min="2" max="2" width="24.7109375" bestFit="1" customWidth="1"/>
    <col min="3" max="3" width="12" bestFit="1" customWidth="1"/>
    <col min="6" max="6" width="10.5703125" bestFit="1" customWidth="1"/>
  </cols>
  <sheetData>
    <row r="2" spans="1:8" ht="15.75" thickBot="1" x14ac:dyDescent="0.3"/>
    <row r="3" spans="1:8" ht="15.75" thickBot="1" x14ac:dyDescent="0.3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8" x14ac:dyDescent="0.25">
      <c r="A4">
        <v>1</v>
      </c>
      <c r="B4" t="s">
        <v>72</v>
      </c>
      <c r="C4" s="6">
        <v>1</v>
      </c>
      <c r="D4" t="s">
        <v>25</v>
      </c>
      <c r="E4" s="9">
        <v>24.97</v>
      </c>
      <c r="F4" s="9">
        <f>+E4*C4</f>
        <v>24.97</v>
      </c>
      <c r="G4" s="3" t="s">
        <v>64</v>
      </c>
    </row>
    <row r="5" spans="1:8" x14ac:dyDescent="0.25">
      <c r="A5">
        <v>2</v>
      </c>
      <c r="B5" t="s">
        <v>26</v>
      </c>
      <c r="C5" s="10">
        <v>2</v>
      </c>
      <c r="D5" t="s">
        <v>25</v>
      </c>
      <c r="E5" s="9">
        <v>16.68</v>
      </c>
      <c r="F5" s="9">
        <f t="shared" ref="F5:F17" si="0">+E5*C5</f>
        <v>33.36</v>
      </c>
      <c r="G5" s="3" t="s">
        <v>45</v>
      </c>
    </row>
    <row r="6" spans="1:8" x14ac:dyDescent="0.25">
      <c r="A6">
        <v>3</v>
      </c>
      <c r="B6" t="s">
        <v>27</v>
      </c>
      <c r="C6" s="10">
        <v>1</v>
      </c>
      <c r="D6" t="s">
        <v>52</v>
      </c>
      <c r="E6" s="9">
        <v>151.74</v>
      </c>
      <c r="F6" s="9">
        <f t="shared" si="0"/>
        <v>151.74</v>
      </c>
      <c r="G6" s="3" t="s">
        <v>53</v>
      </c>
    </row>
    <row r="7" spans="1:8" x14ac:dyDescent="0.25">
      <c r="A7">
        <v>4</v>
      </c>
      <c r="B7" t="s">
        <v>28</v>
      </c>
      <c r="C7" s="10">
        <v>12</v>
      </c>
      <c r="D7" t="s">
        <v>46</v>
      </c>
      <c r="E7" s="9">
        <v>10.89</v>
      </c>
      <c r="F7" s="9">
        <f t="shared" si="0"/>
        <v>130.68</v>
      </c>
      <c r="G7" s="5">
        <v>205881703</v>
      </c>
    </row>
    <row r="8" spans="1:8" x14ac:dyDescent="0.25">
      <c r="A8">
        <v>5</v>
      </c>
      <c r="B8" t="s">
        <v>74</v>
      </c>
      <c r="C8" s="10">
        <v>1</v>
      </c>
      <c r="D8" t="s">
        <v>68</v>
      </c>
      <c r="E8" s="9">
        <v>24.45</v>
      </c>
      <c r="F8" s="9">
        <f t="shared" si="0"/>
        <v>24.45</v>
      </c>
      <c r="G8" s="3" t="s">
        <v>67</v>
      </c>
    </row>
    <row r="9" spans="1:8" x14ac:dyDescent="0.25">
      <c r="A9">
        <v>6</v>
      </c>
      <c r="B9" t="s">
        <v>73</v>
      </c>
      <c r="C9" s="10">
        <v>7</v>
      </c>
      <c r="D9" t="s">
        <v>49</v>
      </c>
      <c r="E9" s="9">
        <v>39.99</v>
      </c>
      <c r="F9" s="9">
        <f t="shared" si="0"/>
        <v>279.93</v>
      </c>
      <c r="G9" s="3" t="s">
        <v>50</v>
      </c>
      <c r="H9" s="3" t="s">
        <v>51</v>
      </c>
    </row>
    <row r="10" spans="1:8" x14ac:dyDescent="0.25">
      <c r="A10">
        <v>7</v>
      </c>
      <c r="B10" t="s">
        <v>47</v>
      </c>
      <c r="C10" s="10">
        <v>2</v>
      </c>
      <c r="D10" t="s">
        <v>48</v>
      </c>
      <c r="E10" s="9">
        <v>10.63</v>
      </c>
      <c r="F10" s="9">
        <f t="shared" si="0"/>
        <v>21.26</v>
      </c>
      <c r="G10" s="4">
        <v>295096</v>
      </c>
    </row>
    <row r="11" spans="1:8" x14ac:dyDescent="0.25">
      <c r="A11">
        <v>8</v>
      </c>
      <c r="B11" t="s">
        <v>65</v>
      </c>
      <c r="C11" s="10">
        <v>54</v>
      </c>
      <c r="D11" t="s">
        <v>25</v>
      </c>
      <c r="E11" s="9">
        <v>3.52</v>
      </c>
      <c r="F11" s="9">
        <f t="shared" si="0"/>
        <v>190.08</v>
      </c>
      <c r="G11" s="4"/>
    </row>
    <row r="12" spans="1:8" x14ac:dyDescent="0.25">
      <c r="A12">
        <v>9</v>
      </c>
      <c r="B12" t="s">
        <v>66</v>
      </c>
      <c r="C12" s="10">
        <v>1</v>
      </c>
      <c r="D12" t="s">
        <v>25</v>
      </c>
      <c r="E12" s="9">
        <v>79.98</v>
      </c>
      <c r="F12" s="9">
        <f t="shared" si="0"/>
        <v>79.98</v>
      </c>
      <c r="G12" s="4"/>
    </row>
    <row r="13" spans="1:8" x14ac:dyDescent="0.25">
      <c r="A13">
        <v>10</v>
      </c>
      <c r="B13" t="s">
        <v>29</v>
      </c>
      <c r="C13" s="10">
        <v>2</v>
      </c>
      <c r="D13" t="s">
        <v>39</v>
      </c>
      <c r="E13" s="9">
        <v>4.8</v>
      </c>
      <c r="F13" s="9">
        <f t="shared" si="0"/>
        <v>9.6</v>
      </c>
      <c r="G13" s="2" t="s">
        <v>40</v>
      </c>
    </row>
    <row r="14" spans="1:8" x14ac:dyDescent="0.25">
      <c r="A14">
        <v>11</v>
      </c>
      <c r="B14" t="s">
        <v>30</v>
      </c>
      <c r="C14" s="10">
        <v>2</v>
      </c>
      <c r="D14" t="s">
        <v>41</v>
      </c>
      <c r="E14" s="9">
        <v>53.5</v>
      </c>
      <c r="F14" s="9">
        <f t="shared" si="0"/>
        <v>107</v>
      </c>
      <c r="G14" s="2" t="s">
        <v>42</v>
      </c>
    </row>
    <row r="15" spans="1:8" x14ac:dyDescent="0.25">
      <c r="A15">
        <v>12</v>
      </c>
      <c r="B15" t="s">
        <v>31</v>
      </c>
      <c r="C15" s="10">
        <v>4</v>
      </c>
      <c r="D15" t="s">
        <v>39</v>
      </c>
      <c r="E15" s="9">
        <v>27.75</v>
      </c>
      <c r="F15" s="9">
        <f t="shared" si="0"/>
        <v>111</v>
      </c>
      <c r="G15" s="2" t="s">
        <v>44</v>
      </c>
    </row>
    <row r="16" spans="1:8" x14ac:dyDescent="0.25">
      <c r="A16">
        <v>13</v>
      </c>
      <c r="B16" t="s">
        <v>32</v>
      </c>
      <c r="C16" s="10">
        <v>5</v>
      </c>
      <c r="D16" t="s">
        <v>39</v>
      </c>
      <c r="E16" s="9">
        <v>26.75</v>
      </c>
      <c r="F16" s="9">
        <f t="shared" si="0"/>
        <v>133.75</v>
      </c>
      <c r="G16" s="2" t="s">
        <v>43</v>
      </c>
    </row>
    <row r="17" spans="1:9" ht="15.75" thickBot="1" x14ac:dyDescent="0.3">
      <c r="A17">
        <v>14</v>
      </c>
      <c r="B17" t="s">
        <v>70</v>
      </c>
      <c r="C17" s="10">
        <v>1</v>
      </c>
      <c r="D17" t="s">
        <v>39</v>
      </c>
      <c r="E17" s="9">
        <v>7.5</v>
      </c>
      <c r="F17" s="9">
        <f t="shared" si="0"/>
        <v>7.5</v>
      </c>
      <c r="G17" s="2"/>
    </row>
    <row r="18" spans="1:9" ht="15.75" thickBot="1" x14ac:dyDescent="0.3">
      <c r="A18" s="8" t="s">
        <v>71</v>
      </c>
      <c r="B18" s="8"/>
      <c r="C18" s="8"/>
      <c r="D18" s="8"/>
      <c r="E18" s="8"/>
      <c r="F18" s="11">
        <f>SUM(F4:F17)</f>
        <v>1305.3000000000002</v>
      </c>
    </row>
    <row r="20" spans="1:9" x14ac:dyDescent="0.25">
      <c r="B20" t="s">
        <v>33</v>
      </c>
      <c r="C20">
        <v>45</v>
      </c>
      <c r="D20" t="s">
        <v>34</v>
      </c>
      <c r="E20" t="s">
        <v>35</v>
      </c>
      <c r="F20">
        <f>+C20*3.78541</f>
        <v>170.34345000000002</v>
      </c>
      <c r="G20" t="s">
        <v>36</v>
      </c>
      <c r="I20">
        <f>250/1000</f>
        <v>0.25</v>
      </c>
    </row>
    <row r="21" spans="1:9" x14ac:dyDescent="0.25">
      <c r="B21" t="s">
        <v>30</v>
      </c>
      <c r="C21" s="1" t="s">
        <v>75</v>
      </c>
      <c r="D21" t="s">
        <v>37</v>
      </c>
      <c r="E21">
        <v>1</v>
      </c>
    </row>
    <row r="22" spans="1:9" x14ac:dyDescent="0.25">
      <c r="B22" t="s">
        <v>31</v>
      </c>
      <c r="C22" s="1">
        <f>11.22*F20</f>
        <v>1911.2535090000003</v>
      </c>
      <c r="D22" t="s">
        <v>37</v>
      </c>
      <c r="E22">
        <f>+C22/500</f>
        <v>3.8225070180000005</v>
      </c>
    </row>
    <row r="23" spans="1:9" x14ac:dyDescent="0.25">
      <c r="B23" t="s">
        <v>32</v>
      </c>
      <c r="C23" s="1">
        <f>13.77*F20</f>
        <v>2345.6293065</v>
      </c>
      <c r="D23" t="s">
        <v>37</v>
      </c>
      <c r="E23">
        <f>+C23/500</f>
        <v>4.6912586129999996</v>
      </c>
    </row>
    <row r="24" spans="1:9" x14ac:dyDescent="0.25">
      <c r="B24" t="s">
        <v>38</v>
      </c>
      <c r="C24" s="1">
        <v>150</v>
      </c>
      <c r="D24" t="s">
        <v>37</v>
      </c>
      <c r="E24">
        <f>POWER(0.0000065/4,1/3)*F20*74</f>
        <v>148.19775124007987</v>
      </c>
    </row>
    <row r="26" spans="1:9" x14ac:dyDescent="0.25">
      <c r="B26" t="s">
        <v>63</v>
      </c>
    </row>
    <row r="27" spans="1:9" x14ac:dyDescent="0.25">
      <c r="B27" t="s">
        <v>54</v>
      </c>
      <c r="C27">
        <v>0.75</v>
      </c>
      <c r="D27" t="s">
        <v>55</v>
      </c>
    </row>
    <row r="28" spans="1:9" x14ac:dyDescent="0.25">
      <c r="B28" t="s">
        <v>36</v>
      </c>
      <c r="C28">
        <v>17.5</v>
      </c>
      <c r="D28" t="s">
        <v>55</v>
      </c>
    </row>
    <row r="29" spans="1:9" x14ac:dyDescent="0.25">
      <c r="B29" t="s">
        <v>56</v>
      </c>
      <c r="C29">
        <f>0.25*PI()*C27^2</f>
        <v>0.44178646691106466</v>
      </c>
      <c r="D29" t="s">
        <v>57</v>
      </c>
    </row>
    <row r="30" spans="1:9" x14ac:dyDescent="0.25">
      <c r="B30" t="s">
        <v>58</v>
      </c>
      <c r="C30">
        <f>0.000001</f>
        <v>9.9999999999999995E-7</v>
      </c>
    </row>
    <row r="31" spans="1:9" x14ac:dyDescent="0.25">
      <c r="B31" t="s">
        <v>59</v>
      </c>
      <c r="C31">
        <f>+C30*C28/C29</f>
        <v>3.9611896947316168E-5</v>
      </c>
    </row>
    <row r="32" spans="1:9" x14ac:dyDescent="0.25">
      <c r="B32" t="s">
        <v>59</v>
      </c>
      <c r="C32">
        <f>+C31*4</f>
        <v>1.5844758778926467E-4</v>
      </c>
    </row>
    <row r="33" spans="2:4" x14ac:dyDescent="0.25">
      <c r="B33" t="s">
        <v>60</v>
      </c>
      <c r="C33">
        <v>5.0000000000000001E-3</v>
      </c>
      <c r="D33" t="s">
        <v>61</v>
      </c>
    </row>
    <row r="34" spans="2:4" x14ac:dyDescent="0.25">
      <c r="B34" t="s">
        <v>62</v>
      </c>
      <c r="C34">
        <f>+C33*C32</f>
        <v>7.9223793894632341E-7</v>
      </c>
    </row>
    <row r="37" spans="2:4" x14ac:dyDescent="0.25">
      <c r="B37" t="s">
        <v>69</v>
      </c>
      <c r="C37">
        <f>0.3*F20</f>
        <v>51.103035000000006</v>
      </c>
    </row>
  </sheetData>
  <mergeCells count="1">
    <mergeCell ref="A18:E18"/>
  </mergeCells>
  <hyperlinks>
    <hyperlink ref="G5" r:id="rId1"/>
    <hyperlink ref="G9" r:id="rId2"/>
    <hyperlink ref="H9" r:id="rId3"/>
    <hyperlink ref="G6" r:id="rId4"/>
    <hyperlink ref="G4" r:id="rId5"/>
    <hyperlink ref="G8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Budget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dcterms:created xsi:type="dcterms:W3CDTF">2019-11-07T19:27:57Z</dcterms:created>
  <dcterms:modified xsi:type="dcterms:W3CDTF">2020-07-13T20:30:54Z</dcterms:modified>
</cp:coreProperties>
</file>