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My Drive\PhD Program\Research\Thesis\VAC Thesis 1.0\Chapter-1\figs\"/>
    </mc:Choice>
  </mc:AlternateContent>
  <bookViews>
    <workbookView xWindow="0" yWindow="0" windowWidth="11970" windowHeight="4665" activeTab="2"/>
  </bookViews>
  <sheets>
    <sheet name="dc vs icor" sheetId="3" r:id="rId1"/>
    <sheet name="Sheet1" sheetId="1" r:id="rId2"/>
    <sheet name="Sheet2" sheetId="2" r:id="rId3"/>
    <sheet name="Time to Corrosion" sheetId="6" r:id="rId4"/>
    <sheet name="DiameterDecrease" sheetId="4" r:id="rId5"/>
    <sheet name="Corrosion Level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2" l="1"/>
  <c r="S24" i="2"/>
  <c r="R42" i="2"/>
  <c r="S42" i="2" s="1"/>
  <c r="T42" i="2" s="1"/>
  <c r="U42" i="2" s="1"/>
  <c r="V42" i="2" s="1"/>
  <c r="S41" i="2"/>
  <c r="T41" i="2" s="1"/>
  <c r="U41" i="2" s="1"/>
  <c r="V41" i="2" s="1"/>
  <c r="R41" i="2"/>
  <c r="R40" i="2"/>
  <c r="S40" i="2" s="1"/>
  <c r="T40" i="2" s="1"/>
  <c r="U40" i="2" s="1"/>
  <c r="V40" i="2" s="1"/>
  <c r="R39" i="2"/>
  <c r="S39" i="2" s="1"/>
  <c r="T39" i="2" s="1"/>
  <c r="U39" i="2" s="1"/>
  <c r="V39" i="2" s="1"/>
  <c r="R38" i="2"/>
  <c r="S38" i="2" s="1"/>
  <c r="T38" i="2" s="1"/>
  <c r="U38" i="2" s="1"/>
  <c r="V38" i="2" s="1"/>
  <c r="S37" i="2"/>
  <c r="T37" i="2" s="1"/>
  <c r="U37" i="2" s="1"/>
  <c r="V37" i="2" s="1"/>
  <c r="R37" i="2"/>
  <c r="T36" i="2"/>
  <c r="U36" i="2" s="1"/>
  <c r="V36" i="2" s="1"/>
  <c r="S36" i="2"/>
  <c r="R36" i="2"/>
  <c r="R35" i="2"/>
  <c r="S35" i="2" s="1"/>
  <c r="T35" i="2" s="1"/>
  <c r="U35" i="2" s="1"/>
  <c r="V35" i="2" s="1"/>
  <c r="R34" i="2"/>
  <c r="S34" i="2" s="1"/>
  <c r="T34" i="2" s="1"/>
  <c r="U34" i="2" s="1"/>
  <c r="V34" i="2" s="1"/>
  <c r="S33" i="2"/>
  <c r="T33" i="2" s="1"/>
  <c r="U33" i="2" s="1"/>
  <c r="V33" i="2" s="1"/>
  <c r="R33" i="2"/>
  <c r="R32" i="2"/>
  <c r="S32" i="2" s="1"/>
  <c r="T32" i="2" s="1"/>
  <c r="U32" i="2" s="1"/>
  <c r="V32" i="2" s="1"/>
  <c r="R31" i="2"/>
  <c r="S31" i="2" s="1"/>
  <c r="T31" i="2" s="1"/>
  <c r="U31" i="2" s="1"/>
  <c r="V31" i="2" s="1"/>
  <c r="R30" i="2"/>
  <c r="S30" i="2" s="1"/>
  <c r="T30" i="2" s="1"/>
  <c r="U30" i="2" s="1"/>
  <c r="V30" i="2" s="1"/>
  <c r="S29" i="2"/>
  <c r="T29" i="2" s="1"/>
  <c r="U29" i="2" s="1"/>
  <c r="V29" i="2" s="1"/>
  <c r="R29" i="2"/>
  <c r="T28" i="2"/>
  <c r="U28" i="2" s="1"/>
  <c r="V28" i="2" s="1"/>
  <c r="S28" i="2"/>
  <c r="R28" i="2"/>
  <c r="R27" i="2"/>
  <c r="S27" i="2" s="1"/>
  <c r="T27" i="2" s="1"/>
  <c r="U27" i="2" s="1"/>
  <c r="V27" i="2" s="1"/>
  <c r="S26" i="2"/>
  <c r="T26" i="2" s="1"/>
  <c r="U26" i="2" s="1"/>
  <c r="V26" i="2" s="1"/>
  <c r="S25" i="2"/>
  <c r="T25" i="2" s="1"/>
  <c r="U25" i="2" s="1"/>
  <c r="V25" i="2" s="1"/>
  <c r="R25" i="2"/>
  <c r="R24" i="2"/>
  <c r="T24" i="2" s="1"/>
  <c r="U24" i="2" s="1"/>
  <c r="V24" i="2" s="1"/>
  <c r="R23" i="2"/>
  <c r="S23" i="2" s="1"/>
  <c r="T23" i="2" s="1"/>
  <c r="U23" i="2" s="1"/>
  <c r="V23" i="2" s="1"/>
  <c r="R22" i="2"/>
  <c r="S22" i="2" s="1"/>
  <c r="T22" i="2" s="1"/>
  <c r="U22" i="2" s="1"/>
  <c r="V22" i="2" s="1"/>
  <c r="S21" i="2"/>
  <c r="T21" i="2" s="1"/>
  <c r="U21" i="2" s="1"/>
  <c r="V21" i="2" s="1"/>
  <c r="R21" i="2"/>
  <c r="T20" i="2"/>
  <c r="U20" i="2" s="1"/>
  <c r="V20" i="2" s="1"/>
  <c r="S20" i="2"/>
  <c r="R20" i="2"/>
  <c r="R19" i="2"/>
  <c r="L19" i="2"/>
  <c r="V19" i="2"/>
  <c r="U19" i="2"/>
  <c r="T19" i="2"/>
  <c r="S19" i="2"/>
  <c r="D19" i="2"/>
  <c r="C14" i="2" l="1"/>
  <c r="B3" i="6" l="1"/>
  <c r="F8" i="6"/>
  <c r="U24" i="6"/>
  <c r="B24" i="6"/>
  <c r="F9" i="6"/>
  <c r="P15" i="6"/>
  <c r="R15" i="6" s="1"/>
  <c r="L21" i="6"/>
  <c r="J21" i="6"/>
  <c r="D8" i="6"/>
  <c r="D9" i="6"/>
  <c r="M16" i="6" l="1"/>
  <c r="B15" i="6"/>
  <c r="B7" i="6"/>
  <c r="H25" i="6" l="1"/>
  <c r="J16" i="6"/>
  <c r="D7" i="6"/>
  <c r="B18" i="6"/>
  <c r="F7" i="6"/>
  <c r="B19" i="6"/>
  <c r="U19" i="6" s="1"/>
  <c r="K16" i="6"/>
  <c r="K18" i="6" s="1"/>
  <c r="B16" i="6"/>
  <c r="D16" i="6" s="1"/>
  <c r="D15" i="6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D20" i="1"/>
  <c r="D21" i="1"/>
  <c r="D22" i="1"/>
  <c r="D23" i="1"/>
  <c r="D24" i="1"/>
  <c r="D25" i="1"/>
  <c r="D26" i="1"/>
  <c r="D27" i="1"/>
  <c r="D28" i="1"/>
  <c r="D19" i="1"/>
  <c r="E6" i="1"/>
  <c r="E7" i="1"/>
  <c r="E8" i="1"/>
  <c r="E9" i="1"/>
  <c r="E10" i="1"/>
  <c r="E11" i="1"/>
  <c r="E12" i="1"/>
  <c r="E13" i="1"/>
  <c r="E14" i="1"/>
  <c r="E15" i="1"/>
  <c r="E5" i="1"/>
  <c r="D5" i="1"/>
  <c r="D6" i="1"/>
  <c r="D7" i="1"/>
  <c r="D8" i="1"/>
  <c r="D9" i="1"/>
  <c r="D11" i="1"/>
  <c r="D12" i="1"/>
  <c r="D13" i="1"/>
  <c r="D14" i="1"/>
  <c r="D15" i="1"/>
  <c r="D10" i="1"/>
  <c r="P16" i="6" l="1"/>
  <c r="B21" i="6"/>
  <c r="U18" i="6"/>
  <c r="U22" i="6" s="1"/>
  <c r="U25" i="6" s="1"/>
  <c r="U29" i="6" s="1"/>
  <c r="U30" i="6" s="1"/>
  <c r="J22" i="6"/>
  <c r="D18" i="6"/>
  <c r="D19" i="6"/>
  <c r="E21" i="6" s="1"/>
  <c r="E22" i="6" s="1"/>
  <c r="E25" i="6" s="1"/>
  <c r="L22" i="6"/>
  <c r="M14" i="2"/>
  <c r="F27" i="6" l="1"/>
  <c r="B29" i="6"/>
  <c r="P18" i="6"/>
  <c r="P19" i="6" s="1"/>
  <c r="P20" i="6" s="1"/>
  <c r="I29" i="6"/>
  <c r="B22" i="6"/>
  <c r="B25" i="6" s="1"/>
  <c r="D21" i="6"/>
  <c r="D22" i="6" s="1"/>
  <c r="D25" i="6" s="1"/>
  <c r="M15" i="2"/>
  <c r="E19" i="2"/>
  <c r="M19" i="2" s="1"/>
  <c r="F19" i="2"/>
  <c r="G19" i="2"/>
  <c r="O19" i="2" s="1"/>
  <c r="H19" i="2"/>
  <c r="E20" i="2"/>
  <c r="F20" i="2"/>
  <c r="G20" i="2"/>
  <c r="H20" i="2"/>
  <c r="E21" i="2"/>
  <c r="M21" i="2" s="1"/>
  <c r="F21" i="2"/>
  <c r="N21" i="2" s="1"/>
  <c r="G21" i="2"/>
  <c r="O21" i="2" s="1"/>
  <c r="H21" i="2"/>
  <c r="P21" i="2" s="1"/>
  <c r="E22" i="2"/>
  <c r="F22" i="2"/>
  <c r="N22" i="2" s="1"/>
  <c r="G22" i="2"/>
  <c r="H22" i="2"/>
  <c r="E23" i="2"/>
  <c r="M23" i="2" s="1"/>
  <c r="F23" i="2"/>
  <c r="G23" i="2"/>
  <c r="O23" i="2" s="1"/>
  <c r="H23" i="2"/>
  <c r="P23" i="2" s="1"/>
  <c r="E24" i="2"/>
  <c r="M24" i="2" s="1"/>
  <c r="F24" i="2"/>
  <c r="N24" i="2" s="1"/>
  <c r="G24" i="2"/>
  <c r="H24" i="2"/>
  <c r="P24" i="2" s="1"/>
  <c r="E25" i="2"/>
  <c r="M25" i="2" s="1"/>
  <c r="F25" i="2"/>
  <c r="N25" i="2" s="1"/>
  <c r="G25" i="2"/>
  <c r="O25" i="2" s="1"/>
  <c r="H25" i="2"/>
  <c r="P25" i="2" s="1"/>
  <c r="E26" i="2"/>
  <c r="M26" i="2" s="1"/>
  <c r="F26" i="2"/>
  <c r="N26" i="2" s="1"/>
  <c r="G26" i="2"/>
  <c r="O26" i="2" s="1"/>
  <c r="H26" i="2"/>
  <c r="P26" i="2" s="1"/>
  <c r="E27" i="2"/>
  <c r="M27" i="2" s="1"/>
  <c r="F27" i="2"/>
  <c r="N27" i="2" s="1"/>
  <c r="G27" i="2"/>
  <c r="H27" i="2"/>
  <c r="P27" i="2" s="1"/>
  <c r="E28" i="2"/>
  <c r="M28" i="2" s="1"/>
  <c r="F28" i="2"/>
  <c r="N28" i="2" s="1"/>
  <c r="G28" i="2"/>
  <c r="O28" i="2" s="1"/>
  <c r="H28" i="2"/>
  <c r="P28" i="2" s="1"/>
  <c r="E29" i="2"/>
  <c r="F29" i="2"/>
  <c r="N29" i="2" s="1"/>
  <c r="G29" i="2"/>
  <c r="O29" i="2" s="1"/>
  <c r="H29" i="2"/>
  <c r="P29" i="2" s="1"/>
  <c r="E30" i="2"/>
  <c r="M30" i="2" s="1"/>
  <c r="F30" i="2"/>
  <c r="N30" i="2" s="1"/>
  <c r="G30" i="2"/>
  <c r="O30" i="2" s="1"/>
  <c r="H30" i="2"/>
  <c r="P30" i="2" s="1"/>
  <c r="E31" i="2"/>
  <c r="M31" i="2" s="1"/>
  <c r="F31" i="2"/>
  <c r="N31" i="2" s="1"/>
  <c r="G31" i="2"/>
  <c r="O31" i="2" s="1"/>
  <c r="H31" i="2"/>
  <c r="P31" i="2" s="1"/>
  <c r="E32" i="2"/>
  <c r="M32" i="2" s="1"/>
  <c r="F32" i="2"/>
  <c r="N32" i="2" s="1"/>
  <c r="G32" i="2"/>
  <c r="O32" i="2" s="1"/>
  <c r="H32" i="2"/>
  <c r="E33" i="2"/>
  <c r="M33" i="2" s="1"/>
  <c r="F33" i="2"/>
  <c r="N33" i="2" s="1"/>
  <c r="G33" i="2"/>
  <c r="O33" i="2" s="1"/>
  <c r="H33" i="2"/>
  <c r="P33" i="2" s="1"/>
  <c r="E34" i="2"/>
  <c r="M34" i="2" s="1"/>
  <c r="F34" i="2"/>
  <c r="N34" i="2" s="1"/>
  <c r="G34" i="2"/>
  <c r="O34" i="2" s="1"/>
  <c r="H34" i="2"/>
  <c r="P34" i="2" s="1"/>
  <c r="E35" i="2"/>
  <c r="M35" i="2" s="1"/>
  <c r="F35" i="2"/>
  <c r="N35" i="2" s="1"/>
  <c r="G35" i="2"/>
  <c r="O35" i="2" s="1"/>
  <c r="H35" i="2"/>
  <c r="P35" i="2" s="1"/>
  <c r="E36" i="2"/>
  <c r="M36" i="2" s="1"/>
  <c r="F36" i="2"/>
  <c r="N36" i="2" s="1"/>
  <c r="G36" i="2"/>
  <c r="H36" i="2"/>
  <c r="P36" i="2" s="1"/>
  <c r="E37" i="2"/>
  <c r="M37" i="2" s="1"/>
  <c r="F37" i="2"/>
  <c r="N37" i="2" s="1"/>
  <c r="G37" i="2"/>
  <c r="O37" i="2" s="1"/>
  <c r="H37" i="2"/>
  <c r="P37" i="2" s="1"/>
  <c r="E38" i="2"/>
  <c r="M38" i="2" s="1"/>
  <c r="F38" i="2"/>
  <c r="N38" i="2" s="1"/>
  <c r="G38" i="2"/>
  <c r="O38" i="2" s="1"/>
  <c r="H38" i="2"/>
  <c r="P38" i="2" s="1"/>
  <c r="E39" i="2"/>
  <c r="M39" i="2" s="1"/>
  <c r="F39" i="2"/>
  <c r="N39" i="2" s="1"/>
  <c r="G39" i="2"/>
  <c r="O39" i="2" s="1"/>
  <c r="H39" i="2"/>
  <c r="P39" i="2" s="1"/>
  <c r="E40" i="2"/>
  <c r="M40" i="2" s="1"/>
  <c r="F40" i="2"/>
  <c r="N40" i="2" s="1"/>
  <c r="G40" i="2"/>
  <c r="O40" i="2" s="1"/>
  <c r="H40" i="2"/>
  <c r="P40" i="2" s="1"/>
  <c r="E41" i="2"/>
  <c r="M41" i="2" s="1"/>
  <c r="F41" i="2"/>
  <c r="G41" i="2"/>
  <c r="O41" i="2" s="1"/>
  <c r="H41" i="2"/>
  <c r="P41" i="2" s="1"/>
  <c r="E42" i="2"/>
  <c r="M42" i="2" s="1"/>
  <c r="F42" i="2"/>
  <c r="N42" i="2" s="1"/>
  <c r="G42" i="2"/>
  <c r="O42" i="2" s="1"/>
  <c r="H42" i="2"/>
  <c r="P42" i="2" s="1"/>
  <c r="E43" i="2"/>
  <c r="M43" i="2" s="1"/>
  <c r="F43" i="2"/>
  <c r="N43" i="2" s="1"/>
  <c r="G43" i="2"/>
  <c r="H43" i="2"/>
  <c r="P43" i="2" s="1"/>
  <c r="E44" i="2"/>
  <c r="M44" i="2" s="1"/>
  <c r="F44" i="2"/>
  <c r="N44" i="2" s="1"/>
  <c r="G44" i="2"/>
  <c r="O44" i="2" s="1"/>
  <c r="H44" i="2"/>
  <c r="P44" i="2" s="1"/>
  <c r="E45" i="2"/>
  <c r="F45" i="2"/>
  <c r="N45" i="2" s="1"/>
  <c r="G45" i="2"/>
  <c r="O45" i="2" s="1"/>
  <c r="H45" i="2"/>
  <c r="P45" i="2" s="1"/>
  <c r="E46" i="2"/>
  <c r="M46" i="2" s="1"/>
  <c r="F46" i="2"/>
  <c r="N46" i="2" s="1"/>
  <c r="G46" i="2"/>
  <c r="O46" i="2" s="1"/>
  <c r="H46" i="2"/>
  <c r="P46" i="2" s="1"/>
  <c r="E47" i="2"/>
  <c r="M47" i="2" s="1"/>
  <c r="F47" i="2"/>
  <c r="N47" i="2" s="1"/>
  <c r="G47" i="2"/>
  <c r="O47" i="2" s="1"/>
  <c r="H47" i="2"/>
  <c r="P47" i="2" s="1"/>
  <c r="D20" i="2"/>
  <c r="L20" i="2" s="1"/>
  <c r="D21" i="2"/>
  <c r="L21" i="2" s="1"/>
  <c r="D22" i="2"/>
  <c r="L22" i="2" s="1"/>
  <c r="D23" i="2"/>
  <c r="D24" i="2"/>
  <c r="L24" i="2" s="1"/>
  <c r="D25" i="2"/>
  <c r="L25" i="2" s="1"/>
  <c r="D26" i="2"/>
  <c r="L26" i="2" s="1"/>
  <c r="D27" i="2"/>
  <c r="L27" i="2" s="1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L35" i="2" s="1"/>
  <c r="D36" i="2"/>
  <c r="L36" i="2" s="1"/>
  <c r="D37" i="2"/>
  <c r="L37" i="2" s="1"/>
  <c r="D38" i="2"/>
  <c r="D39" i="2"/>
  <c r="L39" i="2" s="1"/>
  <c r="D40" i="2"/>
  <c r="L40" i="2" s="1"/>
  <c r="D41" i="2"/>
  <c r="L41" i="2" s="1"/>
  <c r="D42" i="2"/>
  <c r="L42" i="2" s="1"/>
  <c r="D43" i="2"/>
  <c r="L43" i="2" s="1"/>
  <c r="D44" i="2"/>
  <c r="L44" i="2" s="1"/>
  <c r="D45" i="2"/>
  <c r="L45" i="2" s="1"/>
  <c r="D46" i="2"/>
  <c r="L46" i="2" s="1"/>
  <c r="D47" i="2"/>
  <c r="L47" i="2" s="1"/>
  <c r="N20" i="2" l="1"/>
  <c r="P19" i="2"/>
  <c r="N19" i="2"/>
  <c r="O36" i="2"/>
  <c r="P22" i="2"/>
  <c r="M22" i="2"/>
  <c r="M20" i="2"/>
  <c r="L38" i="2"/>
  <c r="O22" i="2"/>
  <c r="M45" i="2"/>
  <c r="O43" i="2"/>
  <c r="L23" i="2"/>
  <c r="O24" i="2"/>
  <c r="P20" i="2"/>
  <c r="M29" i="2"/>
  <c r="N41" i="2"/>
  <c r="O27" i="2"/>
  <c r="O20" i="2"/>
  <c r="P32" i="2"/>
  <c r="N23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9" i="2"/>
</calcChain>
</file>

<file path=xl/sharedStrings.xml><?xml version="1.0" encoding="utf-8"?>
<sst xmlns="http://schemas.openxmlformats.org/spreadsheetml/2006/main" count="73" uniqueCount="45">
  <si>
    <t>dc</t>
  </si>
  <si>
    <t>wc</t>
  </si>
  <si>
    <t>icor</t>
  </si>
  <si>
    <t>dbi</t>
  </si>
  <si>
    <t>t</t>
  </si>
  <si>
    <t>tcorr</t>
  </si>
  <si>
    <t>d</t>
  </si>
  <si>
    <t>C</t>
  </si>
  <si>
    <t>Go</t>
  </si>
  <si>
    <t>go</t>
  </si>
  <si>
    <t>f'c</t>
  </si>
  <si>
    <t>E</t>
  </si>
  <si>
    <t>Eef</t>
  </si>
  <si>
    <t>f't</t>
  </si>
  <si>
    <t>db</t>
  </si>
  <si>
    <t>do</t>
  </si>
  <si>
    <t>α</t>
  </si>
  <si>
    <t>ρst</t>
  </si>
  <si>
    <t>ρrust</t>
  </si>
  <si>
    <t>νc</t>
  </si>
  <si>
    <t>psi</t>
  </si>
  <si>
    <t>Φcr</t>
  </si>
  <si>
    <t>mils</t>
  </si>
  <si>
    <t>lb/ft3</t>
  </si>
  <si>
    <t>in</t>
  </si>
  <si>
    <t>kp</t>
  </si>
  <si>
    <t>w/c</t>
  </si>
  <si>
    <t>μA/cm2</t>
  </si>
  <si>
    <t>mA/ft2</t>
  </si>
  <si>
    <t>a</t>
  </si>
  <si>
    <t>b</t>
  </si>
  <si>
    <t>1st term</t>
  </si>
  <si>
    <t>Denominator</t>
  </si>
  <si>
    <t>Tcr</t>
  </si>
  <si>
    <t>kg2/m2</t>
  </si>
  <si>
    <t>lb2/ft2</t>
  </si>
  <si>
    <t>ft</t>
  </si>
  <si>
    <t>mm/y</t>
  </si>
  <si>
    <t>in/y</t>
  </si>
  <si>
    <t>g/(m2*day)</t>
  </si>
  <si>
    <t>lb/(ft2*year)</t>
  </si>
  <si>
    <t>A/m2</t>
  </si>
  <si>
    <t>m</t>
  </si>
  <si>
    <t>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</si>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</sst>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dc vs icor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w/c=0.1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4.4573173126872314</c:v>
                </c:pt>
                <c:pt idx="1">
                  <c:v>2.2286586563436157</c:v>
                </c:pt>
                <c:pt idx="2">
                  <c:v>1.4857724375624104</c:v>
                </c:pt>
                <c:pt idx="3">
                  <c:v>1.1143293281718079</c:v>
                </c:pt>
                <c:pt idx="4">
                  <c:v>0.89146346253744624</c:v>
                </c:pt>
                <c:pt idx="5">
                  <c:v>0.7428862187812052</c:v>
                </c:pt>
                <c:pt idx="6">
                  <c:v>0.63675961609817588</c:v>
                </c:pt>
                <c:pt idx="7">
                  <c:v>0.55716466408590393</c:v>
                </c:pt>
                <c:pt idx="8">
                  <c:v>0.49525747918747015</c:v>
                </c:pt>
                <c:pt idx="9">
                  <c:v>0.44573173126872312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D-4F08-86D9-D59FAB74E038}"/>
            </c:ext>
          </c:extLst>
        </c:ser>
        <c:ser>
          <c:idx val="1"/>
          <c:order val="1"/>
          <c:tx>
            <c:v>w/c=0.2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5.4070911289279735</c:v>
                </c:pt>
                <c:pt idx="1">
                  <c:v>2.7035455644639868</c:v>
                </c:pt>
                <c:pt idx="2">
                  <c:v>1.8023637096426579</c:v>
                </c:pt>
                <c:pt idx="3">
                  <c:v>1.3517727822319934</c:v>
                </c:pt>
                <c:pt idx="4">
                  <c:v>1.0814182257855947</c:v>
                </c:pt>
                <c:pt idx="5">
                  <c:v>0.90118185482132895</c:v>
                </c:pt>
                <c:pt idx="6">
                  <c:v>0.7724415898468534</c:v>
                </c:pt>
                <c:pt idx="7">
                  <c:v>0.67588639111599669</c:v>
                </c:pt>
                <c:pt idx="8">
                  <c:v>0.60078790321421927</c:v>
                </c:pt>
                <c:pt idx="9">
                  <c:v>0.54070911289279733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D-4F08-86D9-D59FAB74E038}"/>
            </c:ext>
          </c:extLst>
        </c:ser>
        <c:ser>
          <c:idx val="2"/>
          <c:order val="2"/>
          <c:tx>
            <c:v>w/c=0.3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Sheet1!$F$19:$F$28</c:f>
              <c:numCache>
                <c:formatCode>General</c:formatCode>
                <c:ptCount val="10"/>
                <c:pt idx="0">
                  <c:v>6.7308588323066427</c:v>
                </c:pt>
                <c:pt idx="1">
                  <c:v>3.3654294161533214</c:v>
                </c:pt>
                <c:pt idx="2">
                  <c:v>2.2436196107688811</c:v>
                </c:pt>
                <c:pt idx="3">
                  <c:v>1.6827147080766607</c:v>
                </c:pt>
                <c:pt idx="4">
                  <c:v>1.3461717664613286</c:v>
                </c:pt>
                <c:pt idx="5">
                  <c:v>1.1218098053844405</c:v>
                </c:pt>
                <c:pt idx="6">
                  <c:v>0.96155126175809191</c:v>
                </c:pt>
                <c:pt idx="7">
                  <c:v>0.84135735403833034</c:v>
                </c:pt>
                <c:pt idx="8">
                  <c:v>0.74787320358962706</c:v>
                </c:pt>
                <c:pt idx="9">
                  <c:v>0.67308588323066432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D-4F08-86D9-D59FAB74E038}"/>
            </c:ext>
          </c:extLst>
        </c:ser>
        <c:ser>
          <c:idx val="3"/>
          <c:order val="3"/>
          <c:tx>
            <c:v>w/c=0.4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Sheet1!$G$19:$G$28</c:f>
              <c:numCache>
                <c:formatCode>General</c:formatCode>
                <c:ptCount val="10"/>
                <c:pt idx="0">
                  <c:v>8.6668886540877601</c:v>
                </c:pt>
                <c:pt idx="1">
                  <c:v>4.3334443270438801</c:v>
                </c:pt>
                <c:pt idx="2">
                  <c:v>2.8889628846959199</c:v>
                </c:pt>
                <c:pt idx="3">
                  <c:v>2.16672216352194</c:v>
                </c:pt>
                <c:pt idx="4">
                  <c:v>1.733377730817552</c:v>
                </c:pt>
                <c:pt idx="5">
                  <c:v>1.4444814423479599</c:v>
                </c:pt>
                <c:pt idx="6">
                  <c:v>1.2381269505839656</c:v>
                </c:pt>
                <c:pt idx="7">
                  <c:v>1.08336108176097</c:v>
                </c:pt>
                <c:pt idx="8">
                  <c:v>0.96298762823197326</c:v>
                </c:pt>
                <c:pt idx="9">
                  <c:v>0.86668886540877599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4D-4F08-86D9-D59FAB74E038}"/>
            </c:ext>
          </c:extLst>
        </c:ser>
        <c:ser>
          <c:idx val="4"/>
          <c:order val="4"/>
          <c:tx>
            <c:v>w/c=0.5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11.687468694907498</c:v>
                </c:pt>
                <c:pt idx="1">
                  <c:v>5.8437343474537489</c:v>
                </c:pt>
                <c:pt idx="2">
                  <c:v>3.8958228983024989</c:v>
                </c:pt>
                <c:pt idx="3">
                  <c:v>2.9218671737268744</c:v>
                </c:pt>
                <c:pt idx="4">
                  <c:v>2.3374937389814994</c:v>
                </c:pt>
                <c:pt idx="5">
                  <c:v>1.9479114491512495</c:v>
                </c:pt>
                <c:pt idx="6">
                  <c:v>1.6696383849867853</c:v>
                </c:pt>
                <c:pt idx="7">
                  <c:v>1.4609335868634372</c:v>
                </c:pt>
                <c:pt idx="8">
                  <c:v>1.2986076327674996</c:v>
                </c:pt>
                <c:pt idx="9">
                  <c:v>1.1687468694907497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4D-4F08-86D9-D59FAB74E038}"/>
            </c:ext>
          </c:extLst>
        </c:ser>
        <c:ser>
          <c:idx val="5"/>
          <c:order val="5"/>
          <c:tx>
            <c:v>w/c=0.6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Sheet1!$I$19:$I$28</c:f>
              <c:numCache>
                <c:formatCode>General</c:formatCode>
                <c:ptCount val="10"/>
                <c:pt idx="0">
                  <c:v>16.85205554662873</c:v>
                </c:pt>
                <c:pt idx="1">
                  <c:v>8.4260277733143649</c:v>
                </c:pt>
                <c:pt idx="2">
                  <c:v>5.6173518488762433</c:v>
                </c:pt>
                <c:pt idx="3">
                  <c:v>4.2130138866571825</c:v>
                </c:pt>
                <c:pt idx="4">
                  <c:v>3.3704111093257461</c:v>
                </c:pt>
                <c:pt idx="5">
                  <c:v>2.8086759244381216</c:v>
                </c:pt>
                <c:pt idx="6">
                  <c:v>2.4074365066612473</c:v>
                </c:pt>
                <c:pt idx="7">
                  <c:v>2.1065069433285912</c:v>
                </c:pt>
                <c:pt idx="8">
                  <c:v>1.8724506162920811</c:v>
                </c:pt>
                <c:pt idx="9">
                  <c:v>1.685205554662873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4D-4F08-86D9-D59FAB74E038}"/>
            </c:ext>
          </c:extLst>
        </c:ser>
        <c:ser>
          <c:idx val="6"/>
          <c:order val="6"/>
          <c:tx>
            <c:v>w/c=0.7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Sheet1!$J$19:$J$28</c:f>
              <c:numCache>
                <c:formatCode>General</c:formatCode>
                <c:ptCount val="10"/>
                <c:pt idx="0">
                  <c:v>27.011730620506569</c:v>
                </c:pt>
                <c:pt idx="1">
                  <c:v>13.505865310253284</c:v>
                </c:pt>
                <c:pt idx="2">
                  <c:v>9.0039102068355223</c:v>
                </c:pt>
                <c:pt idx="3">
                  <c:v>6.7529326551266422</c:v>
                </c:pt>
                <c:pt idx="4">
                  <c:v>5.4023461241013138</c:v>
                </c:pt>
                <c:pt idx="5">
                  <c:v>4.5019551034177612</c:v>
                </c:pt>
                <c:pt idx="6">
                  <c:v>3.8588186600723668</c:v>
                </c:pt>
                <c:pt idx="7">
                  <c:v>3.3764663275633211</c:v>
                </c:pt>
                <c:pt idx="8">
                  <c:v>3.0013034022785074</c:v>
                </c:pt>
                <c:pt idx="9">
                  <c:v>2.7011730620506569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4D-4F08-86D9-D59FAB74E038}"/>
            </c:ext>
          </c:extLst>
        </c:ser>
        <c:ser>
          <c:idx val="7"/>
          <c:order val="7"/>
          <c:tx>
            <c:v>w/c=0.8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Sheet1!$K$19:$K$28</c:f>
              <c:numCache>
                <c:formatCode>General</c:formatCode>
                <c:ptCount val="10"/>
                <c:pt idx="0">
                  <c:v>52.522099105617471</c:v>
                </c:pt>
                <c:pt idx="1">
                  <c:v>26.261049552808736</c:v>
                </c:pt>
                <c:pt idx="2">
                  <c:v>17.507366368539159</c:v>
                </c:pt>
                <c:pt idx="3">
                  <c:v>13.130524776404368</c:v>
                </c:pt>
                <c:pt idx="4">
                  <c:v>10.504419821123495</c:v>
                </c:pt>
                <c:pt idx="5">
                  <c:v>8.7536831842695797</c:v>
                </c:pt>
                <c:pt idx="6">
                  <c:v>7.5031570150882105</c:v>
                </c:pt>
                <c:pt idx="7">
                  <c:v>6.5652623882021839</c:v>
                </c:pt>
                <c:pt idx="8">
                  <c:v>5.8357887895130522</c:v>
                </c:pt>
                <c:pt idx="9">
                  <c:v>5.2522099105617475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4D-4F08-86D9-D59FAB74E038}"/>
            </c:ext>
          </c:extLst>
        </c:ser>
        <c:ser>
          <c:idx val="8"/>
          <c:order val="8"/>
          <c:tx>
            <c:v>w/c=0.9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Sheet1!$L$19:$L$28</c:f>
              <c:numCache>
                <c:formatCode>General</c:formatCode>
                <c:ptCount val="10"/>
                <c:pt idx="0">
                  <c:v>163.6934370900623</c:v>
                </c:pt>
                <c:pt idx="1">
                  <c:v>81.846718545031152</c:v>
                </c:pt>
                <c:pt idx="2">
                  <c:v>54.564479030020763</c:v>
                </c:pt>
                <c:pt idx="3">
                  <c:v>40.923359272515576</c:v>
                </c:pt>
                <c:pt idx="4">
                  <c:v>32.738687418012461</c:v>
                </c:pt>
                <c:pt idx="5">
                  <c:v>27.282239515010382</c:v>
                </c:pt>
                <c:pt idx="6">
                  <c:v>23.384776727151756</c:v>
                </c:pt>
                <c:pt idx="7">
                  <c:v>20.461679636257788</c:v>
                </c:pt>
                <c:pt idx="8">
                  <c:v>18.188159676673589</c:v>
                </c:pt>
                <c:pt idx="9">
                  <c:v>16.36934370900623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4D-4F08-86D9-D59FAB74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79576"/>
        <c:axId val="487979904"/>
      </c:scatterChart>
      <c:valAx>
        <c:axId val="487979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9904"/>
        <c:crosses val="autoZero"/>
        <c:crossBetween val="midCat"/>
        <c:minorUnit val="2.5"/>
      </c:valAx>
      <c:valAx>
        <c:axId val="487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icor(</a:t>
                </a:r>
                <a:r>
                  <a:rPr lang="el-GR"/>
                  <a:t>μ</a:t>
                </a:r>
                <a:r>
                  <a:rPr lang="en-US"/>
                  <a:t>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8671887838703"/>
          <c:y val="0.1765675974853276"/>
          <c:w val="0.14212312011982403"/>
          <c:h val="0.537139037991603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w/c vs icor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dc=50mm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0.91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0.75</c:v>
                </c:pt>
                <c:pt idx="1">
                  <c:v>0.89146346253744624</c:v>
                </c:pt>
                <c:pt idx="2">
                  <c:v>1.0814182257855947</c:v>
                </c:pt>
                <c:pt idx="3">
                  <c:v>1.3461717664613286</c:v>
                </c:pt>
                <c:pt idx="4">
                  <c:v>1.733377730817552</c:v>
                </c:pt>
                <c:pt idx="5">
                  <c:v>2.3374937389814994</c:v>
                </c:pt>
                <c:pt idx="6">
                  <c:v>3.3704111093257461</c:v>
                </c:pt>
                <c:pt idx="7">
                  <c:v>5.4023461241013138</c:v>
                </c:pt>
                <c:pt idx="8">
                  <c:v>10.504419821123495</c:v>
                </c:pt>
                <c:pt idx="9">
                  <c:v>32.738687418012461</c:v>
                </c:pt>
                <c:pt idx="10">
                  <c:v>38.913791526123362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493-9D5C-7488ECA67279}"/>
            </c:ext>
          </c:extLst>
        </c:ser>
        <c:ser>
          <c:idx val="1"/>
          <c:order val="1"/>
          <c:tx>
            <c:v>dc=75mm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0.5</c:v>
                </c:pt>
                <c:pt idx="1">
                  <c:v>0.59430897502496416</c:v>
                </c:pt>
                <c:pt idx="2">
                  <c:v>0.72094548385706314</c:v>
                </c:pt>
                <c:pt idx="3">
                  <c:v>0.89744784430755242</c:v>
                </c:pt>
                <c:pt idx="4">
                  <c:v>1.1555851538783679</c:v>
                </c:pt>
                <c:pt idx="5">
                  <c:v>1.5583291593209996</c:v>
                </c:pt>
                <c:pt idx="6">
                  <c:v>2.2469407395504972</c:v>
                </c:pt>
                <c:pt idx="7">
                  <c:v>3.601564082734209</c:v>
                </c:pt>
                <c:pt idx="8">
                  <c:v>7.0029465474156636</c:v>
                </c:pt>
                <c:pt idx="9">
                  <c:v>21.825791612008306</c:v>
                </c:pt>
                <c:pt idx="10">
                  <c:v>25.94252768408224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493-9D5C-7488ECA6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2856"/>
        <c:axId val="476403184"/>
      </c:scatterChart>
      <c:valAx>
        <c:axId val="4764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3184"/>
        <c:crosses val="autoZero"/>
        <c:crossBetween val="midCat"/>
      </c:valAx>
      <c:valAx>
        <c:axId val="476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icor(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A/cm</a:t>
                </a:r>
                <a:r>
                  <a:rPr lang="en-US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90266841644791"/>
          <c:y val="0.24615667833187513"/>
          <c:w val="0.1847639982502187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Decrease Due</a:t>
            </a:r>
            <a:r>
              <a:rPr lang="en-US" baseline="0"/>
              <a:t> to Corrosion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w/c=0.4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Sheet2!$D$19:$D$47</c:f>
              <c:numCache>
                <c:formatCode>General</c:formatCode>
                <c:ptCount val="29"/>
                <c:pt idx="0">
                  <c:v>18.910664701357124</c:v>
                </c:pt>
                <c:pt idx="1">
                  <c:v>18.895636988045734</c:v>
                </c:pt>
                <c:pt idx="2">
                  <c:v>18.88118541528554</c:v>
                </c:pt>
                <c:pt idx="3">
                  <c:v>18.867223031512655</c:v>
                </c:pt>
                <c:pt idx="4">
                  <c:v>18.85368377331115</c:v>
                </c:pt>
                <c:pt idx="5">
                  <c:v>18.840515932393455</c:v>
                </c:pt>
                <c:pt idx="6">
                  <c:v>18.827678058213735</c:v>
                </c:pt>
                <c:pt idx="7">
                  <c:v>18.81513626509933</c:v>
                </c:pt>
                <c:pt idx="8">
                  <c:v>18.802862393730869</c:v>
                </c:pt>
                <c:pt idx="9">
                  <c:v>18.790832715542432</c:v>
                </c:pt>
                <c:pt idx="10">
                  <c:v>18.779026994967616</c:v>
                </c:pt>
                <c:pt idx="11">
                  <c:v>18.670324126600537</c:v>
                </c:pt>
                <c:pt idx="12">
                  <c:v>18.57322309268632</c:v>
                </c:pt>
                <c:pt idx="13">
                  <c:v>18.483655414437351</c:v>
                </c:pt>
                <c:pt idx="14">
                  <c:v>18.399556839623127</c:v>
                </c:pt>
                <c:pt idx="15">
                  <c:v>18.319694919966953</c:v>
                </c:pt>
                <c:pt idx="16">
                  <c:v>18.243258233124887</c:v>
                </c:pt>
                <c:pt idx="17">
                  <c:v>18.169676141898595</c:v>
                </c:pt>
                <c:pt idx="18">
                  <c:v>18.098527747863432</c:v>
                </c:pt>
                <c:pt idx="19">
                  <c:v>18.029491168390251</c:v>
                </c:pt>
                <c:pt idx="20">
                  <c:v>17.962313151731635</c:v>
                </c:pt>
                <c:pt idx="21">
                  <c:v>17.896789824556876</c:v>
                </c:pt>
                <c:pt idx="22">
                  <c:v>17.832753934170874</c:v>
                </c:pt>
                <c:pt idx="23">
                  <c:v>17.770066078851318</c:v>
                </c:pt>
                <c:pt idx="24">
                  <c:v>17.708608492479517</c:v>
                </c:pt>
                <c:pt idx="25">
                  <c:v>17.648280523902702</c:v>
                </c:pt>
                <c:pt idx="26">
                  <c:v>17.588995274995085</c:v>
                </c:pt>
                <c:pt idx="27">
                  <c:v>17.530677051690688</c:v>
                </c:pt>
                <c:pt idx="28">
                  <c:v>17.473259398415419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EEA-9478-657CF50B4B9E}"/>
            </c:ext>
          </c:extLst>
        </c:ser>
        <c:ser>
          <c:idx val="1"/>
          <c:order val="1"/>
          <c:tx>
            <c:v>w/c=0.5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Sheet2!$E$19:$E$47</c:f>
              <c:numCache>
                <c:formatCode>General</c:formatCode>
                <c:ptCount val="29"/>
                <c:pt idx="0">
                  <c:v>18.862103627266961</c:v>
                </c:pt>
                <c:pt idx="1">
                  <c:v>18.841838462235671</c:v>
                </c:pt>
                <c:pt idx="2">
                  <c:v>18.822350233995046</c:v>
                </c:pt>
                <c:pt idx="3">
                  <c:v>18.803521686662215</c:v>
                </c:pt>
                <c:pt idx="4">
                  <c:v>18.785263732429964</c:v>
                </c:pt>
                <c:pt idx="5">
                  <c:v>18.767506641662159</c:v>
                </c:pt>
                <c:pt idx="6">
                  <c:v>18.750194517487831</c:v>
                </c:pt>
                <c:pt idx="7">
                  <c:v>18.733281664415298</c:v>
                </c:pt>
                <c:pt idx="8">
                  <c:v>18.716730109052168</c:v>
                </c:pt>
                <c:pt idx="9">
                  <c:v>18.700507852963664</c:v>
                </c:pt>
                <c:pt idx="10">
                  <c:v>18.6845876080931</c:v>
                </c:pt>
                <c:pt idx="11">
                  <c:v>18.537999666122982</c:v>
                </c:pt>
                <c:pt idx="12">
                  <c:v>18.407057024604178</c:v>
                </c:pt>
                <c:pt idx="13">
                  <c:v>18.28627326039641</c:v>
                </c:pt>
                <c:pt idx="14">
                  <c:v>18.172864689032796</c:v>
                </c:pt>
                <c:pt idx="15">
                  <c:v>18.065169329931056</c:v>
                </c:pt>
                <c:pt idx="16">
                  <c:v>17.962092964205773</c:v>
                </c:pt>
                <c:pt idx="17">
                  <c:v>17.862866076445137</c:v>
                </c:pt>
                <c:pt idx="18">
                  <c:v>17.766921076899457</c:v>
                </c:pt>
                <c:pt idx="19">
                  <c:v>17.67382390055397</c:v>
                </c:pt>
                <c:pt idx="20">
                  <c:v>17.583233032478926</c:v>
                </c:pt>
                <c:pt idx="21">
                  <c:v>17.494873545504326</c:v>
                </c:pt>
                <c:pt idx="22">
                  <c:v>17.408519896102828</c:v>
                </c:pt>
                <c:pt idx="23">
                  <c:v>17.323984098328083</c:v>
                </c:pt>
                <c:pt idx="24">
                  <c:v>17.24110734226797</c:v>
                </c:pt>
                <c:pt idx="25">
                  <c:v>17.159753897876325</c:v>
                </c:pt>
                <c:pt idx="26">
                  <c:v>17.079806581332601</c:v>
                </c:pt>
                <c:pt idx="27">
                  <c:v>17.00116331770981</c:v>
                </c:pt>
                <c:pt idx="28">
                  <c:v>16.923734490367806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EEA-9478-657CF50B4B9E}"/>
            </c:ext>
          </c:extLst>
        </c:ser>
        <c:ser>
          <c:idx val="2"/>
          <c:order val="2"/>
          <c:tx>
            <c:v>w/c=0.6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Sheet2!$F$19:$F$47</c:f>
              <c:numCache>
                <c:formatCode>General</c:formatCode>
                <c:ptCount val="29"/>
                <c:pt idx="0">
                  <c:v>18.779073917289988</c:v>
                </c:pt>
                <c:pt idx="1">
                  <c:v>18.749853758872135</c:v>
                </c:pt>
                <c:pt idx="2">
                  <c:v>18.721753858595225</c:v>
                </c:pt>
                <c:pt idx="3">
                  <c:v>18.694605146260834</c:v>
                </c:pt>
                <c:pt idx="4">
                  <c:v>18.668279166964417</c:v>
                </c:pt>
                <c:pt idx="5">
                  <c:v>18.64267537817344</c:v>
                </c:pt>
                <c:pt idx="6">
                  <c:v>18.61771318269453</c:v>
                </c:pt>
                <c:pt idx="7">
                  <c:v>18.593326692610969</c:v>
                </c:pt>
                <c:pt idx="8">
                  <c:v>18.569461154431252</c:v>
                </c:pt>
                <c:pt idx="9">
                  <c:v>18.546070429901292</c:v>
                </c:pt>
                <c:pt idx="10">
                  <c:v>18.523115172618628</c:v>
                </c:pt>
                <c:pt idx="11">
                  <c:v>18.311751343116111</c:v>
                </c:pt>
                <c:pt idx="12">
                  <c:v>18.12294633102152</c:v>
                </c:pt>
                <c:pt idx="13">
                  <c:v>17.948789312363825</c:v>
                </c:pt>
                <c:pt idx="14">
                  <c:v>17.78526651765327</c:v>
                </c:pt>
                <c:pt idx="15">
                  <c:v>17.629981552099743</c:v>
                </c:pt>
                <c:pt idx="16">
                  <c:v>17.481356671375657</c:v>
                </c:pt>
                <c:pt idx="17">
                  <c:v>17.338282318159212</c:v>
                </c:pt>
                <c:pt idx="18">
                  <c:v>17.199940089916961</c:v>
                </c:pt>
                <c:pt idx="19">
                  <c:v>17.065704112224715</c:v>
                </c:pt>
                <c:pt idx="20">
                  <c:v>16.935081957789926</c:v>
                </c:pt>
                <c:pt idx="21">
                  <c:v>16.807677211609395</c:v>
                </c:pt>
                <c:pt idx="22">
                  <c:v>16.683164664508222</c:v>
                </c:pt>
                <c:pt idx="23">
                  <c:v>16.561273261248306</c:v>
                </c:pt>
                <c:pt idx="24">
                  <c:v>16.441774015251784</c:v>
                </c:pt>
                <c:pt idx="25">
                  <c:v>16.324471218591043</c:v>
                </c:pt>
                <c:pt idx="26">
                  <c:v>16.209195904973662</c:v>
                </c:pt>
                <c:pt idx="27">
                  <c:v>16.095800893484402</c:v>
                </c:pt>
                <c:pt idx="28">
                  <c:v>15.984156966699267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E-4EEA-9478-657CF50B4B9E}"/>
            </c:ext>
          </c:extLst>
        </c:ser>
        <c:ser>
          <c:idx val="3"/>
          <c:order val="3"/>
          <c:tx>
            <c:v>w/c=0.7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Sheet2!$G$19:$G$47</c:f>
              <c:numCache>
                <c:formatCode>General</c:formatCode>
                <c:ptCount val="29"/>
                <c:pt idx="0">
                  <c:v>18.615739482404216</c:v>
                </c:pt>
                <c:pt idx="1">
                  <c:v>18.568903234702105</c:v>
                </c:pt>
                <c:pt idx="2">
                  <c:v>18.523862620241587</c:v>
                </c:pt>
                <c:pt idx="3">
                  <c:v>18.480346640707751</c:v>
                </c:pt>
                <c:pt idx="4">
                  <c:v>18.438149399005798</c:v>
                </c:pt>
                <c:pt idx="5">
                  <c:v>18.397109738071105</c:v>
                </c:pt>
                <c:pt idx="6">
                  <c:v>18.357098470715201</c:v>
                </c:pt>
                <c:pt idx="7">
                  <c:v>18.318009986874507</c:v>
                </c:pt>
                <c:pt idx="8">
                  <c:v>18.279756523572054</c:v>
                </c:pt>
                <c:pt idx="9">
                  <c:v>18.242264126975474</c:v>
                </c:pt>
                <c:pt idx="10">
                  <c:v>18.205469729738411</c:v>
                </c:pt>
                <c:pt idx="11">
                  <c:v>17.8666800307819</c:v>
                </c:pt>
                <c:pt idx="12">
                  <c:v>17.564049285684415</c:v>
                </c:pt>
                <c:pt idx="13">
                  <c:v>17.284897436188324</c:v>
                </c:pt>
                <c:pt idx="14">
                  <c:v>17.022790913407633</c:v>
                </c:pt>
                <c:pt idx="15">
                  <c:v>16.773888597168494</c:v>
                </c:pt>
                <c:pt idx="16">
                  <c:v>16.535661561272743</c:v>
                </c:pt>
                <c:pt idx="17">
                  <c:v>16.306331324549248</c:v>
                </c:pt>
                <c:pt idx="18">
                  <c:v>16.084586090421542</c:v>
                </c:pt>
                <c:pt idx="19">
                  <c:v>15.869422660715863</c:v>
                </c:pt>
                <c:pt idx="20">
                  <c:v>15.660051736266912</c:v>
                </c:pt>
                <c:pt idx="21">
                  <c:v>15.455837913562593</c:v>
                </c:pt>
                <c:pt idx="22">
                  <c:v>15.256259923099417</c:v>
                </c:pt>
                <c:pt idx="23">
                  <c:v>15.060883297339897</c:v>
                </c:pt>
                <c:pt idx="24">
                  <c:v>14.869340999530566</c:v>
                </c:pt>
                <c:pt idx="25">
                  <c:v>14.681319334418863</c:v>
                </c:pt>
                <c:pt idx="26">
                  <c:v>14.496547470238177</c:v>
                </c:pt>
                <c:pt idx="27">
                  <c:v>14.3147894944481</c:v>
                </c:pt>
                <c:pt idx="28">
                  <c:v>14.135838287730834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4EEA-9478-657CF50B4B9E}"/>
            </c:ext>
          </c:extLst>
        </c:ser>
        <c:ser>
          <c:idx val="4"/>
          <c:order val="4"/>
          <c:tx>
            <c:v>w/c=0.8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Sheet2!$H$19:$H$47</c:f>
              <c:numCache>
                <c:formatCode>General</c:formatCode>
                <c:ptCount val="29"/>
                <c:pt idx="0">
                  <c:v>18.205615970584759</c:v>
                </c:pt>
                <c:pt idx="1">
                  <c:v>18.11454672077971</c:v>
                </c:pt>
                <c:pt idx="2">
                  <c:v>18.026968932828677</c:v>
                </c:pt>
                <c:pt idx="3">
                  <c:v>17.942355672691281</c:v>
                </c:pt>
                <c:pt idx="4">
                  <c:v>17.860306590320707</c:v>
                </c:pt>
                <c:pt idx="5">
                  <c:v>17.780508328996554</c:v>
                </c:pt>
                <c:pt idx="6">
                  <c:v>17.702709694805645</c:v>
                </c:pt>
                <c:pt idx="7">
                  <c:v>17.626705337624227</c:v>
                </c:pt>
                <c:pt idx="8">
                  <c:v>17.552324609527549</c:v>
                </c:pt>
                <c:pt idx="9">
                  <c:v>17.479423713342182</c:v>
                </c:pt>
                <c:pt idx="10">
                  <c:v>17.4078800197756</c:v>
                </c:pt>
                <c:pt idx="11">
                  <c:v>16.749131182296548</c:v>
                </c:pt>
                <c:pt idx="12">
                  <c:v>16.160690470750644</c:v>
                </c:pt>
                <c:pt idx="13">
                  <c:v>15.617902549801242</c:v>
                </c:pt>
                <c:pt idx="14">
                  <c:v>15.108257871378999</c:v>
                </c:pt>
                <c:pt idx="15">
                  <c:v>14.624287691726565</c:v>
                </c:pt>
                <c:pt idx="16">
                  <c:v>14.161074720860668</c:v>
                </c:pt>
                <c:pt idx="17">
                  <c:v>13.715160847724311</c:v>
                </c:pt>
                <c:pt idx="18">
                  <c:v>13.283995391253629</c:v>
                </c:pt>
                <c:pt idx="19">
                  <c:v>12.865627714718052</c:v>
                </c:pt>
                <c:pt idx="20">
                  <c:v>12.458523090499927</c:v>
                </c:pt>
                <c:pt idx="21">
                  <c:v>12.0614460284819</c:v>
                </c:pt>
                <c:pt idx="22">
                  <c:v>11.67338296278373</c:v>
                </c:pt>
                <c:pt idx="23">
                  <c:v>11.29348910684277</c:v>
                </c:pt>
                <c:pt idx="24">
                  <c:v>10.921050787736258</c:v>
                </c:pt>
                <c:pt idx="25">
                  <c:v>10.555458050723582</c:v>
                </c:pt>
                <c:pt idx="26">
                  <c:v>10.196184285603914</c:v>
                </c:pt>
                <c:pt idx="27">
                  <c:v>9.8427707797533994</c:v>
                </c:pt>
                <c:pt idx="28">
                  <c:v>9.4948148066126556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E-4EEA-9478-657CF50B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</c:valAx>
      <c:valAx>
        <c:axId val="4800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34325891225618"/>
          <c:y val="0.68659363231769954"/>
          <c:w val="0.84786579288348451"/>
          <c:h val="8.15223097112861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Corrosion Level as a Function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w/c=0.4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Sheet2!$L$19:$L$47</c:f>
              <c:numCache>
                <c:formatCode>0%</c:formatCode>
                <c:ptCount val="29"/>
                <c:pt idx="0">
                  <c:v>1.4574880450935334E-2</c:v>
                </c:pt>
                <c:pt idx="1">
                  <c:v>1.6140431151612161E-2</c:v>
                </c:pt>
                <c:pt idx="2">
                  <c:v>1.7644786998184253E-2</c:v>
                </c:pt>
                <c:pt idx="3">
                  <c:v>1.9097126856823483E-2</c:v>
                </c:pt>
                <c:pt idx="4">
                  <c:v>2.0504427982677882E-2</c:v>
                </c:pt>
                <c:pt idx="5">
                  <c:v>2.1872154094359612E-2</c:v>
                </c:pt>
                <c:pt idx="6">
                  <c:v>2.3204687033726728E-2</c:v>
                </c:pt>
                <c:pt idx="7">
                  <c:v>2.4505610531048681E-2</c:v>
                </c:pt>
                <c:pt idx="8">
                  <c:v>2.5777903989146728E-2</c:v>
                </c:pt>
                <c:pt idx="9">
                  <c:v>2.7024079074958466E-2</c:v>
                </c:pt>
                <c:pt idx="10">
                  <c:v>2.8246278607277589E-2</c:v>
                </c:pt>
                <c:pt idx="11">
                  <c:v>3.9463759570898087E-2</c:v>
                </c:pt>
                <c:pt idx="12">
                  <c:v>4.9428934629283702E-2</c:v>
                </c:pt>
                <c:pt idx="13">
                  <c:v>5.8574913428099312E-2</c:v>
                </c:pt>
                <c:pt idx="14">
                  <c:v>6.7122183246127468E-2</c:v>
                </c:pt>
                <c:pt idx="15">
                  <c:v>7.5202783225072886E-2</c:v>
                </c:pt>
                <c:pt idx="16">
                  <c:v>8.2903890272238295E-2</c:v>
                </c:pt>
                <c:pt idx="17">
                  <c:v>9.0286974872096568E-2</c:v>
                </c:pt>
                <c:pt idx="18">
                  <c:v>9.7397492053147225E-2</c:v>
                </c:pt>
                <c:pt idx="19">
                  <c:v>0.10427028804964936</c:v>
                </c:pt>
                <c:pt idx="20">
                  <c:v>0.1109328435023971</c:v>
                </c:pt>
                <c:pt idx="21">
                  <c:v>0.11740733110308527</c:v>
                </c:pt>
                <c:pt idx="22">
                  <c:v>0.12371198083042456</c:v>
                </c:pt>
                <c:pt idx="23">
                  <c:v>0.12986201955968252</c:v>
                </c:pt>
                <c:pt idx="24">
                  <c:v>0.13587033779068008</c:v>
                </c:pt>
                <c:pt idx="25">
                  <c:v>0.14174797514383752</c:v>
                </c:pt>
                <c:pt idx="26">
                  <c:v>0.14750448182693834</c:v>
                </c:pt>
                <c:pt idx="27">
                  <c:v>0.15314819299763835</c:v>
                </c:pt>
                <c:pt idx="28">
                  <c:v>0.15868644056099687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6-4C78-A9C6-4DD5C169E8DC}"/>
            </c:ext>
          </c:extLst>
        </c:ser>
        <c:ser>
          <c:idx val="1"/>
          <c:order val="1"/>
          <c:tx>
            <c:v>w/c=0.5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Sheet2!$M$19:$M$47</c:f>
              <c:numCache>
                <c:formatCode>0%</c:formatCode>
                <c:ptCount val="29"/>
                <c:pt idx="0">
                  <c:v>1.9629368092648692E-2</c:v>
                </c:pt>
                <c:pt idx="1">
                  <c:v>2.17348278477454E-2</c:v>
                </c:pt>
                <c:pt idx="2">
                  <c:v>2.3757432557854105E-2</c:v>
                </c:pt>
                <c:pt idx="3">
                  <c:v>2.5709583646361615E-2</c:v>
                </c:pt>
                <c:pt idx="4">
                  <c:v>2.7600709565382867E-2</c:v>
                </c:pt>
                <c:pt idx="5">
                  <c:v>2.9438194708404072E-2</c:v>
                </c:pt>
                <c:pt idx="6">
                  <c:v>3.1227962211252999E-2</c:v>
                </c:pt>
                <c:pt idx="7">
                  <c:v>3.297485710812554E-2</c:v>
                </c:pt>
                <c:pt idx="8">
                  <c:v>3.468290801220697E-2</c:v>
                </c:pt>
                <c:pt idx="9">
                  <c:v>3.6355511580229649E-2</c:v>
                </c:pt>
                <c:pt idx="10">
                  <c:v>3.7995566069381592E-2</c:v>
                </c:pt>
                <c:pt idx="11">
                  <c:v>5.3030961150237782E-2</c:v>
                </c:pt>
                <c:pt idx="12">
                  <c:v>6.6361492943614209E-2</c:v>
                </c:pt>
                <c:pt idx="13">
                  <c:v>7.8574025381779322E-2</c:v>
                </c:pt>
                <c:pt idx="14">
                  <c:v>8.9967660719077136E-2</c:v>
                </c:pt>
                <c:pt idx="15">
                  <c:v>0.10072170095526568</c:v>
                </c:pt>
                <c:pt idx="16">
                  <c:v>0.11095464028280172</c:v>
                </c:pt>
                <c:pt idx="17">
                  <c:v>0.12075010652995077</c:v>
                </c:pt>
                <c:pt idx="18">
                  <c:v>0.1301699917945614</c:v>
                </c:pt>
                <c:pt idx="19">
                  <c:v>0.13926178169675663</c:v>
                </c:pt>
                <c:pt idx="20">
                  <c:v>0.14806295389406762</c:v>
                </c:pt>
                <c:pt idx="21">
                  <c:v>0.15660376995697972</c:v>
                </c:pt>
                <c:pt idx="22">
                  <c:v>0.16490912855930168</c:v>
                </c:pt>
                <c:pt idx="23">
                  <c:v>0.17299984144742922</c:v>
                </c:pt>
                <c:pt idx="24">
                  <c:v>0.18089353920789597</c:v>
                </c:pt>
                <c:pt idx="25">
                  <c:v>0.18860533108567237</c:v>
                </c:pt>
                <c:pt idx="26">
                  <c:v>0.19614829642746326</c:v>
                </c:pt>
                <c:pt idx="27">
                  <c:v>0.20353385783938743</c:v>
                </c:pt>
                <c:pt idx="28">
                  <c:v>0.21077206935619106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6-4C78-A9C6-4DD5C169E8DC}"/>
            </c:ext>
          </c:extLst>
        </c:ser>
        <c:ser>
          <c:idx val="2"/>
          <c:order val="2"/>
          <c:tx>
            <c:v>w/c=0.6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Sheet2!$N$19:$N$47</c:f>
              <c:numCache>
                <c:formatCode>0%</c:formatCode>
                <c:ptCount val="29"/>
                <c:pt idx="0">
                  <c:v>2.8241422445309212E-2</c:v>
                </c:pt>
                <c:pt idx="1">
                  <c:v>3.1263174050629033E-2</c:v>
                </c:pt>
                <c:pt idx="2">
                  <c:v>3.4164637769579211E-2</c:v>
                </c:pt>
                <c:pt idx="3">
                  <c:v>3.6963753144158146E-2</c:v>
                </c:pt>
                <c:pt idx="4">
                  <c:v>3.9674163017015131E-2</c:v>
                </c:pt>
                <c:pt idx="5">
                  <c:v>4.2306555463370171E-2</c:v>
                </c:pt>
                <c:pt idx="6">
                  <c:v>4.4869505850530865E-2</c:v>
                </c:pt>
                <c:pt idx="7">
                  <c:v>4.737003052291E-2</c:v>
                </c:pt>
                <c:pt idx="8">
                  <c:v>4.9813965001808271E-2</c:v>
                </c:pt>
                <c:pt idx="9">
                  <c:v>5.220623062431605E-2</c:v>
                </c:pt>
                <c:pt idx="10">
                  <c:v>5.4551027622861473E-2</c:v>
                </c:pt>
                <c:pt idx="11">
                  <c:v>7.6004609358946942E-2</c:v>
                </c:pt>
                <c:pt idx="12">
                  <c:v>9.4960261455662318E-2</c:v>
                </c:pt>
                <c:pt idx="13">
                  <c:v>0.11227109821611617</c:v>
                </c:pt>
                <c:pt idx="14">
                  <c:v>0.12837275823683084</c:v>
                </c:pt>
                <c:pt idx="15">
                  <c:v>0.1435268439115816</c:v>
                </c:pt>
                <c:pt idx="16">
                  <c:v>0.15790651463726421</c:v>
                </c:pt>
                <c:pt idx="17">
                  <c:v>0.17163416139543694</c:v>
                </c:pt>
                <c:pt idx="18">
                  <c:v>0.18480049297887813</c:v>
                </c:pt>
                <c:pt idx="19">
                  <c:v>0.19747519830807569</c:v>
                </c:pt>
                <c:pt idx="20">
                  <c:v>0.20971335023301868</c:v>
                </c:pt>
                <c:pt idx="21">
                  <c:v>0.22155947327545608</c:v>
                </c:pt>
                <c:pt idx="22">
                  <c:v>0.23305024566351612</c:v>
                </c:pt>
                <c:pt idx="23">
                  <c:v>0.24421636105086583</c:v>
                </c:pt>
                <c:pt idx="24">
                  <c:v>0.25508385098309083</c:v>
                </c:pt>
                <c:pt idx="25">
                  <c:v>0.26567504889989074</c:v>
                </c:pt>
                <c:pt idx="26">
                  <c:v>0.27600930859992712</c:v>
                </c:pt>
                <c:pt idx="27">
                  <c:v>0.28610355011967881</c:v>
                </c:pt>
                <c:pt idx="28">
                  <c:v>0.29597268154371831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6-4C78-A9C6-4DD5C169E8DC}"/>
            </c:ext>
          </c:extLst>
        </c:ser>
        <c:ser>
          <c:idx val="3"/>
          <c:order val="3"/>
          <c:tx>
            <c:v>w/c=0.7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Sheet2!$O$19:$O$47</c:f>
              <c:numCache>
                <c:formatCode>0%</c:formatCode>
                <c:ptCount val="29"/>
                <c:pt idx="0">
                  <c:v>4.5072005630318823E-2</c:v>
                </c:pt>
                <c:pt idx="1">
                  <c:v>4.9871060850420243E-2</c:v>
                </c:pt>
                <c:pt idx="2">
                  <c:v>5.4474724275573927E-2</c:v>
                </c:pt>
                <c:pt idx="3">
                  <c:v>5.8911933754332541E-2</c:v>
                </c:pt>
                <c:pt idx="4">
                  <c:v>6.3204708537257501E-2</c:v>
                </c:pt>
                <c:pt idx="5">
                  <c:v>6.7370308238078574E-2</c:v>
                </c:pt>
                <c:pt idx="6">
                  <c:v>7.1422587985658759E-2</c:v>
                </c:pt>
                <c:pt idx="7">
                  <c:v>7.537288974522284E-2</c:v>
                </c:pt>
                <c:pt idx="8">
                  <c:v>7.9230651315228912E-2</c:v>
                </c:pt>
                <c:pt idx="9">
                  <c:v>8.3003835800700268E-2</c:v>
                </c:pt>
                <c:pt idx="10">
                  <c:v>8.6699242687990022E-2</c:v>
                </c:pt>
                <c:pt idx="11">
                  <c:v>0.12037460386097963</c:v>
                </c:pt>
                <c:pt idx="12">
                  <c:v>0.14992090903217448</c:v>
                </c:pt>
                <c:pt idx="13">
                  <c:v>0.1767274147200702</c:v>
                </c:pt>
                <c:pt idx="14">
                  <c:v>0.20150616079637515</c:v>
                </c:pt>
                <c:pt idx="15">
                  <c:v>0.22468613836989479</c:v>
                </c:pt>
                <c:pt idx="16">
                  <c:v>0.24655216409654668</c:v>
                </c:pt>
                <c:pt idx="17">
                  <c:v>0.26730611867932558</c:v>
                </c:pt>
                <c:pt idx="18">
                  <c:v>0.28709802302221055</c:v>
                </c:pt>
                <c:pt idx="19">
                  <c:v>0.30604342603194479</c:v>
                </c:pt>
                <c:pt idx="20">
                  <c:v>0.32423386341357158</c:v>
                </c:pt>
                <c:pt idx="21">
                  <c:v>0.34174351069414249</c:v>
                </c:pt>
                <c:pt idx="22">
                  <c:v>0.35863360863821703</c:v>
                </c:pt>
                <c:pt idx="23">
                  <c:v>0.37495551643735736</c:v>
                </c:pt>
                <c:pt idx="24">
                  <c:v>0.39075288332177188</c:v>
                </c:pt>
                <c:pt idx="25">
                  <c:v>0.40606323351539009</c:v>
                </c:pt>
                <c:pt idx="26">
                  <c:v>0.42091914892603682</c:v>
                </c:pt>
                <c:pt idx="27">
                  <c:v>0.43534916879778535</c:v>
                </c:pt>
                <c:pt idx="28">
                  <c:v>0.44937848569002126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6-4C78-A9C6-4DD5C169E8DC}"/>
            </c:ext>
          </c:extLst>
        </c:ser>
        <c:ser>
          <c:idx val="4"/>
          <c:order val="4"/>
          <c:tx>
            <c:v>w/c=0.8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Sheet2!$P$19:$P$47</c:f>
              <c:numCache>
                <c:formatCode>0%</c:formatCode>
                <c:ptCount val="29"/>
                <c:pt idx="0">
                  <c:v>8.668456990951863E-2</c:v>
                </c:pt>
                <c:pt idx="1">
                  <c:v>9.5799001386568106E-2</c:v>
                </c:pt>
                <c:pt idx="2">
                  <c:v>0.10452088672530398</c:v>
                </c:pt>
                <c:pt idx="3">
                  <c:v>0.11290738673512284</c:v>
                </c:pt>
                <c:pt idx="4">
                  <c:v>0.12100205564785775</c:v>
                </c:pt>
                <c:pt idx="5">
                  <c:v>0.1288390781614458</c:v>
                </c:pt>
                <c:pt idx="6">
                  <c:v>0.13644593096336963</c:v>
                </c:pt>
                <c:pt idx="7">
                  <c:v>0.14384513454872738</c:v>
                </c:pt>
                <c:pt idx="8">
                  <c:v>0.15105545098690024</c:v>
                </c:pt>
                <c:pt idx="9">
                  <c:v>0.15809272917505646</c:v>
                </c:pt>
                <c:pt idx="10">
                  <c:v>0.16497051747259225</c:v>
                </c:pt>
                <c:pt idx="11">
                  <c:v>0.22697309783818356</c:v>
                </c:pt>
                <c:pt idx="12">
                  <c:v>0.2803358574509387</c:v>
                </c:pt>
                <c:pt idx="13">
                  <c:v>0.32786663069257388</c:v>
                </c:pt>
                <c:pt idx="14">
                  <c:v>0.37101713019864685</c:v>
                </c:pt>
                <c:pt idx="15">
                  <c:v>0.41066873198618048</c:v>
                </c:pt>
                <c:pt idx="16">
                  <c:v>0.44741070328862687</c:v>
                </c:pt>
                <c:pt idx="17">
                  <c:v>0.48166343004264256</c:v>
                </c:pt>
                <c:pt idx="18">
                  <c:v>0.51374120168682302</c:v>
                </c:pt>
                <c:pt idx="19">
                  <c:v>0.54388747254780201</c:v>
                </c:pt>
                <c:pt idx="20">
                  <c:v>0.57229614677077212</c:v>
                </c:pt>
                <c:pt idx="21">
                  <c:v>0.59912516365144419</c:v>
                </c:pt>
                <c:pt idx="22">
                  <c:v>0.62450556335156282</c:v>
                </c:pt>
                <c:pt idx="23">
                  <c:v>0.64854776088239585</c:v>
                </c:pt>
                <c:pt idx="24">
                  <c:v>0.67134602184246517</c:v>
                </c:pt>
                <c:pt idx="25">
                  <c:v>0.69298173845430855</c:v>
                </c:pt>
                <c:pt idx="26">
                  <c:v>0.71352588095701674</c:v>
                </c:pt>
                <c:pt idx="27">
                  <c:v>0.73304086738788687</c:v>
                </c:pt>
                <c:pt idx="28">
                  <c:v>0.75158201386909451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6-4C78-A9C6-4DD5C169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</c:valAx>
      <c:valAx>
        <c:axId val="4800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Corrosion</a:t>
                </a:r>
                <a:r>
                  <a:rPr lang="en-US" baseline="0"/>
                  <a:t> Level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730318257956449"/>
          <c:y val="0.15975234602523997"/>
          <c:w val="0.12591865715278053"/>
          <c:h val="0.30822133534678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47625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85725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561975</xdr:colOff>
      <xdr:row>10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13</xdr:row>
      <xdr:rowOff>188595</xdr:rowOff>
    </xdr:from>
    <xdr:to>
      <xdr:col>7</xdr:col>
      <xdr:colOff>152400</xdr:colOff>
      <xdr:row>15</xdr:row>
      <xdr:rowOff>177165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1AE99-2CF2-499E-925E-A85203F4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2665095"/>
          <a:ext cx="142875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topLeftCell="A4" workbookViewId="0">
      <selection activeCell="D5" sqref="D5"/>
    </sheetView>
  </sheetViews>
  <sheetFormatPr defaultRowHeight="15" x14ac:dyDescent="0.25"/>
  <sheetData>
    <row r="3" spans="1:5" x14ac:dyDescent="0.25">
      <c r="D3">
        <v>50</v>
      </c>
      <c r="E3">
        <v>75</v>
      </c>
    </row>
    <row r="4" spans="1:5" x14ac:dyDescent="0.25">
      <c r="A4" t="s">
        <v>0</v>
      </c>
      <c r="C4" t="s">
        <v>1</v>
      </c>
      <c r="D4" t="s">
        <v>2</v>
      </c>
      <c r="E4" t="s">
        <v>2</v>
      </c>
    </row>
    <row r="5" spans="1:5" x14ac:dyDescent="0.25">
      <c r="C5">
        <v>0</v>
      </c>
      <c r="D5">
        <f t="shared" ref="D5:D9" si="0">37.5*((1-C5)^(-1.64))/$D$3</f>
        <v>0.75</v>
      </c>
      <c r="E5">
        <f>37.5*((1-C5)^(-1.64))/$E$3</f>
        <v>0.5</v>
      </c>
    </row>
    <row r="6" spans="1:5" x14ac:dyDescent="0.25">
      <c r="C6">
        <v>0.1</v>
      </c>
      <c r="D6">
        <f t="shared" si="0"/>
        <v>0.89146346253744624</v>
      </c>
      <c r="E6">
        <f t="shared" ref="E6:E15" si="1">37.5*((1-C6)^(-1.64))/$E$3</f>
        <v>0.59430897502496416</v>
      </c>
    </row>
    <row r="7" spans="1:5" x14ac:dyDescent="0.25">
      <c r="C7">
        <v>0.2</v>
      </c>
      <c r="D7">
        <f t="shared" si="0"/>
        <v>1.0814182257855947</v>
      </c>
      <c r="E7">
        <f t="shared" si="1"/>
        <v>0.72094548385706314</v>
      </c>
    </row>
    <row r="8" spans="1:5" x14ac:dyDescent="0.25">
      <c r="C8">
        <v>0.3</v>
      </c>
      <c r="D8">
        <f t="shared" si="0"/>
        <v>1.3461717664613286</v>
      </c>
      <c r="E8">
        <f t="shared" si="1"/>
        <v>0.89744784430755242</v>
      </c>
    </row>
    <row r="9" spans="1:5" x14ac:dyDescent="0.25">
      <c r="C9">
        <v>0.4</v>
      </c>
      <c r="D9">
        <f t="shared" si="0"/>
        <v>1.733377730817552</v>
      </c>
      <c r="E9">
        <f t="shared" si="1"/>
        <v>1.1555851538783679</v>
      </c>
    </row>
    <row r="10" spans="1:5" x14ac:dyDescent="0.25">
      <c r="C10">
        <v>0.5</v>
      </c>
      <c r="D10">
        <f>37.5*((1-C10)^(-1.64))/$D$3</f>
        <v>2.3374937389814994</v>
      </c>
      <c r="E10">
        <f t="shared" si="1"/>
        <v>1.5583291593209996</v>
      </c>
    </row>
    <row r="11" spans="1:5" x14ac:dyDescent="0.25">
      <c r="C11">
        <v>0.6</v>
      </c>
      <c r="D11">
        <f t="shared" ref="D11:D15" si="2">37.5*((1-C11)^(-1.64))/$D$3</f>
        <v>3.3704111093257461</v>
      </c>
      <c r="E11">
        <f t="shared" si="1"/>
        <v>2.2469407395504972</v>
      </c>
    </row>
    <row r="12" spans="1:5" x14ac:dyDescent="0.25">
      <c r="C12">
        <v>0.7</v>
      </c>
      <c r="D12">
        <f t="shared" si="2"/>
        <v>5.4023461241013138</v>
      </c>
      <c r="E12">
        <f t="shared" si="1"/>
        <v>3.601564082734209</v>
      </c>
    </row>
    <row r="13" spans="1:5" x14ac:dyDescent="0.25">
      <c r="C13">
        <v>0.8</v>
      </c>
      <c r="D13">
        <f t="shared" si="2"/>
        <v>10.504419821123495</v>
      </c>
      <c r="E13">
        <f t="shared" si="1"/>
        <v>7.0029465474156636</v>
      </c>
    </row>
    <row r="14" spans="1:5" x14ac:dyDescent="0.25">
      <c r="C14">
        <v>0.9</v>
      </c>
      <c r="D14">
        <f t="shared" si="2"/>
        <v>32.738687418012461</v>
      </c>
      <c r="E14">
        <f t="shared" si="1"/>
        <v>21.825791612008306</v>
      </c>
    </row>
    <row r="15" spans="1:5" x14ac:dyDescent="0.25">
      <c r="C15">
        <v>0.91</v>
      </c>
      <c r="D15">
        <f t="shared" si="2"/>
        <v>38.913791526123362</v>
      </c>
      <c r="E15">
        <f t="shared" si="1"/>
        <v>25.94252768408224</v>
      </c>
    </row>
    <row r="17" spans="3:12" x14ac:dyDescent="0.25">
      <c r="D17" t="s">
        <v>1</v>
      </c>
    </row>
    <row r="18" spans="3:12" x14ac:dyDescent="0.25">
      <c r="C18" t="s">
        <v>0</v>
      </c>
      <c r="D18">
        <v>0.1</v>
      </c>
      <c r="E18">
        <v>0.2</v>
      </c>
      <c r="F18">
        <v>0.3</v>
      </c>
      <c r="G18">
        <v>0.4</v>
      </c>
      <c r="H18">
        <v>0.5</v>
      </c>
      <c r="I18">
        <v>0.6</v>
      </c>
      <c r="J18">
        <v>0.7</v>
      </c>
      <c r="K18">
        <v>0.8</v>
      </c>
      <c r="L18">
        <v>0.9</v>
      </c>
    </row>
    <row r="19" spans="3:12" x14ac:dyDescent="0.25">
      <c r="C19">
        <v>10</v>
      </c>
      <c r="D19">
        <f>37.5*((1-D$18)^(-1.64))/$C19</f>
        <v>4.4573173126872314</v>
      </c>
      <c r="E19">
        <f t="shared" ref="E19:L19" si="3">37.5*((1-E$18)^(-1.64))/$C19</f>
        <v>5.4070911289279735</v>
      </c>
      <c r="F19">
        <f t="shared" si="3"/>
        <v>6.7308588323066427</v>
      </c>
      <c r="G19">
        <f t="shared" si="3"/>
        <v>8.6668886540877601</v>
      </c>
      <c r="H19">
        <f t="shared" si="3"/>
        <v>11.687468694907498</v>
      </c>
      <c r="I19">
        <f t="shared" si="3"/>
        <v>16.85205554662873</v>
      </c>
      <c r="J19">
        <f t="shared" si="3"/>
        <v>27.011730620506569</v>
      </c>
      <c r="K19">
        <f t="shared" si="3"/>
        <v>52.522099105617471</v>
      </c>
      <c r="L19">
        <f t="shared" si="3"/>
        <v>163.6934370900623</v>
      </c>
    </row>
    <row r="20" spans="3:12" x14ac:dyDescent="0.25">
      <c r="C20">
        <v>20</v>
      </c>
      <c r="D20">
        <f t="shared" ref="D20:L28" si="4">37.5*((1-D$18)^(-1.64))/$C20</f>
        <v>2.2286586563436157</v>
      </c>
      <c r="E20">
        <f t="shared" si="4"/>
        <v>2.7035455644639868</v>
      </c>
      <c r="F20">
        <f t="shared" si="4"/>
        <v>3.3654294161533214</v>
      </c>
      <c r="G20">
        <f t="shared" si="4"/>
        <v>4.3334443270438801</v>
      </c>
      <c r="H20">
        <f t="shared" si="4"/>
        <v>5.8437343474537489</v>
      </c>
      <c r="I20">
        <f t="shared" si="4"/>
        <v>8.4260277733143649</v>
      </c>
      <c r="J20">
        <f t="shared" si="4"/>
        <v>13.505865310253284</v>
      </c>
      <c r="K20">
        <f t="shared" si="4"/>
        <v>26.261049552808736</v>
      </c>
      <c r="L20">
        <f t="shared" si="4"/>
        <v>81.846718545031152</v>
      </c>
    </row>
    <row r="21" spans="3:12" x14ac:dyDescent="0.25">
      <c r="C21">
        <v>30</v>
      </c>
      <c r="D21">
        <f t="shared" si="4"/>
        <v>1.4857724375624104</v>
      </c>
      <c r="E21">
        <f t="shared" si="4"/>
        <v>1.8023637096426579</v>
      </c>
      <c r="F21">
        <f t="shared" si="4"/>
        <v>2.2436196107688811</v>
      </c>
      <c r="G21">
        <f t="shared" si="4"/>
        <v>2.8889628846959199</v>
      </c>
      <c r="H21">
        <f t="shared" si="4"/>
        <v>3.8958228983024989</v>
      </c>
      <c r="I21">
        <f t="shared" si="4"/>
        <v>5.6173518488762433</v>
      </c>
      <c r="J21">
        <f t="shared" si="4"/>
        <v>9.0039102068355223</v>
      </c>
      <c r="K21">
        <f t="shared" si="4"/>
        <v>17.507366368539159</v>
      </c>
      <c r="L21">
        <f t="shared" si="4"/>
        <v>54.564479030020763</v>
      </c>
    </row>
    <row r="22" spans="3:12" x14ac:dyDescent="0.25">
      <c r="C22">
        <v>40</v>
      </c>
      <c r="D22">
        <f t="shared" si="4"/>
        <v>1.1143293281718079</v>
      </c>
      <c r="E22">
        <f t="shared" si="4"/>
        <v>1.3517727822319934</v>
      </c>
      <c r="F22">
        <f t="shared" si="4"/>
        <v>1.6827147080766607</v>
      </c>
      <c r="G22">
        <f t="shared" si="4"/>
        <v>2.16672216352194</v>
      </c>
      <c r="H22">
        <f t="shared" si="4"/>
        <v>2.9218671737268744</v>
      </c>
      <c r="I22">
        <f t="shared" si="4"/>
        <v>4.2130138866571825</v>
      </c>
      <c r="J22">
        <f t="shared" si="4"/>
        <v>6.7529326551266422</v>
      </c>
      <c r="K22">
        <f t="shared" si="4"/>
        <v>13.130524776404368</v>
      </c>
      <c r="L22">
        <f t="shared" si="4"/>
        <v>40.923359272515576</v>
      </c>
    </row>
    <row r="23" spans="3:12" x14ac:dyDescent="0.25">
      <c r="C23">
        <v>50</v>
      </c>
      <c r="D23">
        <f t="shared" si="4"/>
        <v>0.89146346253744624</v>
      </c>
      <c r="E23">
        <f t="shared" si="4"/>
        <v>1.0814182257855947</v>
      </c>
      <c r="F23">
        <f t="shared" si="4"/>
        <v>1.3461717664613286</v>
      </c>
      <c r="G23">
        <f t="shared" si="4"/>
        <v>1.733377730817552</v>
      </c>
      <c r="H23">
        <f t="shared" si="4"/>
        <v>2.3374937389814994</v>
      </c>
      <c r="I23">
        <f t="shared" si="4"/>
        <v>3.3704111093257461</v>
      </c>
      <c r="J23">
        <f t="shared" si="4"/>
        <v>5.4023461241013138</v>
      </c>
      <c r="K23">
        <f t="shared" si="4"/>
        <v>10.504419821123495</v>
      </c>
      <c r="L23">
        <f t="shared" si="4"/>
        <v>32.738687418012461</v>
      </c>
    </row>
    <row r="24" spans="3:12" x14ac:dyDescent="0.25">
      <c r="C24">
        <v>60</v>
      </c>
      <c r="D24">
        <f t="shared" si="4"/>
        <v>0.7428862187812052</v>
      </c>
      <c r="E24">
        <f t="shared" si="4"/>
        <v>0.90118185482132895</v>
      </c>
      <c r="F24">
        <f t="shared" si="4"/>
        <v>1.1218098053844405</v>
      </c>
      <c r="G24">
        <f t="shared" si="4"/>
        <v>1.4444814423479599</v>
      </c>
      <c r="H24">
        <f t="shared" si="4"/>
        <v>1.9479114491512495</v>
      </c>
      <c r="I24">
        <f t="shared" si="4"/>
        <v>2.8086759244381216</v>
      </c>
      <c r="J24">
        <f t="shared" si="4"/>
        <v>4.5019551034177612</v>
      </c>
      <c r="K24">
        <f t="shared" si="4"/>
        <v>8.7536831842695797</v>
      </c>
      <c r="L24">
        <f t="shared" si="4"/>
        <v>27.282239515010382</v>
      </c>
    </row>
    <row r="25" spans="3:12" x14ac:dyDescent="0.25">
      <c r="C25">
        <v>70</v>
      </c>
      <c r="D25">
        <f t="shared" si="4"/>
        <v>0.63675961609817588</v>
      </c>
      <c r="E25">
        <f t="shared" si="4"/>
        <v>0.7724415898468534</v>
      </c>
      <c r="F25">
        <f t="shared" si="4"/>
        <v>0.96155126175809191</v>
      </c>
      <c r="G25">
        <f t="shared" si="4"/>
        <v>1.2381269505839656</v>
      </c>
      <c r="H25">
        <f t="shared" si="4"/>
        <v>1.6696383849867853</v>
      </c>
      <c r="I25">
        <f t="shared" si="4"/>
        <v>2.4074365066612473</v>
      </c>
      <c r="J25">
        <f t="shared" si="4"/>
        <v>3.8588186600723668</v>
      </c>
      <c r="K25">
        <f t="shared" si="4"/>
        <v>7.5031570150882105</v>
      </c>
      <c r="L25">
        <f t="shared" si="4"/>
        <v>23.384776727151756</v>
      </c>
    </row>
    <row r="26" spans="3:12" x14ac:dyDescent="0.25">
      <c r="C26">
        <v>80</v>
      </c>
      <c r="D26">
        <f t="shared" si="4"/>
        <v>0.55716466408590393</v>
      </c>
      <c r="E26">
        <f t="shared" si="4"/>
        <v>0.67588639111599669</v>
      </c>
      <c r="F26">
        <f t="shared" si="4"/>
        <v>0.84135735403833034</v>
      </c>
      <c r="G26">
        <f t="shared" si="4"/>
        <v>1.08336108176097</v>
      </c>
      <c r="H26">
        <f t="shared" si="4"/>
        <v>1.4609335868634372</v>
      </c>
      <c r="I26">
        <f t="shared" si="4"/>
        <v>2.1065069433285912</v>
      </c>
      <c r="J26">
        <f t="shared" si="4"/>
        <v>3.3764663275633211</v>
      </c>
      <c r="K26">
        <f t="shared" si="4"/>
        <v>6.5652623882021839</v>
      </c>
      <c r="L26">
        <f t="shared" si="4"/>
        <v>20.461679636257788</v>
      </c>
    </row>
    <row r="27" spans="3:12" x14ac:dyDescent="0.25">
      <c r="C27">
        <v>90</v>
      </c>
      <c r="D27">
        <f t="shared" si="4"/>
        <v>0.49525747918747015</v>
      </c>
      <c r="E27">
        <f t="shared" si="4"/>
        <v>0.60078790321421927</v>
      </c>
      <c r="F27">
        <f t="shared" si="4"/>
        <v>0.74787320358962706</v>
      </c>
      <c r="G27">
        <f t="shared" si="4"/>
        <v>0.96298762823197326</v>
      </c>
      <c r="H27">
        <f t="shared" si="4"/>
        <v>1.2986076327674996</v>
      </c>
      <c r="I27">
        <f t="shared" si="4"/>
        <v>1.8724506162920811</v>
      </c>
      <c r="J27">
        <f t="shared" si="4"/>
        <v>3.0013034022785074</v>
      </c>
      <c r="K27">
        <f t="shared" si="4"/>
        <v>5.8357887895130522</v>
      </c>
      <c r="L27">
        <f t="shared" si="4"/>
        <v>18.188159676673589</v>
      </c>
    </row>
    <row r="28" spans="3:12" x14ac:dyDescent="0.25">
      <c r="C28">
        <v>100</v>
      </c>
      <c r="D28">
        <f t="shared" si="4"/>
        <v>0.44573173126872312</v>
      </c>
      <c r="E28">
        <f t="shared" si="4"/>
        <v>0.54070911289279733</v>
      </c>
      <c r="F28">
        <f t="shared" si="4"/>
        <v>0.67308588323066432</v>
      </c>
      <c r="G28">
        <f t="shared" si="4"/>
        <v>0.86668886540877599</v>
      </c>
      <c r="H28">
        <f t="shared" si="4"/>
        <v>1.1687468694907497</v>
      </c>
      <c r="I28">
        <f t="shared" si="4"/>
        <v>1.685205554662873</v>
      </c>
      <c r="J28">
        <f t="shared" si="4"/>
        <v>2.7011730620506569</v>
      </c>
      <c r="K28">
        <f t="shared" si="4"/>
        <v>5.2522099105617475</v>
      </c>
      <c r="L28">
        <f t="shared" si="4"/>
        <v>16.36934370900623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3" workbookViewId="0">
      <selection activeCell="B10" sqref="B10"/>
    </sheetView>
  </sheetViews>
  <sheetFormatPr defaultRowHeight="15" x14ac:dyDescent="0.25"/>
  <sheetData>
    <row r="1" spans="1:13" x14ac:dyDescent="0.25">
      <c r="A1" t="s">
        <v>10</v>
      </c>
    </row>
    <row r="2" spans="1:13" x14ac:dyDescent="0.25">
      <c r="A2" t="s">
        <v>11</v>
      </c>
    </row>
    <row r="3" spans="1:13" x14ac:dyDescent="0.25">
      <c r="A3" t="s">
        <v>12</v>
      </c>
    </row>
    <row r="4" spans="1:13" x14ac:dyDescent="0.25">
      <c r="A4" t="s">
        <v>13</v>
      </c>
    </row>
    <row r="14" spans="1:13" x14ac:dyDescent="0.25">
      <c r="B14" t="s">
        <v>3</v>
      </c>
      <c r="C14">
        <f>3/4*25.4</f>
        <v>19.049999999999997</v>
      </c>
      <c r="L14" t="s">
        <v>8</v>
      </c>
      <c r="M14">
        <f>+(0.25*PI()*C14^2)/(1000^2)*7800</f>
        <v>2.2231790645402709</v>
      </c>
    </row>
    <row r="15" spans="1:13" x14ac:dyDescent="0.25">
      <c r="B15" t="s">
        <v>0</v>
      </c>
      <c r="C15">
        <v>40</v>
      </c>
      <c r="L15" t="s">
        <v>9</v>
      </c>
      <c r="M15">
        <f>+M14</f>
        <v>2.2231790645402709</v>
      </c>
    </row>
    <row r="16" spans="1:13" x14ac:dyDescent="0.25">
      <c r="B16" t="s">
        <v>5</v>
      </c>
      <c r="C16">
        <v>1.778</v>
      </c>
    </row>
    <row r="17" spans="3:22" x14ac:dyDescent="0.25">
      <c r="D17">
        <v>0.4</v>
      </c>
      <c r="E17">
        <v>0.5</v>
      </c>
      <c r="F17">
        <v>0.6</v>
      </c>
      <c r="G17">
        <v>0.7</v>
      </c>
      <c r="H17">
        <v>0.8</v>
      </c>
      <c r="L17">
        <v>0.4</v>
      </c>
      <c r="M17">
        <v>0.5</v>
      </c>
      <c r="N17">
        <v>0.6</v>
      </c>
      <c r="O17">
        <v>0.7</v>
      </c>
      <c r="P17">
        <v>0.8</v>
      </c>
    </row>
    <row r="18" spans="3:22" x14ac:dyDescent="0.25">
      <c r="C18" t="s">
        <v>4</v>
      </c>
      <c r="D18" t="s">
        <v>6</v>
      </c>
      <c r="K18" t="s">
        <v>4</v>
      </c>
      <c r="L18" t="s">
        <v>7</v>
      </c>
    </row>
    <row r="19" spans="3:22" x14ac:dyDescent="0.25">
      <c r="C19">
        <v>5</v>
      </c>
      <c r="D19">
        <f>+$C$14-((1.0508*(1-D$17)^(-1.64))/($C$15))*($C19-$C$16)^0.71</f>
        <v>18.910664701357124</v>
      </c>
      <c r="E19">
        <f t="shared" ref="E19:H19" si="0">+$C$14-((1.0508*(1-E$17)^(-1.64))/($C$15))*($C19-$C$16)^0.71</f>
        <v>18.862103627266961</v>
      </c>
      <c r="F19">
        <f t="shared" si="0"/>
        <v>18.779073917289988</v>
      </c>
      <c r="G19">
        <f t="shared" si="0"/>
        <v>18.615739482404216</v>
      </c>
      <c r="H19">
        <f t="shared" si="0"/>
        <v>18.205615970584759</v>
      </c>
      <c r="J19">
        <f>+(C19-$C$16)^0.71</f>
        <v>2.2949283481510125</v>
      </c>
      <c r="K19">
        <v>5</v>
      </c>
      <c r="L19" s="1">
        <f>($M$14-((0.25*PI()*D19^2)/(1000^2)*7800))/$M$15</f>
        <v>1.4574880450935334E-2</v>
      </c>
      <c r="M19" s="1">
        <f t="shared" ref="M19:P34" si="1">($M$14-((0.25*PI()*E19^2)/(1000^2)*7800))/$M$15</f>
        <v>1.9629368092648692E-2</v>
      </c>
      <c r="N19" s="1">
        <f t="shared" si="1"/>
        <v>2.8241422445309212E-2</v>
      </c>
      <c r="O19" s="1">
        <f t="shared" si="1"/>
        <v>4.5072005630318823E-2</v>
      </c>
      <c r="P19" s="1">
        <f t="shared" si="1"/>
        <v>8.668456990951863E-2</v>
      </c>
      <c r="R19">
        <f>(0.25*PI()*D19^2)/(1000^2)</f>
        <v>2.8086878146840695E-4</v>
      </c>
      <c r="S19">
        <f>R19*7800</f>
        <v>2.1907764954535742</v>
      </c>
      <c r="T19">
        <f>M14-S19</f>
        <v>3.2402569086696698E-2</v>
      </c>
      <c r="U19">
        <f>T19/M15</f>
        <v>1.4574880450935334E-2</v>
      </c>
      <c r="V19">
        <f>U19*100</f>
        <v>1.4574880450935335</v>
      </c>
    </row>
    <row r="20" spans="3:22" x14ac:dyDescent="0.25">
      <c r="C20">
        <v>5.5</v>
      </c>
      <c r="D20">
        <f t="shared" ref="D20:H47" si="2">+$C$14-((1.0508*(1-D$17)^(-1.64))/($C$15))*($C20-$C$16)^0.71</f>
        <v>18.895636988045734</v>
      </c>
      <c r="E20">
        <f t="shared" si="2"/>
        <v>18.841838462235671</v>
      </c>
      <c r="F20">
        <f t="shared" si="2"/>
        <v>18.749853758872135</v>
      </c>
      <c r="G20">
        <f t="shared" si="2"/>
        <v>18.568903234702105</v>
      </c>
      <c r="H20">
        <f t="shared" si="2"/>
        <v>18.11454672077971</v>
      </c>
      <c r="J20">
        <f t="shared" ref="J20:J37" si="3">+(C20-$C$16)^0.71</f>
        <v>2.542442980997849</v>
      </c>
      <c r="K20">
        <v>5.5</v>
      </c>
      <c r="L20" s="1">
        <f t="shared" ref="L20:L47" si="4">($M$14-((0.25*PI()*D20^2)/(1000^2)*7800))/$M$15</f>
        <v>1.6140431151612161E-2</v>
      </c>
      <c r="M20" s="1">
        <f t="shared" si="1"/>
        <v>2.17348278477454E-2</v>
      </c>
      <c r="N20" s="1">
        <f t="shared" si="1"/>
        <v>3.1263174050629033E-2</v>
      </c>
      <c r="O20" s="1">
        <f t="shared" si="1"/>
        <v>4.9871060850420243E-2</v>
      </c>
      <c r="P20" s="1">
        <f t="shared" si="1"/>
        <v>9.5799001386568106E-2</v>
      </c>
      <c r="R20">
        <f t="shared" ref="R20:R42" si="5">(0.25*PI()*D20^2)/(1000^2)</f>
        <v>2.8042256357837863E-4</v>
      </c>
      <c r="S20">
        <f t="shared" ref="S20:S42" si="6">R20*7800</f>
        <v>2.1872959959113532</v>
      </c>
      <c r="T20">
        <f t="shared" ref="T20:T42" si="7">M15-S20</f>
        <v>3.5883068628917769E-2</v>
      </c>
      <c r="U20" t="e">
        <f t="shared" ref="U20:U42" si="8">T20/M16</f>
        <v>#DIV/0!</v>
      </c>
      <c r="V20" t="e">
        <f t="shared" ref="V20:V42" si="9">U20*100</f>
        <v>#DIV/0!</v>
      </c>
    </row>
    <row r="21" spans="3:22" x14ac:dyDescent="0.25">
      <c r="C21">
        <v>6</v>
      </c>
      <c r="D21">
        <f t="shared" si="2"/>
        <v>18.88118541528554</v>
      </c>
      <c r="E21">
        <f t="shared" si="2"/>
        <v>18.822350233995046</v>
      </c>
      <c r="F21">
        <f t="shared" si="2"/>
        <v>18.721753858595225</v>
      </c>
      <c r="G21">
        <f t="shared" si="2"/>
        <v>18.523862620241587</v>
      </c>
      <c r="H21">
        <f t="shared" si="2"/>
        <v>18.026968932828677</v>
      </c>
      <c r="J21">
        <f t="shared" si="3"/>
        <v>2.7804682647971837</v>
      </c>
      <c r="K21">
        <v>6</v>
      </c>
      <c r="L21" s="1">
        <f t="shared" si="4"/>
        <v>1.7644786998184253E-2</v>
      </c>
      <c r="M21" s="1">
        <f t="shared" si="1"/>
        <v>2.3757432557854105E-2</v>
      </c>
      <c r="N21" s="1">
        <f t="shared" si="1"/>
        <v>3.4164637769579211E-2</v>
      </c>
      <c r="O21" s="1">
        <f t="shared" si="1"/>
        <v>5.4474724275573927E-2</v>
      </c>
      <c r="P21" s="1">
        <f t="shared" si="1"/>
        <v>0.10452088672530398</v>
      </c>
      <c r="R21">
        <f t="shared" si="5"/>
        <v>2.7999378762661993E-4</v>
      </c>
      <c r="S21">
        <f t="shared" si="6"/>
        <v>2.1839515434876353</v>
      </c>
      <c r="T21">
        <f t="shared" si="7"/>
        <v>-2.1839515434876353</v>
      </c>
      <c r="U21">
        <f t="shared" si="8"/>
        <v>-4.3679030869752706</v>
      </c>
      <c r="V21">
        <f t="shared" si="9"/>
        <v>-436.79030869752705</v>
      </c>
    </row>
    <row r="22" spans="3:22" x14ac:dyDescent="0.25">
      <c r="C22">
        <v>6.5</v>
      </c>
      <c r="D22">
        <f t="shared" si="2"/>
        <v>18.867223031512655</v>
      </c>
      <c r="E22">
        <f t="shared" si="2"/>
        <v>18.803521686662215</v>
      </c>
      <c r="F22">
        <f t="shared" si="2"/>
        <v>18.694605146260834</v>
      </c>
      <c r="G22">
        <f t="shared" si="2"/>
        <v>18.480346640707751</v>
      </c>
      <c r="H22">
        <f t="shared" si="2"/>
        <v>17.942355672691281</v>
      </c>
      <c r="J22">
        <f t="shared" si="3"/>
        <v>3.0104363392209299</v>
      </c>
      <c r="K22">
        <v>6.5</v>
      </c>
      <c r="L22" s="1">
        <f t="shared" si="4"/>
        <v>1.9097126856823483E-2</v>
      </c>
      <c r="M22" s="1">
        <f t="shared" si="1"/>
        <v>2.5709583646361615E-2</v>
      </c>
      <c r="N22" s="1">
        <f t="shared" si="1"/>
        <v>3.6963753144158146E-2</v>
      </c>
      <c r="O22" s="1">
        <f t="shared" si="1"/>
        <v>5.8911933754332541E-2</v>
      </c>
      <c r="P22" s="1">
        <f t="shared" si="1"/>
        <v>0.11290738673512284</v>
      </c>
      <c r="R22">
        <f t="shared" si="5"/>
        <v>2.7957983742555274E-4</v>
      </c>
      <c r="S22">
        <f t="shared" si="6"/>
        <v>2.1807227319193112</v>
      </c>
      <c r="T22">
        <f t="shared" si="7"/>
        <v>-1.6807227319193112</v>
      </c>
      <c r="U22" t="e">
        <f t="shared" si="8"/>
        <v>#DIV/0!</v>
      </c>
      <c r="V22" t="e">
        <f t="shared" si="9"/>
        <v>#DIV/0!</v>
      </c>
    </row>
    <row r="23" spans="3:22" x14ac:dyDescent="0.25">
      <c r="C23">
        <v>7</v>
      </c>
      <c r="D23">
        <f t="shared" si="2"/>
        <v>18.85368377331115</v>
      </c>
      <c r="E23">
        <f t="shared" si="2"/>
        <v>18.785263732429964</v>
      </c>
      <c r="F23">
        <f t="shared" si="2"/>
        <v>18.668279166964417</v>
      </c>
      <c r="G23">
        <f t="shared" si="2"/>
        <v>18.438149399005798</v>
      </c>
      <c r="H23">
        <f t="shared" si="2"/>
        <v>17.860306590320707</v>
      </c>
      <c r="J23">
        <f t="shared" si="3"/>
        <v>3.2334353047537165</v>
      </c>
      <c r="K23">
        <v>7</v>
      </c>
      <c r="L23" s="1">
        <f t="shared" si="4"/>
        <v>2.0504427982677882E-2</v>
      </c>
      <c r="M23" s="1">
        <f t="shared" si="1"/>
        <v>2.7600709565382867E-2</v>
      </c>
      <c r="N23" s="1">
        <f t="shared" si="1"/>
        <v>3.9674163017015131E-2</v>
      </c>
      <c r="O23" s="1">
        <f t="shared" si="1"/>
        <v>6.3204708537257501E-2</v>
      </c>
      <c r="P23" s="1">
        <f t="shared" si="1"/>
        <v>0.12100205564785775</v>
      </c>
      <c r="R23">
        <f t="shared" si="5"/>
        <v>2.7917872429728306E-4</v>
      </c>
      <c r="S23">
        <f t="shared" si="6"/>
        <v>2.1775940495188078</v>
      </c>
      <c r="T23">
        <f t="shared" si="7"/>
        <v>-2.1775940495188078</v>
      </c>
      <c r="U23">
        <f t="shared" si="8"/>
        <v>-110.93551454335042</v>
      </c>
      <c r="V23">
        <f t="shared" si="9"/>
        <v>-11093.551454335042</v>
      </c>
    </row>
    <row r="24" spans="3:22" x14ac:dyDescent="0.25">
      <c r="C24">
        <v>7.5</v>
      </c>
      <c r="D24">
        <f t="shared" si="2"/>
        <v>18.840515932393455</v>
      </c>
      <c r="E24">
        <f t="shared" si="2"/>
        <v>18.767506641662159</v>
      </c>
      <c r="F24">
        <f t="shared" si="2"/>
        <v>18.64267537817344</v>
      </c>
      <c r="G24">
        <f t="shared" si="2"/>
        <v>18.397109738071105</v>
      </c>
      <c r="H24">
        <f t="shared" si="2"/>
        <v>17.780508328996554</v>
      </c>
      <c r="J24">
        <f t="shared" si="3"/>
        <v>3.4503168250884753</v>
      </c>
      <c r="K24">
        <v>7.5</v>
      </c>
      <c r="L24" s="1">
        <f t="shared" si="4"/>
        <v>2.1872154094359612E-2</v>
      </c>
      <c r="M24" s="1">
        <f t="shared" si="1"/>
        <v>2.9438194708404072E-2</v>
      </c>
      <c r="N24" s="1">
        <f t="shared" si="1"/>
        <v>4.2306555463370171E-2</v>
      </c>
      <c r="O24" s="1">
        <f t="shared" si="1"/>
        <v>6.7370308238078574E-2</v>
      </c>
      <c r="P24" s="1">
        <f t="shared" si="1"/>
        <v>0.1288390781614458</v>
      </c>
      <c r="R24">
        <f t="shared" si="5"/>
        <v>2.7878889095657585E-4</v>
      </c>
      <c r="S24">
        <f>R24*7800</f>
        <v>2.1745533494612919</v>
      </c>
      <c r="T24">
        <f t="shared" si="7"/>
        <v>-2.1549239813686434</v>
      </c>
      <c r="U24">
        <f t="shared" si="8"/>
        <v>-99.14612604544638</v>
      </c>
      <c r="V24">
        <f t="shared" si="9"/>
        <v>-9914.6126045446381</v>
      </c>
    </row>
    <row r="25" spans="3:22" x14ac:dyDescent="0.25">
      <c r="C25">
        <v>8</v>
      </c>
      <c r="D25">
        <f t="shared" si="2"/>
        <v>18.827678058213735</v>
      </c>
      <c r="E25">
        <f t="shared" si="2"/>
        <v>18.750194517487831</v>
      </c>
      <c r="F25">
        <f t="shared" si="2"/>
        <v>18.61771318269453</v>
      </c>
      <c r="G25">
        <f t="shared" si="2"/>
        <v>18.357098470715201</v>
      </c>
      <c r="H25">
        <f t="shared" si="2"/>
        <v>17.702709694805645</v>
      </c>
      <c r="J25">
        <f t="shared" si="3"/>
        <v>3.6617636133179912</v>
      </c>
      <c r="K25">
        <v>8</v>
      </c>
      <c r="L25" s="1">
        <f t="shared" si="4"/>
        <v>2.3204687033726728E-2</v>
      </c>
      <c r="M25" s="1">
        <f t="shared" si="1"/>
        <v>3.1227962211252999E-2</v>
      </c>
      <c r="N25" s="1">
        <f t="shared" si="1"/>
        <v>4.4869505850530865E-2</v>
      </c>
      <c r="O25" s="1">
        <f t="shared" si="1"/>
        <v>7.1422587985658759E-2</v>
      </c>
      <c r="P25" s="1">
        <f t="shared" si="1"/>
        <v>0.13644593096336963</v>
      </c>
      <c r="R25">
        <f t="shared" si="5"/>
        <v>2.7840908847790775E-4</v>
      </c>
      <c r="S25">
        <f t="shared" si="6"/>
        <v>2.1715908901276806</v>
      </c>
      <c r="T25">
        <f t="shared" si="7"/>
        <v>-2.1498560622799352</v>
      </c>
      <c r="U25">
        <f t="shared" si="8"/>
        <v>-90.491935820278783</v>
      </c>
      <c r="V25">
        <f t="shared" si="9"/>
        <v>-9049.1935820278777</v>
      </c>
    </row>
    <row r="26" spans="3:22" x14ac:dyDescent="0.25">
      <c r="C26">
        <v>8.5</v>
      </c>
      <c r="D26">
        <f t="shared" si="2"/>
        <v>18.81513626509933</v>
      </c>
      <c r="E26">
        <f t="shared" si="2"/>
        <v>18.733281664415298</v>
      </c>
      <c r="F26">
        <f t="shared" si="2"/>
        <v>18.593326692610969</v>
      </c>
      <c r="G26">
        <f t="shared" si="2"/>
        <v>18.318009986874507</v>
      </c>
      <c r="H26">
        <f t="shared" si="2"/>
        <v>17.626705337624227</v>
      </c>
      <c r="J26">
        <f t="shared" si="3"/>
        <v>3.8683337849488133</v>
      </c>
      <c r="K26">
        <v>8.5</v>
      </c>
      <c r="L26" s="1">
        <f t="shared" si="4"/>
        <v>2.4505610531048681E-2</v>
      </c>
      <c r="M26" s="1">
        <f t="shared" si="1"/>
        <v>3.297485710812554E-2</v>
      </c>
      <c r="N26" s="1">
        <f t="shared" si="1"/>
        <v>4.737003052291E-2</v>
      </c>
      <c r="O26" s="1">
        <f t="shared" si="1"/>
        <v>7.537288974522284E-2</v>
      </c>
      <c r="P26" s="1">
        <f t="shared" si="1"/>
        <v>0.14384513454872738</v>
      </c>
      <c r="R26">
        <f>(0.25*PI()*D26^2)/(1000^2)</f>
        <v>2.7803829541588022E-4</v>
      </c>
      <c r="S26">
        <f t="shared" si="6"/>
        <v>2.1686987042438659</v>
      </c>
      <c r="T26">
        <f t="shared" si="7"/>
        <v>-2.1449412716860117</v>
      </c>
      <c r="U26">
        <f t="shared" si="8"/>
        <v>-83.429638581080667</v>
      </c>
      <c r="V26">
        <f t="shared" si="9"/>
        <v>-8342.9638581080671</v>
      </c>
    </row>
    <row r="27" spans="3:22" x14ac:dyDescent="0.25">
      <c r="C27">
        <v>9</v>
      </c>
      <c r="D27">
        <f t="shared" si="2"/>
        <v>18.802862393730869</v>
      </c>
      <c r="E27">
        <f t="shared" si="2"/>
        <v>18.716730109052168</v>
      </c>
      <c r="F27">
        <f t="shared" si="2"/>
        <v>18.569461154431252</v>
      </c>
      <c r="G27">
        <f t="shared" si="2"/>
        <v>18.279756523572054</v>
      </c>
      <c r="H27">
        <f t="shared" si="2"/>
        <v>17.552324609527549</v>
      </c>
      <c r="J27">
        <f t="shared" si="3"/>
        <v>4.0704911393262888</v>
      </c>
      <c r="K27">
        <v>9</v>
      </c>
      <c r="L27" s="1">
        <f t="shared" si="4"/>
        <v>2.5777903989146728E-2</v>
      </c>
      <c r="M27" s="1">
        <f t="shared" si="1"/>
        <v>3.468290801220697E-2</v>
      </c>
      <c r="N27" s="1">
        <f t="shared" si="1"/>
        <v>4.9813965001808271E-2</v>
      </c>
      <c r="O27" s="1">
        <f t="shared" si="1"/>
        <v>7.9230651315228912E-2</v>
      </c>
      <c r="P27" s="1">
        <f t="shared" si="1"/>
        <v>0.15105545098690024</v>
      </c>
      <c r="R27">
        <f t="shared" si="5"/>
        <v>2.776756625722911E-4</v>
      </c>
      <c r="S27">
        <f t="shared" si="6"/>
        <v>2.1658701680638708</v>
      </c>
      <c r="T27">
        <f t="shared" si="7"/>
        <v>-2.1401605844175093</v>
      </c>
      <c r="U27">
        <f t="shared" si="8"/>
        <v>-77.540056691213607</v>
      </c>
      <c r="V27">
        <f t="shared" si="9"/>
        <v>-7754.0056691213604</v>
      </c>
    </row>
    <row r="28" spans="3:22" x14ac:dyDescent="0.25">
      <c r="C28">
        <v>9.5</v>
      </c>
      <c r="D28">
        <f t="shared" si="2"/>
        <v>18.790832715542432</v>
      </c>
      <c r="E28">
        <f t="shared" si="2"/>
        <v>18.700507852963664</v>
      </c>
      <c r="F28">
        <f t="shared" si="2"/>
        <v>18.546070429901292</v>
      </c>
      <c r="G28">
        <f t="shared" si="2"/>
        <v>18.242264126975474</v>
      </c>
      <c r="H28">
        <f t="shared" si="2"/>
        <v>17.479423713342182</v>
      </c>
      <c r="J28">
        <f t="shared" si="3"/>
        <v>4.2686264988702982</v>
      </c>
      <c r="K28">
        <v>9.5</v>
      </c>
      <c r="L28" s="1">
        <f t="shared" si="4"/>
        <v>2.7024079074958466E-2</v>
      </c>
      <c r="M28" s="1">
        <f t="shared" si="1"/>
        <v>3.6355511580229649E-2</v>
      </c>
      <c r="N28" s="1">
        <f t="shared" si="1"/>
        <v>5.220623062431605E-2</v>
      </c>
      <c r="O28" s="1">
        <f t="shared" si="1"/>
        <v>8.3003835800700268E-2</v>
      </c>
      <c r="P28" s="1">
        <f t="shared" si="1"/>
        <v>0.15809272917505646</v>
      </c>
      <c r="R28">
        <f t="shared" si="5"/>
        <v>2.7732047406440287E-4</v>
      </c>
      <c r="S28">
        <f t="shared" si="6"/>
        <v>2.1630996977023424</v>
      </c>
      <c r="T28">
        <f t="shared" si="7"/>
        <v>-2.1354989881369595</v>
      </c>
      <c r="U28">
        <f t="shared" si="8"/>
        <v>-72.541778097802748</v>
      </c>
      <c r="V28">
        <f t="shared" si="9"/>
        <v>-7254.1778097802744</v>
      </c>
    </row>
    <row r="29" spans="3:22" x14ac:dyDescent="0.25">
      <c r="C29">
        <v>10</v>
      </c>
      <c r="D29">
        <f t="shared" si="2"/>
        <v>18.779026994967616</v>
      </c>
      <c r="E29">
        <f t="shared" si="2"/>
        <v>18.6845876080931</v>
      </c>
      <c r="F29">
        <f t="shared" si="2"/>
        <v>18.523115172618628</v>
      </c>
      <c r="G29">
        <f t="shared" si="2"/>
        <v>18.205469729738411</v>
      </c>
      <c r="H29">
        <f t="shared" si="2"/>
        <v>17.4078800197756</v>
      </c>
      <c r="J29">
        <f t="shared" si="3"/>
        <v>4.4630731543939488</v>
      </c>
      <c r="K29">
        <v>10</v>
      </c>
      <c r="L29" s="1">
        <f t="shared" si="4"/>
        <v>2.8246278607277589E-2</v>
      </c>
      <c r="M29" s="1">
        <f t="shared" si="1"/>
        <v>3.7995566069381592E-2</v>
      </c>
      <c r="N29" s="1">
        <f t="shared" si="1"/>
        <v>5.4551027622861473E-2</v>
      </c>
      <c r="O29" s="1">
        <f t="shared" si="1"/>
        <v>8.6699242687990022E-2</v>
      </c>
      <c r="P29" s="1">
        <f t="shared" si="1"/>
        <v>0.16497051747259225</v>
      </c>
      <c r="R29">
        <f t="shared" si="5"/>
        <v>2.7697211913966661E-4</v>
      </c>
      <c r="S29">
        <f t="shared" si="6"/>
        <v>2.1603825292893997</v>
      </c>
      <c r="T29">
        <f t="shared" si="7"/>
        <v>-2.1309443345809957</v>
      </c>
      <c r="U29">
        <f t="shared" si="8"/>
        <v>-68.238341015191494</v>
      </c>
      <c r="V29">
        <f t="shared" si="9"/>
        <v>-6823.834101519149</v>
      </c>
    </row>
    <row r="30" spans="3:22" x14ac:dyDescent="0.25">
      <c r="C30">
        <v>15</v>
      </c>
      <c r="D30">
        <f t="shared" si="2"/>
        <v>18.670324126600537</v>
      </c>
      <c r="E30">
        <f t="shared" si="2"/>
        <v>18.537999666122982</v>
      </c>
      <c r="F30">
        <f t="shared" si="2"/>
        <v>18.311751343116111</v>
      </c>
      <c r="G30">
        <f t="shared" si="2"/>
        <v>17.8666800307819</v>
      </c>
      <c r="H30">
        <f t="shared" si="2"/>
        <v>16.749131182296548</v>
      </c>
      <c r="J30">
        <f t="shared" si="3"/>
        <v>6.2534686720462167</v>
      </c>
      <c r="K30">
        <v>15</v>
      </c>
      <c r="L30" s="1">
        <f t="shared" si="4"/>
        <v>3.9463759570898087E-2</v>
      </c>
      <c r="M30" s="1">
        <f t="shared" si="1"/>
        <v>5.3030961150237782E-2</v>
      </c>
      <c r="N30" s="1">
        <f t="shared" si="1"/>
        <v>7.6004609358946942E-2</v>
      </c>
      <c r="O30" s="1">
        <f t="shared" si="1"/>
        <v>0.12037460386097963</v>
      </c>
      <c r="P30" s="1">
        <f t="shared" si="1"/>
        <v>0.22697309783818356</v>
      </c>
      <c r="R30">
        <f t="shared" si="5"/>
        <v>2.737748795454102E-4</v>
      </c>
      <c r="S30">
        <f t="shared" si="6"/>
        <v>2.1354440604541995</v>
      </c>
      <c r="T30">
        <f t="shared" si="7"/>
        <v>-2.1042160982429468</v>
      </c>
      <c r="U30">
        <f t="shared" si="8"/>
        <v>-63.812743489476219</v>
      </c>
      <c r="V30">
        <f t="shared" si="9"/>
        <v>-6381.2743489476215</v>
      </c>
    </row>
    <row r="31" spans="3:22" x14ac:dyDescent="0.25">
      <c r="C31">
        <v>20</v>
      </c>
      <c r="D31">
        <f t="shared" si="2"/>
        <v>18.57322309268632</v>
      </c>
      <c r="E31">
        <f t="shared" si="2"/>
        <v>18.407057024604178</v>
      </c>
      <c r="F31">
        <f t="shared" si="2"/>
        <v>18.12294633102152</v>
      </c>
      <c r="G31">
        <f t="shared" si="2"/>
        <v>17.564049285684415</v>
      </c>
      <c r="H31">
        <f t="shared" si="2"/>
        <v>16.160690470750644</v>
      </c>
      <c r="J31">
        <f t="shared" si="3"/>
        <v>7.8527756497824681</v>
      </c>
      <c r="K31">
        <v>20</v>
      </c>
      <c r="L31" s="1">
        <f t="shared" si="4"/>
        <v>4.9428934629283702E-2</v>
      </c>
      <c r="M31" s="1">
        <f t="shared" si="1"/>
        <v>6.6361492943614209E-2</v>
      </c>
      <c r="N31" s="1">
        <f t="shared" si="1"/>
        <v>9.4960261455662318E-2</v>
      </c>
      <c r="O31" s="1">
        <f t="shared" si="1"/>
        <v>0.14992090903217448</v>
      </c>
      <c r="P31" s="1">
        <f t="shared" si="1"/>
        <v>0.2803358574509387</v>
      </c>
      <c r="R31">
        <f t="shared" si="5"/>
        <v>2.7093457588332282E-4</v>
      </c>
      <c r="S31">
        <f t="shared" si="6"/>
        <v>2.1132896918899178</v>
      </c>
      <c r="T31">
        <f t="shared" si="7"/>
        <v>-2.0803148347817921</v>
      </c>
      <c r="U31">
        <f t="shared" si="8"/>
        <v>-59.980980661990806</v>
      </c>
      <c r="V31">
        <f t="shared" si="9"/>
        <v>-5998.0980661990807</v>
      </c>
    </row>
    <row r="32" spans="3:22" x14ac:dyDescent="0.25">
      <c r="C32">
        <v>25</v>
      </c>
      <c r="D32">
        <f t="shared" si="2"/>
        <v>18.483655414437351</v>
      </c>
      <c r="E32">
        <f t="shared" si="2"/>
        <v>18.28627326039641</v>
      </c>
      <c r="F32">
        <f t="shared" si="2"/>
        <v>17.948789312363825</v>
      </c>
      <c r="G32">
        <f t="shared" si="2"/>
        <v>17.284897436188324</v>
      </c>
      <c r="H32">
        <f t="shared" si="2"/>
        <v>15.617902549801242</v>
      </c>
      <c r="J32">
        <f t="shared" si="3"/>
        <v>9.3280041517750867</v>
      </c>
      <c r="K32">
        <v>25</v>
      </c>
      <c r="L32" s="1">
        <f t="shared" si="4"/>
        <v>5.8574913428099312E-2</v>
      </c>
      <c r="M32" s="1">
        <f t="shared" si="1"/>
        <v>7.8574025381779322E-2</v>
      </c>
      <c r="N32" s="1">
        <f t="shared" si="1"/>
        <v>0.11227109821611617</v>
      </c>
      <c r="O32" s="1">
        <f t="shared" si="1"/>
        <v>0.1767274147200702</v>
      </c>
      <c r="P32" s="1">
        <f t="shared" si="1"/>
        <v>0.32786663069257388</v>
      </c>
      <c r="R32">
        <f t="shared" si="5"/>
        <v>2.683277619614951E-4</v>
      </c>
      <c r="S32">
        <f t="shared" si="6"/>
        <v>2.0929565432996617</v>
      </c>
      <c r="T32">
        <f t="shared" si="7"/>
        <v>-2.0582736352874549</v>
      </c>
      <c r="U32">
        <f t="shared" si="8"/>
        <v>-56.615174586258796</v>
      </c>
      <c r="V32">
        <f t="shared" si="9"/>
        <v>-5661.51745862588</v>
      </c>
    </row>
    <row r="33" spans="3:22" x14ac:dyDescent="0.25">
      <c r="C33">
        <v>30</v>
      </c>
      <c r="D33">
        <f t="shared" si="2"/>
        <v>18.399556839623127</v>
      </c>
      <c r="E33">
        <f t="shared" si="2"/>
        <v>18.172864689032796</v>
      </c>
      <c r="F33">
        <f t="shared" si="2"/>
        <v>17.78526651765327</v>
      </c>
      <c r="G33">
        <f t="shared" si="2"/>
        <v>17.022790913407633</v>
      </c>
      <c r="H33">
        <f t="shared" si="2"/>
        <v>15.108257871378999</v>
      </c>
      <c r="J33">
        <f t="shared" si="3"/>
        <v>10.713153537896817</v>
      </c>
      <c r="K33">
        <v>30</v>
      </c>
      <c r="L33" s="1">
        <f t="shared" si="4"/>
        <v>6.7122183246127468E-2</v>
      </c>
      <c r="M33" s="1">
        <f t="shared" si="1"/>
        <v>8.9967660719077136E-2</v>
      </c>
      <c r="N33" s="1">
        <f t="shared" si="1"/>
        <v>0.12837275823683084</v>
      </c>
      <c r="O33" s="1">
        <f t="shared" si="1"/>
        <v>0.20150616079637515</v>
      </c>
      <c r="P33" s="1">
        <f t="shared" si="1"/>
        <v>0.37101713019864685</v>
      </c>
      <c r="R33">
        <f t="shared" si="5"/>
        <v>2.6589159384374933E-4</v>
      </c>
      <c r="S33">
        <f t="shared" si="6"/>
        <v>2.0739544319812446</v>
      </c>
      <c r="T33">
        <f t="shared" si="7"/>
        <v>-2.037598920401015</v>
      </c>
      <c r="U33">
        <f t="shared" si="8"/>
        <v>-53.627281580178824</v>
      </c>
      <c r="V33">
        <f t="shared" si="9"/>
        <v>-5362.7281580178824</v>
      </c>
    </row>
    <row r="34" spans="3:22" x14ac:dyDescent="0.25">
      <c r="C34">
        <v>35</v>
      </c>
      <c r="D34">
        <f t="shared" si="2"/>
        <v>18.319694919966953</v>
      </c>
      <c r="E34">
        <f t="shared" si="2"/>
        <v>18.065169329931056</v>
      </c>
      <c r="F34">
        <f t="shared" si="2"/>
        <v>17.629981552099743</v>
      </c>
      <c r="G34">
        <f t="shared" si="2"/>
        <v>16.773888597168494</v>
      </c>
      <c r="H34">
        <f t="shared" si="2"/>
        <v>14.624287691726565</v>
      </c>
      <c r="J34">
        <f t="shared" si="3"/>
        <v>12.02852290331848</v>
      </c>
      <c r="K34">
        <v>35</v>
      </c>
      <c r="L34" s="1">
        <f t="shared" si="4"/>
        <v>7.5202783225072886E-2</v>
      </c>
      <c r="M34" s="1">
        <f t="shared" si="1"/>
        <v>0.10072170095526568</v>
      </c>
      <c r="N34" s="1">
        <f t="shared" si="1"/>
        <v>0.1435268439115816</v>
      </c>
      <c r="O34" s="1">
        <f t="shared" si="1"/>
        <v>0.22468613836989479</v>
      </c>
      <c r="P34" s="1">
        <f t="shared" si="1"/>
        <v>0.41066873198618048</v>
      </c>
      <c r="R34">
        <f t="shared" si="5"/>
        <v>2.6358843734347804E-4</v>
      </c>
      <c r="S34">
        <f t="shared" si="6"/>
        <v>2.0559898112791286</v>
      </c>
      <c r="T34">
        <f t="shared" si="7"/>
        <v>-2.017994245209747</v>
      </c>
      <c r="U34">
        <f t="shared" si="8"/>
        <v>-38.053133517469703</v>
      </c>
      <c r="V34">
        <f t="shared" si="9"/>
        <v>-3805.3133517469705</v>
      </c>
    </row>
    <row r="35" spans="3:22" x14ac:dyDescent="0.25">
      <c r="C35">
        <v>40</v>
      </c>
      <c r="D35">
        <f t="shared" si="2"/>
        <v>18.243258233124887</v>
      </c>
      <c r="E35">
        <f t="shared" si="2"/>
        <v>17.962092964205773</v>
      </c>
      <c r="F35">
        <f t="shared" si="2"/>
        <v>17.481356671375657</v>
      </c>
      <c r="G35">
        <f t="shared" si="2"/>
        <v>16.535661561272743</v>
      </c>
      <c r="H35">
        <f t="shared" si="2"/>
        <v>14.161074720860668</v>
      </c>
      <c r="J35">
        <f t="shared" si="3"/>
        <v>13.287476816513141</v>
      </c>
      <c r="K35">
        <v>40</v>
      </c>
      <c r="L35" s="1">
        <f t="shared" si="4"/>
        <v>8.2903890272238295E-2</v>
      </c>
      <c r="M35" s="1">
        <f t="shared" ref="M35:M47" si="10">($M$14-((0.25*PI()*E35^2)/(1000^2)*7800))/$M$15</f>
        <v>0.11095464028280172</v>
      </c>
      <c r="N35" s="1">
        <f t="shared" ref="N35:N47" si="11">($M$14-((0.25*PI()*F35^2)/(1000^2)*7800))/$M$15</f>
        <v>0.15790651463726421</v>
      </c>
      <c r="O35" s="1">
        <f t="shared" ref="O35:O47" si="12">($M$14-((0.25*PI()*G35^2)/(1000^2)*7800))/$M$15</f>
        <v>0.24655216409654668</v>
      </c>
      <c r="P35" s="1">
        <f t="shared" ref="P35:P47" si="13">($M$14-((0.25*PI()*H35^2)/(1000^2)*7800))/$M$15</f>
        <v>0.44741070328862687</v>
      </c>
      <c r="R35">
        <f t="shared" si="5"/>
        <v>2.6139344504078039E-4</v>
      </c>
      <c r="S35">
        <f t="shared" si="6"/>
        <v>2.0388688713180869</v>
      </c>
      <c r="T35">
        <f t="shared" si="7"/>
        <v>-1.9858379101678492</v>
      </c>
      <c r="U35">
        <f t="shared" si="8"/>
        <v>-29.924551454186975</v>
      </c>
      <c r="V35">
        <f t="shared" si="9"/>
        <v>-2992.4551454186976</v>
      </c>
    </row>
    <row r="36" spans="3:22" x14ac:dyDescent="0.25">
      <c r="C36">
        <v>45</v>
      </c>
      <c r="D36">
        <f t="shared" si="2"/>
        <v>18.169676141898595</v>
      </c>
      <c r="E36">
        <f t="shared" si="2"/>
        <v>17.862866076445137</v>
      </c>
      <c r="F36">
        <f t="shared" si="2"/>
        <v>17.338282318159212</v>
      </c>
      <c r="G36">
        <f t="shared" si="2"/>
        <v>16.306331324549248</v>
      </c>
      <c r="H36">
        <f t="shared" si="2"/>
        <v>13.715160847724311</v>
      </c>
      <c r="J36">
        <f t="shared" si="3"/>
        <v>14.499413983305763</v>
      </c>
      <c r="K36">
        <v>45</v>
      </c>
      <c r="L36" s="1">
        <f t="shared" si="4"/>
        <v>9.0286974872096568E-2</v>
      </c>
      <c r="M36" s="1">
        <f t="shared" si="10"/>
        <v>0.12075010652995077</v>
      </c>
      <c r="N36" s="1">
        <f t="shared" si="11"/>
        <v>0.17163416139543694</v>
      </c>
      <c r="O36" s="1">
        <f t="shared" si="12"/>
        <v>0.26730611867932558</v>
      </c>
      <c r="P36" s="1">
        <f t="shared" si="13"/>
        <v>0.48166343004264256</v>
      </c>
      <c r="R36">
        <f t="shared" si="5"/>
        <v>2.5928909643640417E-4</v>
      </c>
      <c r="S36">
        <f t="shared" si="6"/>
        <v>2.0224549522039523</v>
      </c>
      <c r="T36">
        <f t="shared" si="7"/>
        <v>-1.9560934592603381</v>
      </c>
      <c r="U36">
        <f t="shared" si="8"/>
        <v>-24.894912151388137</v>
      </c>
      <c r="V36">
        <f t="shared" si="9"/>
        <v>-2489.4912151388139</v>
      </c>
    </row>
    <row r="37" spans="3:22" x14ac:dyDescent="0.25">
      <c r="C37">
        <v>50</v>
      </c>
      <c r="D37">
        <f t="shared" si="2"/>
        <v>18.098527747863432</v>
      </c>
      <c r="E37">
        <f t="shared" si="2"/>
        <v>17.766921076899457</v>
      </c>
      <c r="F37">
        <f t="shared" si="2"/>
        <v>17.199940089916961</v>
      </c>
      <c r="G37">
        <f t="shared" si="2"/>
        <v>16.084586090421542</v>
      </c>
      <c r="H37">
        <f t="shared" si="2"/>
        <v>13.283995391253629</v>
      </c>
      <c r="J37">
        <f t="shared" si="3"/>
        <v>15.671266830266042</v>
      </c>
      <c r="K37">
        <v>50</v>
      </c>
      <c r="L37" s="1">
        <f t="shared" si="4"/>
        <v>9.7397492053147225E-2</v>
      </c>
      <c r="M37" s="1">
        <f t="shared" si="10"/>
        <v>0.1301699917945614</v>
      </c>
      <c r="N37" s="1">
        <f t="shared" si="11"/>
        <v>0.18480049297887813</v>
      </c>
      <c r="O37" s="1">
        <f t="shared" si="12"/>
        <v>0.28709802302221055</v>
      </c>
      <c r="P37" s="1">
        <f t="shared" si="13"/>
        <v>0.51374120168682302</v>
      </c>
      <c r="R37">
        <f t="shared" si="5"/>
        <v>2.5726243580371621E-4</v>
      </c>
      <c r="S37">
        <f t="shared" si="6"/>
        <v>2.0066469992689866</v>
      </c>
      <c r="T37">
        <f t="shared" si="7"/>
        <v>-1.9280729738872073</v>
      </c>
      <c r="U37">
        <f t="shared" si="8"/>
        <v>-21.430733648922921</v>
      </c>
      <c r="V37">
        <f t="shared" si="9"/>
        <v>-2143.0733648922919</v>
      </c>
    </row>
    <row r="38" spans="3:22" x14ac:dyDescent="0.25">
      <c r="C38">
        <v>55</v>
      </c>
      <c r="D38">
        <f t="shared" si="2"/>
        <v>18.029491168390251</v>
      </c>
      <c r="E38">
        <f t="shared" si="2"/>
        <v>17.67382390055397</v>
      </c>
      <c r="F38">
        <f t="shared" si="2"/>
        <v>17.065704112224715</v>
      </c>
      <c r="G38">
        <f t="shared" si="2"/>
        <v>15.869422660715863</v>
      </c>
      <c r="H38">
        <f t="shared" si="2"/>
        <v>12.865627714718052</v>
      </c>
      <c r="K38">
        <v>55</v>
      </c>
      <c r="L38" s="1">
        <f t="shared" si="4"/>
        <v>0.10427028804964936</v>
      </c>
      <c r="M38" s="1">
        <f t="shared" si="10"/>
        <v>0.13926178169675663</v>
      </c>
      <c r="N38" s="1">
        <f t="shared" si="11"/>
        <v>0.19747519830807569</v>
      </c>
      <c r="O38" s="1">
        <f t="shared" si="12"/>
        <v>0.30604342603194479</v>
      </c>
      <c r="P38" s="1">
        <f t="shared" si="13"/>
        <v>0.54388747254780201</v>
      </c>
      <c r="R38">
        <f t="shared" si="5"/>
        <v>2.5530353116598806E-4</v>
      </c>
      <c r="S38">
        <f t="shared" si="6"/>
        <v>1.9913675430947069</v>
      </c>
      <c r="T38">
        <f t="shared" si="7"/>
        <v>-1.9013998823756297</v>
      </c>
      <c r="U38">
        <f t="shared" si="8"/>
        <v>-18.877757864912482</v>
      </c>
      <c r="V38">
        <f t="shared" si="9"/>
        <v>-1887.7757864912483</v>
      </c>
    </row>
    <row r="39" spans="3:22" x14ac:dyDescent="0.25">
      <c r="C39">
        <v>60</v>
      </c>
      <c r="D39">
        <f t="shared" si="2"/>
        <v>17.962313151731635</v>
      </c>
      <c r="E39">
        <f t="shared" si="2"/>
        <v>17.583233032478926</v>
      </c>
      <c r="F39">
        <f t="shared" si="2"/>
        <v>16.935081957789926</v>
      </c>
      <c r="G39">
        <f t="shared" si="2"/>
        <v>15.660051736266912</v>
      </c>
      <c r="H39">
        <f t="shared" si="2"/>
        <v>12.458523090499927</v>
      </c>
      <c r="K39">
        <v>60</v>
      </c>
      <c r="L39" s="1">
        <f t="shared" si="4"/>
        <v>0.1109328435023971</v>
      </c>
      <c r="M39" s="1">
        <f t="shared" si="10"/>
        <v>0.14806295389406762</v>
      </c>
      <c r="N39" s="1">
        <f t="shared" si="11"/>
        <v>0.20971335023301868</v>
      </c>
      <c r="O39" s="1">
        <f t="shared" si="12"/>
        <v>0.32423386341357158</v>
      </c>
      <c r="P39" s="1">
        <f t="shared" si="13"/>
        <v>0.57229614677077212</v>
      </c>
      <c r="R39">
        <f t="shared" si="5"/>
        <v>2.5340454990972045E-4</v>
      </c>
      <c r="S39">
        <f t="shared" si="6"/>
        <v>1.9765554892958195</v>
      </c>
      <c r="T39">
        <f t="shared" si="7"/>
        <v>-1.8758337883405538</v>
      </c>
      <c r="U39">
        <f t="shared" si="8"/>
        <v>-16.906312197123253</v>
      </c>
      <c r="V39">
        <f t="shared" si="9"/>
        <v>-1690.6312197123252</v>
      </c>
    </row>
    <row r="40" spans="3:22" x14ac:dyDescent="0.25">
      <c r="C40">
        <v>65</v>
      </c>
      <c r="D40">
        <f t="shared" si="2"/>
        <v>17.896789824556876</v>
      </c>
      <c r="E40">
        <f t="shared" si="2"/>
        <v>17.494873545504326</v>
      </c>
      <c r="F40">
        <f t="shared" si="2"/>
        <v>16.807677211609395</v>
      </c>
      <c r="G40">
        <f t="shared" si="2"/>
        <v>15.455837913562593</v>
      </c>
      <c r="H40">
        <f t="shared" si="2"/>
        <v>12.0614460284819</v>
      </c>
      <c r="K40">
        <v>65</v>
      </c>
      <c r="L40" s="1">
        <f t="shared" si="4"/>
        <v>0.11740733110308527</v>
      </c>
      <c r="M40" s="1">
        <f t="shared" si="10"/>
        <v>0.15660376995697972</v>
      </c>
      <c r="N40" s="1">
        <f t="shared" si="11"/>
        <v>0.22155947327545608</v>
      </c>
      <c r="O40" s="1">
        <f t="shared" si="12"/>
        <v>0.34174351069414249</v>
      </c>
      <c r="P40" s="1">
        <f t="shared" si="13"/>
        <v>0.59912516365144419</v>
      </c>
      <c r="R40">
        <f t="shared" si="5"/>
        <v>2.5155917230876203E-4</v>
      </c>
      <c r="S40">
        <f t="shared" si="6"/>
        <v>1.962161544008344</v>
      </c>
      <c r="T40">
        <f t="shared" si="7"/>
        <v>-1.8512069037255423</v>
      </c>
      <c r="U40">
        <f t="shared" si="8"/>
        <v>-15.330892509534724</v>
      </c>
      <c r="V40">
        <f t="shared" si="9"/>
        <v>-1533.0892509534724</v>
      </c>
    </row>
    <row r="41" spans="3:22" x14ac:dyDescent="0.25">
      <c r="C41">
        <v>70</v>
      </c>
      <c r="D41">
        <f t="shared" si="2"/>
        <v>17.832753934170874</v>
      </c>
      <c r="E41">
        <f t="shared" si="2"/>
        <v>17.408519896102828</v>
      </c>
      <c r="F41">
        <f t="shared" si="2"/>
        <v>16.683164664508222</v>
      </c>
      <c r="G41">
        <f t="shared" si="2"/>
        <v>15.256259923099417</v>
      </c>
      <c r="H41">
        <f t="shared" si="2"/>
        <v>11.67338296278373</v>
      </c>
      <c r="K41">
        <v>70</v>
      </c>
      <c r="L41" s="1">
        <f t="shared" si="4"/>
        <v>0.12371198083042456</v>
      </c>
      <c r="M41" s="1">
        <f t="shared" si="10"/>
        <v>0.16490912855930168</v>
      </c>
      <c r="N41" s="1">
        <f t="shared" si="11"/>
        <v>0.23305024566351612</v>
      </c>
      <c r="O41" s="1">
        <f t="shared" si="12"/>
        <v>0.35863360863821703</v>
      </c>
      <c r="P41" s="1">
        <f t="shared" si="13"/>
        <v>0.62450556335156282</v>
      </c>
      <c r="R41">
        <f t="shared" si="5"/>
        <v>2.4976220240067483E-4</v>
      </c>
      <c r="S41">
        <f t="shared" si="6"/>
        <v>1.9481451787252637</v>
      </c>
      <c r="T41">
        <f t="shared" si="7"/>
        <v>-1.8273950721953129</v>
      </c>
      <c r="U41">
        <f t="shared" si="8"/>
        <v>-14.038527981774543</v>
      </c>
      <c r="V41">
        <f t="shared" si="9"/>
        <v>-1403.8527981774544</v>
      </c>
    </row>
    <row r="42" spans="3:22" x14ac:dyDescent="0.25">
      <c r="C42">
        <v>75</v>
      </c>
      <c r="D42">
        <f t="shared" si="2"/>
        <v>17.770066078851318</v>
      </c>
      <c r="E42">
        <f t="shared" si="2"/>
        <v>17.323984098328083</v>
      </c>
      <c r="F42">
        <f t="shared" si="2"/>
        <v>16.561273261248306</v>
      </c>
      <c r="G42">
        <f t="shared" si="2"/>
        <v>15.060883297339897</v>
      </c>
      <c r="H42">
        <f t="shared" si="2"/>
        <v>11.29348910684277</v>
      </c>
      <c r="K42">
        <v>75</v>
      </c>
      <c r="L42" s="1">
        <f t="shared" si="4"/>
        <v>0.12986201955968252</v>
      </c>
      <c r="M42" s="1">
        <f t="shared" si="10"/>
        <v>0.17299984144742922</v>
      </c>
      <c r="N42" s="1">
        <f t="shared" si="11"/>
        <v>0.24421636105086583</v>
      </c>
      <c r="O42" s="1">
        <f t="shared" si="12"/>
        <v>0.37495551643735736</v>
      </c>
      <c r="P42" s="1">
        <f t="shared" si="13"/>
        <v>0.64854776088239585</v>
      </c>
      <c r="R42">
        <f t="shared" si="5"/>
        <v>2.4800930017644429E-4</v>
      </c>
      <c r="S42">
        <f t="shared" si="6"/>
        <v>1.9344725413762656</v>
      </c>
      <c r="T42">
        <f t="shared" si="7"/>
        <v>-1.8043025495817042</v>
      </c>
      <c r="U42">
        <f t="shared" si="8"/>
        <v>-12.956193203894117</v>
      </c>
      <c r="V42">
        <f t="shared" si="9"/>
        <v>-1295.6193203894118</v>
      </c>
    </row>
    <row r="43" spans="3:22" x14ac:dyDescent="0.25">
      <c r="C43">
        <v>80</v>
      </c>
      <c r="D43">
        <f t="shared" si="2"/>
        <v>17.708608492479517</v>
      </c>
      <c r="E43">
        <f t="shared" si="2"/>
        <v>17.24110734226797</v>
      </c>
      <c r="F43">
        <f t="shared" si="2"/>
        <v>16.441774015251784</v>
      </c>
      <c r="G43">
        <f t="shared" si="2"/>
        <v>14.869340999530566</v>
      </c>
      <c r="H43">
        <f t="shared" si="2"/>
        <v>10.921050787736258</v>
      </c>
      <c r="K43">
        <v>80</v>
      </c>
      <c r="L43" s="1">
        <f t="shared" si="4"/>
        <v>0.13587033779068008</v>
      </c>
      <c r="M43" s="1">
        <f t="shared" si="10"/>
        <v>0.18089353920789597</v>
      </c>
      <c r="N43" s="1">
        <f t="shared" si="11"/>
        <v>0.25508385098309083</v>
      </c>
      <c r="O43" s="1">
        <f t="shared" si="12"/>
        <v>0.39075288332177188</v>
      </c>
      <c r="P43" s="1">
        <f t="shared" si="13"/>
        <v>0.67134602184246517</v>
      </c>
    </row>
    <row r="44" spans="3:22" x14ac:dyDescent="0.25">
      <c r="C44">
        <v>85</v>
      </c>
      <c r="D44">
        <f t="shared" si="2"/>
        <v>17.648280523902702</v>
      </c>
      <c r="E44">
        <f t="shared" si="2"/>
        <v>17.159753897876325</v>
      </c>
      <c r="F44">
        <f t="shared" si="2"/>
        <v>16.324471218591043</v>
      </c>
      <c r="G44">
        <f t="shared" si="2"/>
        <v>14.681319334418863</v>
      </c>
      <c r="H44">
        <f t="shared" si="2"/>
        <v>10.555458050723582</v>
      </c>
      <c r="K44">
        <v>85</v>
      </c>
      <c r="L44" s="1">
        <f t="shared" si="4"/>
        <v>0.14174797514383752</v>
      </c>
      <c r="M44" s="1">
        <f t="shared" si="10"/>
        <v>0.18860533108567237</v>
      </c>
      <c r="N44" s="1">
        <f t="shared" si="11"/>
        <v>0.26567504889989074</v>
      </c>
      <c r="O44" s="1">
        <f t="shared" si="12"/>
        <v>0.40606323351539009</v>
      </c>
      <c r="P44" s="1">
        <f t="shared" si="13"/>
        <v>0.69298173845430855</v>
      </c>
    </row>
    <row r="45" spans="3:22" x14ac:dyDescent="0.25">
      <c r="C45">
        <v>90</v>
      </c>
      <c r="D45">
        <f t="shared" si="2"/>
        <v>17.588995274995085</v>
      </c>
      <c r="E45">
        <f t="shared" si="2"/>
        <v>17.079806581332601</v>
      </c>
      <c r="F45">
        <f t="shared" si="2"/>
        <v>16.209195904973662</v>
      </c>
      <c r="G45">
        <f t="shared" si="2"/>
        <v>14.496547470238177</v>
      </c>
      <c r="H45">
        <f t="shared" si="2"/>
        <v>10.196184285603914</v>
      </c>
      <c r="K45">
        <v>90</v>
      </c>
      <c r="L45" s="1">
        <f t="shared" si="4"/>
        <v>0.14750448182693834</v>
      </c>
      <c r="M45" s="1">
        <f t="shared" si="10"/>
        <v>0.19614829642746326</v>
      </c>
      <c r="N45" s="1">
        <f t="shared" si="11"/>
        <v>0.27600930859992712</v>
      </c>
      <c r="O45" s="1">
        <f t="shared" si="12"/>
        <v>0.42091914892603682</v>
      </c>
      <c r="P45" s="1">
        <f t="shared" si="13"/>
        <v>0.71352588095701674</v>
      </c>
    </row>
    <row r="46" spans="3:22" x14ac:dyDescent="0.25">
      <c r="C46">
        <v>95</v>
      </c>
      <c r="D46">
        <f t="shared" si="2"/>
        <v>17.530677051690688</v>
      </c>
      <c r="E46">
        <f t="shared" si="2"/>
        <v>17.00116331770981</v>
      </c>
      <c r="F46">
        <f t="shared" si="2"/>
        <v>16.095800893484402</v>
      </c>
      <c r="G46">
        <f t="shared" si="2"/>
        <v>14.3147894944481</v>
      </c>
      <c r="H46">
        <f t="shared" si="2"/>
        <v>9.8427707797533994</v>
      </c>
      <c r="K46">
        <v>95</v>
      </c>
      <c r="L46" s="1">
        <f t="shared" si="4"/>
        <v>0.15314819299763835</v>
      </c>
      <c r="M46" s="1">
        <f t="shared" si="10"/>
        <v>0.20353385783938743</v>
      </c>
      <c r="N46" s="1">
        <f t="shared" si="11"/>
        <v>0.28610355011967881</v>
      </c>
      <c r="O46" s="1">
        <f t="shared" si="12"/>
        <v>0.43534916879778535</v>
      </c>
      <c r="P46" s="1">
        <f t="shared" si="13"/>
        <v>0.73304086738788687</v>
      </c>
    </row>
    <row r="47" spans="3:22" x14ac:dyDescent="0.25">
      <c r="C47">
        <v>100</v>
      </c>
      <c r="D47">
        <f t="shared" si="2"/>
        <v>17.473259398415419</v>
      </c>
      <c r="E47">
        <f t="shared" si="2"/>
        <v>16.923734490367806</v>
      </c>
      <c r="F47">
        <f t="shared" si="2"/>
        <v>15.984156966699267</v>
      </c>
      <c r="G47">
        <f t="shared" si="2"/>
        <v>14.135838287730834</v>
      </c>
      <c r="H47">
        <f t="shared" si="2"/>
        <v>9.4948148066126556</v>
      </c>
      <c r="K47">
        <v>100</v>
      </c>
      <c r="L47" s="1">
        <f t="shared" si="4"/>
        <v>0.15868644056099687</v>
      </c>
      <c r="M47" s="1">
        <f t="shared" si="10"/>
        <v>0.21077206935619106</v>
      </c>
      <c r="N47" s="1">
        <f t="shared" si="11"/>
        <v>0.29597268154371831</v>
      </c>
      <c r="O47" s="1">
        <f t="shared" si="12"/>
        <v>0.44937848569002126</v>
      </c>
      <c r="P47" s="1">
        <f t="shared" si="13"/>
        <v>0.75158201386909451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H21" sqref="H21"/>
    </sheetView>
  </sheetViews>
  <sheetFormatPr defaultRowHeight="15" x14ac:dyDescent="0.25"/>
  <cols>
    <col min="2" max="2" width="13.28515625" bestFit="1" customWidth="1"/>
    <col min="4" max="4" width="11.5703125" bestFit="1" customWidth="1"/>
    <col min="5" max="5" width="12" bestFit="1" customWidth="1"/>
    <col min="10" max="11" width="12" bestFit="1" customWidth="1"/>
    <col min="13" max="13" width="11.5703125" bestFit="1" customWidth="1"/>
    <col min="16" max="16" width="12" bestFit="1" customWidth="1"/>
    <col min="21" max="21" width="12" bestFit="1" customWidth="1"/>
  </cols>
  <sheetData>
    <row r="1" spans="1:19" x14ac:dyDescent="0.25">
      <c r="A1" t="s">
        <v>10</v>
      </c>
      <c r="B1">
        <v>4500</v>
      </c>
      <c r="C1" t="s">
        <v>20</v>
      </c>
    </row>
    <row r="2" spans="1:19" x14ac:dyDescent="0.25">
      <c r="A2" t="s">
        <v>11</v>
      </c>
      <c r="B2" s="3">
        <v>3900000</v>
      </c>
      <c r="C2" t="s">
        <v>20</v>
      </c>
    </row>
    <row r="3" spans="1:19" x14ac:dyDescent="0.25">
      <c r="A3" t="s">
        <v>12</v>
      </c>
      <c r="B3" s="3">
        <f>+B2/(1+B6)</f>
        <v>1300000</v>
      </c>
      <c r="C3" t="s">
        <v>20</v>
      </c>
    </row>
    <row r="4" spans="1:19" x14ac:dyDescent="0.25">
      <c r="A4" t="s">
        <v>13</v>
      </c>
      <c r="B4">
        <v>472</v>
      </c>
      <c r="C4" t="s">
        <v>20</v>
      </c>
    </row>
    <row r="5" spans="1:19" x14ac:dyDescent="0.25">
      <c r="A5" s="2" t="s">
        <v>19</v>
      </c>
      <c r="B5">
        <v>0.18</v>
      </c>
    </row>
    <row r="6" spans="1:19" x14ac:dyDescent="0.25">
      <c r="A6" s="2" t="s">
        <v>21</v>
      </c>
      <c r="B6">
        <v>2</v>
      </c>
    </row>
    <row r="7" spans="1:19" x14ac:dyDescent="0.25">
      <c r="A7" t="s">
        <v>14</v>
      </c>
      <c r="B7">
        <f>5/8</f>
        <v>0.625</v>
      </c>
      <c r="C7" t="s">
        <v>24</v>
      </c>
      <c r="D7">
        <f>+B7/12</f>
        <v>5.2083333333333336E-2</v>
      </c>
      <c r="E7" t="s">
        <v>36</v>
      </c>
      <c r="F7">
        <f>+B7*0.0254</f>
        <v>1.5875E-2</v>
      </c>
      <c r="G7" t="s">
        <v>42</v>
      </c>
    </row>
    <row r="8" spans="1:19" x14ac:dyDescent="0.25">
      <c r="A8" t="s">
        <v>15</v>
      </c>
      <c r="B8">
        <v>4.9000000000000004</v>
      </c>
      <c r="C8" t="s">
        <v>22</v>
      </c>
      <c r="D8">
        <f>(B8/1000)/12</f>
        <v>4.0833333333333341E-4</v>
      </c>
      <c r="E8" t="s">
        <v>36</v>
      </c>
      <c r="F8">
        <f>+B8*0.0254/1000</f>
        <v>1.2446000000000001E-4</v>
      </c>
      <c r="G8" t="s">
        <v>42</v>
      </c>
    </row>
    <row r="9" spans="1:19" x14ac:dyDescent="0.25">
      <c r="A9" t="s">
        <v>0</v>
      </c>
      <c r="B9">
        <v>1.87</v>
      </c>
      <c r="C9" t="s">
        <v>24</v>
      </c>
      <c r="D9">
        <f>+B9/12</f>
        <v>0.15583333333333335</v>
      </c>
      <c r="E9" t="s">
        <v>36</v>
      </c>
      <c r="F9">
        <f t="shared" ref="F9" si="0">+B9*0.0254</f>
        <v>4.7497999999999999E-2</v>
      </c>
      <c r="G9" t="s">
        <v>42</v>
      </c>
    </row>
    <row r="10" spans="1:19" x14ac:dyDescent="0.25">
      <c r="A10" s="2" t="s">
        <v>16</v>
      </c>
      <c r="B10">
        <v>0.622</v>
      </c>
    </row>
    <row r="11" spans="1:19" x14ac:dyDescent="0.25">
      <c r="A11" s="2" t="s">
        <v>17</v>
      </c>
      <c r="B11">
        <v>490</v>
      </c>
      <c r="C11" t="s">
        <v>23</v>
      </c>
      <c r="D11">
        <v>7800</v>
      </c>
    </row>
    <row r="12" spans="1:19" x14ac:dyDescent="0.25">
      <c r="A12" s="2" t="s">
        <v>18</v>
      </c>
      <c r="B12">
        <v>225</v>
      </c>
      <c r="C12" t="s">
        <v>23</v>
      </c>
      <c r="D12">
        <v>3580</v>
      </c>
    </row>
    <row r="13" spans="1:19" x14ac:dyDescent="0.25">
      <c r="A13" s="2" t="s">
        <v>26</v>
      </c>
      <c r="B13">
        <v>0.6</v>
      </c>
    </row>
    <row r="15" spans="1:19" x14ac:dyDescent="0.25">
      <c r="A15" t="s">
        <v>2</v>
      </c>
      <c r="B15">
        <f>37.5*(1-B13)/(B9*2.54)</f>
        <v>3.1580277064297442</v>
      </c>
      <c r="C15" s="2" t="s">
        <v>27</v>
      </c>
      <c r="D15">
        <f>+B15/1.07</f>
        <v>2.9514277630184522</v>
      </c>
      <c r="E15" t="s">
        <v>28</v>
      </c>
      <c r="J15">
        <v>2.1800000000000002</v>
      </c>
      <c r="P15">
        <f>+J15*1.07</f>
        <v>2.3326000000000002</v>
      </c>
      <c r="Q15" s="2" t="s">
        <v>27</v>
      </c>
      <c r="R15">
        <f>+P15*0.000001*100^2</f>
        <v>2.3326000000000003E-2</v>
      </c>
      <c r="S15" t="s">
        <v>41</v>
      </c>
    </row>
    <row r="16" spans="1:19" x14ac:dyDescent="0.25">
      <c r="A16" t="s">
        <v>25</v>
      </c>
      <c r="B16">
        <f>0.000383*B7*0.0254*B15</f>
        <v>1.9201203208556147E-5</v>
      </c>
      <c r="C16" s="2" t="s">
        <v>34</v>
      </c>
      <c r="D16">
        <f>+B16*(2.20462^2)/(3.28084^2)</f>
        <v>8.6701343508721734E-6</v>
      </c>
      <c r="E16" t="s">
        <v>35</v>
      </c>
      <c r="J16">
        <f>(0.00000259)*(1/0.622)*PI()*(B7)*J15</f>
        <v>1.7823613786875694E-5</v>
      </c>
      <c r="K16">
        <f>0.000383*(B7*0.0254)*B15</f>
        <v>1.9201203208556147E-5</v>
      </c>
      <c r="M16">
        <f>+PI()*(0.00000259)*3.281^2*2.2</f>
        <v>1.9270135939976213E-4</v>
      </c>
      <c r="P16">
        <f>0.0000000003328*PI()*R15*F7</f>
        <v>3.8715707098347597E-13</v>
      </c>
    </row>
    <row r="18" spans="1:23" x14ac:dyDescent="0.25">
      <c r="A18" t="s">
        <v>29</v>
      </c>
      <c r="B18">
        <f>+(B7+2*B8*0.001)/2</f>
        <v>0.31740000000000002</v>
      </c>
      <c r="C18" t="s">
        <v>24</v>
      </c>
      <c r="D18">
        <f>+(D7+2*D8)/2</f>
        <v>2.6450000000000001E-2</v>
      </c>
      <c r="E18" t="s">
        <v>36</v>
      </c>
      <c r="K18">
        <f>+K16*3.281^2*2.2</f>
        <v>4.5474044812500003E-4</v>
      </c>
      <c r="P18">
        <f>+E25*3.281/2.2</f>
        <v>5.1615002580590472E-2</v>
      </c>
      <c r="U18">
        <f>+B18*0.0254</f>
        <v>8.06196E-3</v>
      </c>
      <c r="V18" t="s">
        <v>42</v>
      </c>
    </row>
    <row r="19" spans="1:23" x14ac:dyDescent="0.25">
      <c r="A19" t="s">
        <v>30</v>
      </c>
      <c r="B19">
        <f>+B9+(B7+2*B8*0.001)/2</f>
        <v>2.1874000000000002</v>
      </c>
      <c r="C19" t="s">
        <v>24</v>
      </c>
      <c r="D19">
        <f>+D9+(D7+2*D8)/2</f>
        <v>0.18228333333333335</v>
      </c>
      <c r="E19" t="s">
        <v>36</v>
      </c>
      <c r="P19">
        <f>+P18^2/P16</f>
        <v>6881208406.259656</v>
      </c>
      <c r="Q19" t="s">
        <v>43</v>
      </c>
      <c r="U19">
        <f>+B19*0.0254</f>
        <v>5.5559960000000005E-2</v>
      </c>
      <c r="V19" t="s">
        <v>42</v>
      </c>
    </row>
    <row r="20" spans="1:23" x14ac:dyDescent="0.25">
      <c r="J20">
        <v>1.26E-2</v>
      </c>
      <c r="K20" t="s">
        <v>37</v>
      </c>
      <c r="L20">
        <v>0.27</v>
      </c>
      <c r="M20" t="s">
        <v>39</v>
      </c>
      <c r="P20">
        <f>+P19/31536000</f>
        <v>218.20168715942592</v>
      </c>
      <c r="Q20" t="s">
        <v>44</v>
      </c>
    </row>
    <row r="21" spans="1:23" x14ac:dyDescent="0.25">
      <c r="A21" t="s">
        <v>31</v>
      </c>
      <c r="B21">
        <f>+PI()*((B9*B4/B3)*((B18^2+B19^2)/(B19^2-B18^2)+B5)+B8*0.001)*B7</f>
        <v>1.1251557854994841E-2</v>
      </c>
      <c r="D21">
        <f>+B21/12</f>
        <v>9.3762982124957013E-4</v>
      </c>
      <c r="E21">
        <f>+PI()*B12*D7*(((D9*B4)/B3)*((D19^2+D18^2)/(D19^2-D18^2)+B5)+D8)</f>
        <v>1.7580559148429441E-2</v>
      </c>
      <c r="J21">
        <f>+J20/25.4</f>
        <v>4.9606299212598425E-4</v>
      </c>
      <c r="K21" t="s">
        <v>38</v>
      </c>
      <c r="L21">
        <f>+L20*365*2.204/(1000*3.281^2)</f>
        <v>2.0176961161308436E-2</v>
      </c>
      <c r="M21" t="s">
        <v>40</v>
      </c>
    </row>
    <row r="22" spans="1:23" x14ac:dyDescent="0.25">
      <c r="B22">
        <f>+B12*B21</f>
        <v>2.5316005173738394</v>
      </c>
      <c r="D22">
        <f>+D21*B12/12</f>
        <v>1.7580559148429441E-2</v>
      </c>
      <c r="E22">
        <f>+E21</f>
        <v>1.7580559148429441E-2</v>
      </c>
      <c r="J22">
        <f>+J21*J15*PI()*D7</f>
        <v>1.7694649567094091E-4</v>
      </c>
      <c r="K22" t="s">
        <v>38</v>
      </c>
      <c r="L22">
        <f>+L21*PI()*D7*(B12/B11)*J15</f>
        <v>3.3048163738290089E-3</v>
      </c>
      <c r="U22">
        <f>+PI()*D12*F7*(((F9*B4)/B3)*((U19^2+U18^2)/(U19^2-U18^2)+B5)+F8)</f>
        <v>2.598741713530793E-2</v>
      </c>
    </row>
    <row r="23" spans="1:23" x14ac:dyDescent="0.25">
      <c r="A23" t="s">
        <v>32</v>
      </c>
    </row>
    <row r="24" spans="1:23" x14ac:dyDescent="0.25">
      <c r="B24">
        <f>+(1-(B12/B11)*B10)</f>
        <v>0.71438775510204078</v>
      </c>
      <c r="U24">
        <f>+(1-(D12/D11)*B10)</f>
        <v>0.71451794871794871</v>
      </c>
      <c r="W24">
        <v>3.5000000000000003E-2</v>
      </c>
    </row>
    <row r="25" spans="1:23" x14ac:dyDescent="0.25">
      <c r="B25">
        <f>+B22/B24</f>
        <v>3.5437344765410121</v>
      </c>
      <c r="D25">
        <f>+D22/B24</f>
        <v>2.4609267198201477E-2</v>
      </c>
      <c r="E25">
        <f>+E22/B24+0.01</f>
        <v>3.4609267198201475E-2</v>
      </c>
      <c r="H25">
        <f>0.098*(1/0.57)*PI()*B7*25.4*J15</f>
        <v>18.692669193671328</v>
      </c>
      <c r="U25">
        <f>+U22/U24</f>
        <v>3.6370558894898097E-2</v>
      </c>
    </row>
    <row r="27" spans="1:23" x14ac:dyDescent="0.25">
      <c r="F27">
        <f>+E25*4.88243</f>
        <v>0.16897732444651484</v>
      </c>
    </row>
    <row r="28" spans="1:23" x14ac:dyDescent="0.25">
      <c r="A28" t="s">
        <v>33</v>
      </c>
    </row>
    <row r="29" spans="1:23" x14ac:dyDescent="0.25">
      <c r="B29">
        <f>E25^2/(2*H25)</f>
        <v>3.2039334874712205E-5</v>
      </c>
      <c r="I29">
        <f>+E25*3.281^2/2.2</f>
        <v>0.16934882346691735</v>
      </c>
      <c r="U29">
        <f>+U25^2/(2*P16)</f>
        <v>1708373233.3326151</v>
      </c>
    </row>
    <row r="30" spans="1:23" x14ac:dyDescent="0.25">
      <c r="U30">
        <f>+U29/(365*24*60*60)</f>
        <v>54.172159859608549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Time to Corrosion</vt:lpstr>
      <vt:lpstr>dc vs icor</vt:lpstr>
      <vt:lpstr>DiameterDecrease</vt:lpstr>
      <vt:lpstr>Corrosion Level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2018-06-15T15:40:57Z</dcterms:created>
  <dcterms:modified xsi:type="dcterms:W3CDTF">2018-12-18T21:12:57Z</dcterms:modified>
</cp:coreProperties>
</file>