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_PBD\Thesis\VAC Thesis 1.0\Chapter-4\figs\"/>
    </mc:Choice>
  </mc:AlternateContent>
  <bookViews>
    <workbookView xWindow="-90" yWindow="-90" windowWidth="23235" windowHeight="12555" activeTab="3"/>
  </bookViews>
  <sheets>
    <sheet name="Sheet1" sheetId="1" r:id="rId1"/>
    <sheet name="Sheet2" sheetId="2" r:id="rId2"/>
    <sheet name="Sheet3" sheetId="7" r:id="rId3"/>
    <sheet name="Strain Aging" sheetId="8" r:id="rId4"/>
    <sheet name="Time to Corrosion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F6" i="1"/>
  <c r="F7" i="1"/>
  <c r="F8" i="1"/>
  <c r="F5" i="1"/>
  <c r="C17" i="8" l="1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E16" i="8"/>
  <c r="D16" i="8"/>
  <c r="C16" i="8"/>
  <c r="D51" i="2"/>
  <c r="E51" i="2"/>
  <c r="H51" i="2"/>
  <c r="D52" i="2"/>
  <c r="H52" i="2"/>
  <c r="F53" i="2"/>
  <c r="H53" i="2"/>
  <c r="D54" i="2"/>
  <c r="E54" i="2"/>
  <c r="H54" i="2"/>
  <c r="D55" i="2"/>
  <c r="E55" i="2"/>
  <c r="H55" i="2"/>
  <c r="D56" i="2"/>
  <c r="H56" i="2"/>
  <c r="E57" i="2"/>
  <c r="F57" i="2"/>
  <c r="H57" i="2"/>
  <c r="E58" i="2"/>
  <c r="H58" i="2"/>
  <c r="D59" i="2"/>
  <c r="E59" i="2"/>
  <c r="H59" i="2"/>
  <c r="D60" i="2"/>
  <c r="H60" i="2"/>
  <c r="F61" i="2"/>
  <c r="H61" i="2"/>
  <c r="D62" i="2"/>
  <c r="E62" i="2"/>
  <c r="H62" i="2"/>
  <c r="D63" i="2"/>
  <c r="E63" i="2"/>
  <c r="H63" i="2"/>
  <c r="D64" i="2"/>
  <c r="H64" i="2"/>
  <c r="E65" i="2"/>
  <c r="F65" i="2"/>
  <c r="H65" i="2"/>
  <c r="E66" i="2"/>
  <c r="H66" i="2"/>
  <c r="D67" i="2"/>
  <c r="E67" i="2"/>
  <c r="H67" i="2"/>
  <c r="D68" i="2"/>
  <c r="H68" i="2"/>
  <c r="F69" i="2"/>
  <c r="H69" i="2"/>
  <c r="D70" i="2"/>
  <c r="E70" i="2"/>
  <c r="H70" i="2"/>
  <c r="D71" i="2"/>
  <c r="E71" i="2"/>
  <c r="H71" i="2"/>
  <c r="D72" i="2"/>
  <c r="H72" i="2"/>
  <c r="E73" i="2"/>
  <c r="H73" i="2"/>
  <c r="E74" i="2"/>
  <c r="H74" i="2"/>
  <c r="D75" i="2"/>
  <c r="E75" i="2"/>
  <c r="H75" i="2"/>
  <c r="D76" i="2"/>
  <c r="H76" i="2"/>
  <c r="F77" i="2"/>
  <c r="H77" i="2"/>
  <c r="D78" i="2"/>
  <c r="H78" i="2"/>
  <c r="E50" i="2"/>
  <c r="H50" i="2"/>
  <c r="D19" i="2"/>
  <c r="D50" i="2" s="1"/>
  <c r="D20" i="2"/>
  <c r="D21" i="2"/>
  <c r="D22" i="2"/>
  <c r="D53" i="2" s="1"/>
  <c r="D23" i="2"/>
  <c r="D24" i="2"/>
  <c r="D25" i="2"/>
  <c r="D26" i="2"/>
  <c r="D57" i="2" s="1"/>
  <c r="D27" i="2"/>
  <c r="D58" i="2" s="1"/>
  <c r="D28" i="2"/>
  <c r="D29" i="2"/>
  <c r="D30" i="2"/>
  <c r="D61" i="2" s="1"/>
  <c r="D31" i="2"/>
  <c r="D32" i="2"/>
  <c r="D33" i="2"/>
  <c r="D34" i="2"/>
  <c r="D65" i="2" s="1"/>
  <c r="D35" i="2"/>
  <c r="D66" i="2" s="1"/>
  <c r="D36" i="2"/>
  <c r="D37" i="2"/>
  <c r="D38" i="2"/>
  <c r="D69" i="2" s="1"/>
  <c r="D39" i="2"/>
  <c r="D40" i="2"/>
  <c r="D41" i="2"/>
  <c r="D42" i="2"/>
  <c r="D73" i="2" s="1"/>
  <c r="D43" i="2"/>
  <c r="D74" i="2" s="1"/>
  <c r="D44" i="2"/>
  <c r="D45" i="2"/>
  <c r="D46" i="2"/>
  <c r="D77" i="2" s="1"/>
  <c r="D47" i="2"/>
  <c r="E19" i="2"/>
  <c r="F19" i="2"/>
  <c r="F50" i="2" s="1"/>
  <c r="G19" i="2"/>
  <c r="G50" i="2" s="1"/>
  <c r="H19" i="2"/>
  <c r="E20" i="2"/>
  <c r="F20" i="2"/>
  <c r="F51" i="2" s="1"/>
  <c r="G20" i="2"/>
  <c r="G51" i="2" s="1"/>
  <c r="H20" i="2"/>
  <c r="E21" i="2"/>
  <c r="E52" i="2" s="1"/>
  <c r="F21" i="2"/>
  <c r="F52" i="2" s="1"/>
  <c r="G21" i="2"/>
  <c r="G52" i="2" s="1"/>
  <c r="H21" i="2"/>
  <c r="E22" i="2"/>
  <c r="E53" i="2" s="1"/>
  <c r="F22" i="2"/>
  <c r="G22" i="2"/>
  <c r="G53" i="2" s="1"/>
  <c r="H22" i="2"/>
  <c r="E23" i="2"/>
  <c r="F23" i="2"/>
  <c r="F54" i="2" s="1"/>
  <c r="G23" i="2"/>
  <c r="G54" i="2" s="1"/>
  <c r="H23" i="2"/>
  <c r="E24" i="2"/>
  <c r="F24" i="2"/>
  <c r="F55" i="2" s="1"/>
  <c r="G24" i="2"/>
  <c r="G55" i="2" s="1"/>
  <c r="H24" i="2"/>
  <c r="E25" i="2"/>
  <c r="E56" i="2" s="1"/>
  <c r="F25" i="2"/>
  <c r="F56" i="2" s="1"/>
  <c r="G25" i="2"/>
  <c r="G56" i="2" s="1"/>
  <c r="H25" i="2"/>
  <c r="E26" i="2"/>
  <c r="F26" i="2"/>
  <c r="G26" i="2"/>
  <c r="G57" i="2" s="1"/>
  <c r="H26" i="2"/>
  <c r="E27" i="2"/>
  <c r="F27" i="2"/>
  <c r="F58" i="2" s="1"/>
  <c r="G27" i="2"/>
  <c r="G58" i="2" s="1"/>
  <c r="H27" i="2"/>
  <c r="E28" i="2"/>
  <c r="F28" i="2"/>
  <c r="F59" i="2" s="1"/>
  <c r="G28" i="2"/>
  <c r="G59" i="2" s="1"/>
  <c r="H28" i="2"/>
  <c r="E29" i="2"/>
  <c r="E60" i="2" s="1"/>
  <c r="F29" i="2"/>
  <c r="F60" i="2" s="1"/>
  <c r="G29" i="2"/>
  <c r="G60" i="2" s="1"/>
  <c r="H29" i="2"/>
  <c r="E30" i="2"/>
  <c r="E61" i="2" s="1"/>
  <c r="F30" i="2"/>
  <c r="G30" i="2"/>
  <c r="G61" i="2" s="1"/>
  <c r="H30" i="2"/>
  <c r="E31" i="2"/>
  <c r="F31" i="2"/>
  <c r="F62" i="2" s="1"/>
  <c r="G31" i="2"/>
  <c r="G62" i="2" s="1"/>
  <c r="H31" i="2"/>
  <c r="E32" i="2"/>
  <c r="F32" i="2"/>
  <c r="F63" i="2" s="1"/>
  <c r="G32" i="2"/>
  <c r="G63" i="2" s="1"/>
  <c r="H32" i="2"/>
  <c r="E33" i="2"/>
  <c r="E64" i="2" s="1"/>
  <c r="F33" i="2"/>
  <c r="F64" i="2" s="1"/>
  <c r="G33" i="2"/>
  <c r="G64" i="2" s="1"/>
  <c r="H33" i="2"/>
  <c r="E34" i="2"/>
  <c r="F34" i="2"/>
  <c r="G34" i="2"/>
  <c r="G65" i="2" s="1"/>
  <c r="H34" i="2"/>
  <c r="E35" i="2"/>
  <c r="F35" i="2"/>
  <c r="F66" i="2" s="1"/>
  <c r="G35" i="2"/>
  <c r="G66" i="2" s="1"/>
  <c r="H35" i="2"/>
  <c r="E36" i="2"/>
  <c r="F36" i="2"/>
  <c r="F67" i="2" s="1"/>
  <c r="G36" i="2"/>
  <c r="G67" i="2" s="1"/>
  <c r="H36" i="2"/>
  <c r="E37" i="2"/>
  <c r="E68" i="2" s="1"/>
  <c r="F37" i="2"/>
  <c r="F68" i="2" s="1"/>
  <c r="G37" i="2"/>
  <c r="G68" i="2" s="1"/>
  <c r="H37" i="2"/>
  <c r="E38" i="2"/>
  <c r="E69" i="2" s="1"/>
  <c r="F38" i="2"/>
  <c r="G38" i="2"/>
  <c r="G69" i="2" s="1"/>
  <c r="H38" i="2"/>
  <c r="E39" i="2"/>
  <c r="F39" i="2"/>
  <c r="F70" i="2" s="1"/>
  <c r="G39" i="2"/>
  <c r="G70" i="2" s="1"/>
  <c r="H39" i="2"/>
  <c r="E40" i="2"/>
  <c r="F40" i="2"/>
  <c r="F71" i="2" s="1"/>
  <c r="G40" i="2"/>
  <c r="G71" i="2" s="1"/>
  <c r="H40" i="2"/>
  <c r="E41" i="2"/>
  <c r="E72" i="2" s="1"/>
  <c r="F41" i="2"/>
  <c r="F72" i="2" s="1"/>
  <c r="G41" i="2"/>
  <c r="G72" i="2" s="1"/>
  <c r="H41" i="2"/>
  <c r="E42" i="2"/>
  <c r="F42" i="2"/>
  <c r="F73" i="2" s="1"/>
  <c r="G42" i="2"/>
  <c r="G73" i="2" s="1"/>
  <c r="H42" i="2"/>
  <c r="E43" i="2"/>
  <c r="F43" i="2"/>
  <c r="F74" i="2" s="1"/>
  <c r="G43" i="2"/>
  <c r="G74" i="2" s="1"/>
  <c r="H43" i="2"/>
  <c r="E44" i="2"/>
  <c r="F44" i="2"/>
  <c r="F75" i="2" s="1"/>
  <c r="G44" i="2"/>
  <c r="G75" i="2" s="1"/>
  <c r="H44" i="2"/>
  <c r="E45" i="2"/>
  <c r="E76" i="2" s="1"/>
  <c r="F45" i="2"/>
  <c r="F76" i="2" s="1"/>
  <c r="G45" i="2"/>
  <c r="G76" i="2" s="1"/>
  <c r="H45" i="2"/>
  <c r="E46" i="2"/>
  <c r="E77" i="2" s="1"/>
  <c r="F46" i="2"/>
  <c r="G46" i="2"/>
  <c r="G77" i="2" s="1"/>
  <c r="H46" i="2"/>
  <c r="E47" i="2"/>
  <c r="E78" i="2" s="1"/>
  <c r="F47" i="2"/>
  <c r="F78" i="2" s="1"/>
  <c r="G47" i="2"/>
  <c r="G78" i="2" s="1"/>
  <c r="H47" i="2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1" i="7"/>
  <c r="C14" i="2" l="1"/>
  <c r="R19" i="2" s="1"/>
  <c r="S19" i="2" s="1"/>
  <c r="B3" i="6" l="1"/>
  <c r="F8" i="6"/>
  <c r="U24" i="6"/>
  <c r="B24" i="6"/>
  <c r="F9" i="6"/>
  <c r="P15" i="6"/>
  <c r="R15" i="6" s="1"/>
  <c r="L21" i="6"/>
  <c r="J21" i="6"/>
  <c r="D8" i="6"/>
  <c r="D9" i="6"/>
  <c r="M16" i="6" l="1"/>
  <c r="B15" i="6"/>
  <c r="B7" i="6"/>
  <c r="H25" i="6" l="1"/>
  <c r="J16" i="6"/>
  <c r="D7" i="6"/>
  <c r="B18" i="6"/>
  <c r="F7" i="6"/>
  <c r="B19" i="6"/>
  <c r="U19" i="6" s="1"/>
  <c r="K16" i="6"/>
  <c r="K18" i="6" s="1"/>
  <c r="B16" i="6"/>
  <c r="D16" i="6" s="1"/>
  <c r="D15" i="6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5" i="1"/>
  <c r="E6" i="1"/>
  <c r="E7" i="1"/>
  <c r="E8" i="1"/>
  <c r="D5" i="1"/>
  <c r="D6" i="1"/>
  <c r="D8" i="1"/>
  <c r="D7" i="1"/>
  <c r="P16" i="6" l="1"/>
  <c r="B21" i="6"/>
  <c r="U18" i="6"/>
  <c r="U22" i="6" s="1"/>
  <c r="U25" i="6" s="1"/>
  <c r="J22" i="6"/>
  <c r="D18" i="6"/>
  <c r="D19" i="6"/>
  <c r="E21" i="6" s="1"/>
  <c r="E22" i="6" s="1"/>
  <c r="E25" i="6" s="1"/>
  <c r="L22" i="6"/>
  <c r="M14" i="2"/>
  <c r="U29" i="6" l="1"/>
  <c r="U30" i="6" s="1"/>
  <c r="T19" i="2"/>
  <c r="U19" i="2" s="1"/>
  <c r="V19" i="2" s="1"/>
  <c r="F27" i="6"/>
  <c r="B29" i="6"/>
  <c r="P18" i="6"/>
  <c r="P19" i="6" s="1"/>
  <c r="P20" i="6" s="1"/>
  <c r="I29" i="6"/>
  <c r="B22" i="6"/>
  <c r="B25" i="6" s="1"/>
  <c r="D21" i="6"/>
  <c r="D22" i="6" s="1"/>
  <c r="D25" i="6" s="1"/>
  <c r="M15" i="2"/>
  <c r="M19" i="2"/>
  <c r="O19" i="2"/>
  <c r="M21" i="2"/>
  <c r="N21" i="2"/>
  <c r="O21" i="2"/>
  <c r="P21" i="2"/>
  <c r="N22" i="2"/>
  <c r="M23" i="2"/>
  <c r="O23" i="2"/>
  <c r="P23" i="2"/>
  <c r="M24" i="2"/>
  <c r="N24" i="2"/>
  <c r="P24" i="2"/>
  <c r="M25" i="2"/>
  <c r="N25" i="2"/>
  <c r="O25" i="2"/>
  <c r="P25" i="2"/>
  <c r="M26" i="2"/>
  <c r="N26" i="2"/>
  <c r="O26" i="2"/>
  <c r="P26" i="2"/>
  <c r="M27" i="2"/>
  <c r="N27" i="2"/>
  <c r="P27" i="2"/>
  <c r="M28" i="2"/>
  <c r="N28" i="2"/>
  <c r="O28" i="2"/>
  <c r="P28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O41" i="2"/>
  <c r="P41" i="2"/>
  <c r="M42" i="2"/>
  <c r="N42" i="2"/>
  <c r="O42" i="2"/>
  <c r="P42" i="2"/>
  <c r="M43" i="2"/>
  <c r="N43" i="2"/>
  <c r="P43" i="2"/>
  <c r="M44" i="2"/>
  <c r="N44" i="2"/>
  <c r="O44" i="2"/>
  <c r="P44" i="2"/>
  <c r="N45" i="2"/>
  <c r="O45" i="2"/>
  <c r="P45" i="2"/>
  <c r="M46" i="2"/>
  <c r="N46" i="2"/>
  <c r="O46" i="2"/>
  <c r="P46" i="2"/>
  <c r="M47" i="2"/>
  <c r="N47" i="2"/>
  <c r="O47" i="2"/>
  <c r="P47" i="2"/>
  <c r="R23" i="2"/>
  <c r="S23" i="2" s="1"/>
  <c r="T23" i="2" s="1"/>
  <c r="R38" i="2"/>
  <c r="S38" i="2" s="1"/>
  <c r="T38" i="2" s="1"/>
  <c r="L43" i="2"/>
  <c r="L44" i="2"/>
  <c r="L45" i="2"/>
  <c r="L46" i="2"/>
  <c r="L47" i="2"/>
  <c r="U23" i="2" l="1"/>
  <c r="V23" i="2" s="1"/>
  <c r="U38" i="2"/>
  <c r="V38" i="2" s="1"/>
  <c r="L27" i="2"/>
  <c r="R27" i="2"/>
  <c r="S27" i="2" s="1"/>
  <c r="L37" i="2"/>
  <c r="R37" i="2"/>
  <c r="S37" i="2" s="1"/>
  <c r="T37" i="2" s="1"/>
  <c r="U37" i="2" s="1"/>
  <c r="V37" i="2" s="1"/>
  <c r="L29" i="2"/>
  <c r="R29" i="2"/>
  <c r="S29" i="2" s="1"/>
  <c r="T29" i="2" s="1"/>
  <c r="U29" i="2" s="1"/>
  <c r="V29" i="2" s="1"/>
  <c r="L21" i="2"/>
  <c r="R21" i="2"/>
  <c r="S21" i="2" s="1"/>
  <c r="T21" i="2" s="1"/>
  <c r="U21" i="2" s="1"/>
  <c r="V21" i="2" s="1"/>
  <c r="L36" i="2"/>
  <c r="R36" i="2"/>
  <c r="S36" i="2" s="1"/>
  <c r="T36" i="2" s="1"/>
  <c r="U36" i="2" s="1"/>
  <c r="V36" i="2" s="1"/>
  <c r="L28" i="2"/>
  <c r="R28" i="2"/>
  <c r="S28" i="2" s="1"/>
  <c r="T28" i="2" s="1"/>
  <c r="U28" i="2" s="1"/>
  <c r="V28" i="2" s="1"/>
  <c r="L20" i="2"/>
  <c r="R20" i="2"/>
  <c r="S20" i="2" s="1"/>
  <c r="T20" i="2" s="1"/>
  <c r="U20" i="2" s="1"/>
  <c r="V20" i="2" s="1"/>
  <c r="L34" i="2"/>
  <c r="R34" i="2"/>
  <c r="S34" i="2" s="1"/>
  <c r="L26" i="2"/>
  <c r="R26" i="2"/>
  <c r="S26" i="2" s="1"/>
  <c r="T26" i="2" s="1"/>
  <c r="L41" i="2"/>
  <c r="R41" i="2"/>
  <c r="S41" i="2" s="1"/>
  <c r="T41" i="2" s="1"/>
  <c r="U41" i="2" s="1"/>
  <c r="V41" i="2" s="1"/>
  <c r="L25" i="2"/>
  <c r="R25" i="2"/>
  <c r="S25" i="2" s="1"/>
  <c r="L35" i="2"/>
  <c r="R35" i="2"/>
  <c r="S35" i="2" s="1"/>
  <c r="T35" i="2" s="1"/>
  <c r="U35" i="2" s="1"/>
  <c r="V35" i="2" s="1"/>
  <c r="L42" i="2"/>
  <c r="R42" i="2"/>
  <c r="S42" i="2" s="1"/>
  <c r="T42" i="2" s="1"/>
  <c r="U42" i="2" s="1"/>
  <c r="V42" i="2" s="1"/>
  <c r="L33" i="2"/>
  <c r="R33" i="2"/>
  <c r="S33" i="2" s="1"/>
  <c r="T33" i="2" s="1"/>
  <c r="L40" i="2"/>
  <c r="R40" i="2"/>
  <c r="S40" i="2" s="1"/>
  <c r="T40" i="2" s="1"/>
  <c r="U40" i="2" s="1"/>
  <c r="V40" i="2" s="1"/>
  <c r="L32" i="2"/>
  <c r="R32" i="2"/>
  <c r="S32" i="2" s="1"/>
  <c r="T32" i="2" s="1"/>
  <c r="U32" i="2" s="1"/>
  <c r="V32" i="2" s="1"/>
  <c r="L24" i="2"/>
  <c r="R24" i="2"/>
  <c r="L19" i="2"/>
  <c r="L39" i="2"/>
  <c r="R39" i="2"/>
  <c r="S39" i="2" s="1"/>
  <c r="T39" i="2" s="1"/>
  <c r="U39" i="2" s="1"/>
  <c r="V39" i="2" s="1"/>
  <c r="L31" i="2"/>
  <c r="R31" i="2"/>
  <c r="S31" i="2" s="1"/>
  <c r="T31" i="2" s="1"/>
  <c r="U31" i="2" s="1"/>
  <c r="V31" i="2" s="1"/>
  <c r="L30" i="2"/>
  <c r="R30" i="2"/>
  <c r="S30" i="2" s="1"/>
  <c r="T30" i="2" s="1"/>
  <c r="U30" i="2" s="1"/>
  <c r="V30" i="2" s="1"/>
  <c r="L22" i="2"/>
  <c r="R22" i="2"/>
  <c r="S22" i="2" s="1"/>
  <c r="T22" i="2" s="1"/>
  <c r="U22" i="2" s="1"/>
  <c r="V22" i="2" s="1"/>
  <c r="N20" i="2"/>
  <c r="P19" i="2"/>
  <c r="N19" i="2"/>
  <c r="O36" i="2"/>
  <c r="P22" i="2"/>
  <c r="M22" i="2"/>
  <c r="M20" i="2"/>
  <c r="L38" i="2"/>
  <c r="O22" i="2"/>
  <c r="M45" i="2"/>
  <c r="O43" i="2"/>
  <c r="L23" i="2"/>
  <c r="O24" i="2"/>
  <c r="P20" i="2"/>
  <c r="M29" i="2"/>
  <c r="N41" i="2"/>
  <c r="O27" i="2"/>
  <c r="O20" i="2"/>
  <c r="P32" i="2"/>
  <c r="N23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9" i="2"/>
  <c r="T25" i="2" l="1"/>
  <c r="U25" i="2" s="1"/>
  <c r="V25" i="2" s="1"/>
  <c r="T34" i="2"/>
  <c r="U34" i="2" s="1"/>
  <c r="V34" i="2" s="1"/>
  <c r="U33" i="2"/>
  <c r="V33" i="2" s="1"/>
  <c r="S24" i="2"/>
  <c r="T24" i="2" s="1"/>
  <c r="U24" i="2" s="1"/>
  <c r="V24" i="2" s="1"/>
  <c r="U26" i="2"/>
  <c r="V26" i="2" s="1"/>
  <c r="T27" i="2"/>
  <c r="U27" i="2" s="1"/>
  <c r="V27" i="2" s="1"/>
</calcChain>
</file>

<file path=xl/sharedStrings.xml><?xml version="1.0" encoding="utf-8"?>
<sst xmlns="http://schemas.openxmlformats.org/spreadsheetml/2006/main" count="85" uniqueCount="55">
  <si>
    <t>dc</t>
  </si>
  <si>
    <t>wc</t>
  </si>
  <si>
    <t>icor</t>
  </si>
  <si>
    <t>dbi</t>
  </si>
  <si>
    <t>t</t>
  </si>
  <si>
    <t>tcorr</t>
  </si>
  <si>
    <t>d</t>
  </si>
  <si>
    <t>C</t>
  </si>
  <si>
    <t>Go</t>
  </si>
  <si>
    <t>go</t>
  </si>
  <si>
    <t>f'c</t>
  </si>
  <si>
    <t>E</t>
  </si>
  <si>
    <t>Eef</t>
  </si>
  <si>
    <t>f't</t>
  </si>
  <si>
    <t>db</t>
  </si>
  <si>
    <t>do</t>
  </si>
  <si>
    <t>α</t>
  </si>
  <si>
    <t>ρst</t>
  </si>
  <si>
    <t>ρrust</t>
  </si>
  <si>
    <t>νc</t>
  </si>
  <si>
    <t>psi</t>
  </si>
  <si>
    <t>Φcr</t>
  </si>
  <si>
    <t>mils</t>
  </si>
  <si>
    <t>lb/ft3</t>
  </si>
  <si>
    <t>in</t>
  </si>
  <si>
    <t>kp</t>
  </si>
  <si>
    <t>w/c</t>
  </si>
  <si>
    <t>μA/cm2</t>
  </si>
  <si>
    <t>mA/ft2</t>
  </si>
  <si>
    <t>a</t>
  </si>
  <si>
    <t>b</t>
  </si>
  <si>
    <t>1st term</t>
  </si>
  <si>
    <t>Denominator</t>
  </si>
  <si>
    <t>Tcr</t>
  </si>
  <si>
    <t>kg2/m2</t>
  </si>
  <si>
    <t>lb2/ft2</t>
  </si>
  <si>
    <t>ft</t>
  </si>
  <si>
    <t>mm/y</t>
  </si>
  <si>
    <t>in/y</t>
  </si>
  <si>
    <t>g/(m2*day)</t>
  </si>
  <si>
    <t>lb/(ft2*year)</t>
  </si>
  <si>
    <t>A/m2</t>
  </si>
  <si>
    <t>m</t>
  </si>
  <si>
    <t>s</t>
  </si>
  <si>
    <t>y</t>
  </si>
  <si>
    <t>CL</t>
  </si>
  <si>
    <t>fy</t>
  </si>
  <si>
    <t>fu</t>
  </si>
  <si>
    <t>fy0</t>
  </si>
  <si>
    <t>fu0</t>
  </si>
  <si>
    <t>T</t>
  </si>
  <si>
    <t>FY/FT</t>
  </si>
  <si>
    <r>
      <t>2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</si>
  <si>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t>5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</si>
  <si>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rPr>
        <sz val="11"/>
        <color theme="1"/>
        <rFont val="Calibri"/>
        <family val="2"/>
      </rPr>
      <t>10ε</t>
    </r>
    <r>
      <rPr>
        <vertAlign val="subscript"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</si>
</sst>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dc=1 5/8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1.9491089651021061</c:v>
                </c:pt>
                <c:pt idx="1">
                  <c:v>2.16672216352194</c:v>
                </c:pt>
                <c:pt idx="2">
                  <c:v>2.2906005831989562</c:v>
                </c:pt>
                <c:pt idx="3">
                  <c:v>2.9218671737268744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493-9D5C-7488ECA67279}"/>
            </c:ext>
          </c:extLst>
        </c:ser>
        <c:ser>
          <c:idx val="1"/>
          <c:order val="1"/>
          <c:tx>
            <c:v>dc= 2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1.5592871720816848</c:v>
                </c:pt>
                <c:pt idx="1">
                  <c:v>1.733377730817552</c:v>
                </c:pt>
                <c:pt idx="2">
                  <c:v>1.8324804665591647</c:v>
                </c:pt>
                <c:pt idx="3">
                  <c:v>2.3374937389814994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493-9D5C-7488ECA67279}"/>
            </c:ext>
          </c:extLst>
        </c:ser>
        <c:ser>
          <c:idx val="2"/>
          <c:order val="2"/>
          <c:tx>
            <c:v>dc=3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Sheet1!$F$5:$F$8</c:f>
              <c:numCache>
                <c:formatCode>General</c:formatCode>
                <c:ptCount val="4"/>
                <c:pt idx="0">
                  <c:v>1.0395247813877899</c:v>
                </c:pt>
                <c:pt idx="1">
                  <c:v>1.1555851538783679</c:v>
                </c:pt>
                <c:pt idx="2">
                  <c:v>1.2216536443727766</c:v>
                </c:pt>
                <c:pt idx="3">
                  <c:v>1.5583291593209996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4DC6-B582-96822F47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2856"/>
        <c:axId val="476403184"/>
      </c:scatterChart>
      <c:valAx>
        <c:axId val="476402856"/>
        <c:scaling>
          <c:orientation val="minMax"/>
          <c:max val="0.52500000000000002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w/c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3184"/>
        <c:crosses val="autoZero"/>
        <c:crossBetween val="midCat"/>
        <c:majorUnit val="2.5000000000000005E-2"/>
      </c:valAx>
      <c:valAx>
        <c:axId val="47640318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icor(</a:t>
                </a: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A/cm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2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102515750430649"/>
          <c:y val="0.44697968309516872"/>
          <c:w val="0.17315099780717541"/>
          <c:h val="0.166667833187518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w/c=0.36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Sheet2!$D$50:$D$73</c:f>
              <c:numCache>
                <c:formatCode>General</c:formatCode>
                <c:ptCount val="24"/>
                <c:pt idx="0">
                  <c:v>0.74506530483898725</c:v>
                </c:pt>
                <c:pt idx="1">
                  <c:v>0.74453308375157368</c:v>
                </c:pt>
                <c:pt idx="2">
                  <c:v>0.74402126724230888</c:v>
                </c:pt>
                <c:pt idx="3">
                  <c:v>0.74352677583696258</c:v>
                </c:pt>
                <c:pt idx="4">
                  <c:v>0.74304726983538649</c:v>
                </c:pt>
                <c:pt idx="5">
                  <c:v>0.74258091793826897</c:v>
                </c:pt>
                <c:pt idx="6">
                  <c:v>0.74212625213420225</c:v>
                </c:pt>
                <c:pt idx="7">
                  <c:v>0.74168207232912142</c:v>
                </c:pt>
                <c:pt idx="8">
                  <c:v>0.74124738123333467</c:v>
                </c:pt>
                <c:pt idx="9">
                  <c:v>0.74082133847659459</c:v>
                </c:pt>
                <c:pt idx="10">
                  <c:v>0.74040322739662956</c:v>
                </c:pt>
                <c:pt idx="11">
                  <c:v>0.73655340955618331</c:v>
                </c:pt>
                <c:pt idx="12">
                  <c:v>0.7331144819703318</c:v>
                </c:pt>
                <c:pt idx="13">
                  <c:v>0.72994235550458131</c:v>
                </c:pt>
                <c:pt idx="14">
                  <c:v>0.72696392265787313</c:v>
                </c:pt>
                <c:pt idx="15">
                  <c:v>0.72413553507543715</c:v>
                </c:pt>
                <c:pt idx="16">
                  <c:v>0.72142845544552847</c:v>
                </c:pt>
                <c:pt idx="17">
                  <c:v>0.71882247409659372</c:v>
                </c:pt>
                <c:pt idx="18">
                  <c:v>0.71630268450143153</c:v>
                </c:pt>
                <c:pt idx="19">
                  <c:v>0.7138576868735701</c:v>
                </c:pt>
                <c:pt idx="20">
                  <c:v>0.71147851205598589</c:v>
                </c:pt>
                <c:pt idx="21">
                  <c:v>0.7091579396763229</c:v>
                </c:pt>
                <c:pt idx="22">
                  <c:v>0.70689004631766394</c:v>
                </c:pt>
                <c:pt idx="23">
                  <c:v>0.70466989493238885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A-44E2-9EC2-8DFA371D009B}"/>
            </c:ext>
          </c:extLst>
        </c:ser>
        <c:ser>
          <c:idx val="1"/>
          <c:order val="1"/>
          <c:tx>
            <c:v>w/c=0.40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Sheet2!$E$50:$E$73</c:f>
              <c:numCache>
                <c:formatCode>General</c:formatCode>
                <c:ptCount val="24"/>
                <c:pt idx="0">
                  <c:v>0.74451435832114665</c:v>
                </c:pt>
                <c:pt idx="1">
                  <c:v>0.74392271606479266</c:v>
                </c:pt>
                <c:pt idx="2">
                  <c:v>0.74335375650730473</c:v>
                </c:pt>
                <c:pt idx="3">
                  <c:v>0.74280405635876601</c:v>
                </c:pt>
                <c:pt idx="4">
                  <c:v>0.7422710146972894</c:v>
                </c:pt>
                <c:pt idx="5">
                  <c:v>0.74175259576352193</c:v>
                </c:pt>
                <c:pt idx="6">
                  <c:v>0.74124716764621013</c:v>
                </c:pt>
                <c:pt idx="7">
                  <c:v>0.74075339626375314</c:v>
                </c:pt>
                <c:pt idx="8">
                  <c:v>0.74027017298153031</c:v>
                </c:pt>
                <c:pt idx="9">
                  <c:v>0.73979656360403279</c:v>
                </c:pt>
                <c:pt idx="10">
                  <c:v>0.73933177145541795</c:v>
                </c:pt>
                <c:pt idx="11">
                  <c:v>0.73505213096852517</c:v>
                </c:pt>
                <c:pt idx="12">
                  <c:v>0.73122925561757168</c:v>
                </c:pt>
                <c:pt idx="13">
                  <c:v>0.72770296907233667</c:v>
                </c:pt>
                <c:pt idx="14">
                  <c:v>0.72439200155996564</c:v>
                </c:pt>
                <c:pt idx="15">
                  <c:v>0.7212478314947619</c:v>
                </c:pt>
                <c:pt idx="16">
                  <c:v>0.71823851311515308</c:v>
                </c:pt>
                <c:pt idx="17">
                  <c:v>0.71534158038970852</c:v>
                </c:pt>
                <c:pt idx="18">
                  <c:v>0.71254046251430836</c:v>
                </c:pt>
                <c:pt idx="19">
                  <c:v>0.70982248694449812</c:v>
                </c:pt>
                <c:pt idx="20">
                  <c:v>0.70717768313904084</c:v>
                </c:pt>
                <c:pt idx="21">
                  <c:v>0.70459802458885346</c:v>
                </c:pt>
                <c:pt idx="22">
                  <c:v>0.70207692654216047</c:v>
                </c:pt>
                <c:pt idx="23">
                  <c:v>0.69960890074217796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A-44E2-9EC2-8DFA371D009B}"/>
            </c:ext>
          </c:extLst>
        </c:ser>
        <c:ser>
          <c:idx val="2"/>
          <c:order val="2"/>
          <c:tx>
            <c:v>w/c=0.42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Sheet2!$F$50:$F$73</c:f>
              <c:numCache>
                <c:formatCode>General</c:formatCode>
                <c:ptCount val="24"/>
                <c:pt idx="0">
                  <c:v>0.7436729586027887</c:v>
                </c:pt>
                <c:pt idx="1">
                  <c:v>0.7429905689631735</c:v>
                </c:pt>
                <c:pt idx="2">
                  <c:v>0.74233434114438568</c:v>
                </c:pt>
                <c:pt idx="3">
                  <c:v>0.7417003267848139</c:v>
                </c:pt>
                <c:pt idx="4">
                  <c:v>0.7410855260274839</c:v>
                </c:pt>
                <c:pt idx="5">
                  <c:v>0.74048759086382021</c:v>
                </c:pt>
                <c:pt idx="6">
                  <c:v>0.73990463907645254</c:v>
                </c:pt>
                <c:pt idx="7">
                  <c:v>0.73933513195942635</c:v>
                </c:pt>
                <c:pt idx="8">
                  <c:v>0.73877779083331774</c:v>
                </c:pt>
                <c:pt idx="9">
                  <c:v>0.73823153821366783</c:v>
                </c:pt>
                <c:pt idx="10">
                  <c:v>0.7376954552287508</c:v>
                </c:pt>
                <c:pt idx="11">
                  <c:v>0.73275939412396995</c:v>
                </c:pt>
                <c:pt idx="12">
                  <c:v>0.72835015779067047</c:v>
                </c:pt>
                <c:pt idx="13">
                  <c:v>0.7242830017027807</c:v>
                </c:pt>
                <c:pt idx="14">
                  <c:v>0.7204641907519399</c:v>
                </c:pt>
                <c:pt idx="15">
                  <c:v>0.71683776100551588</c:v>
                </c:pt>
                <c:pt idx="16">
                  <c:v>0.71336686679115779</c:v>
                </c:pt>
                <c:pt idx="17">
                  <c:v>0.71002559618839844</c:v>
                </c:pt>
                <c:pt idx="18">
                  <c:v>0.70679483672694032</c:v>
                </c:pt>
                <c:pt idx="19">
                  <c:v>0.70365997211974385</c:v>
                </c:pt>
                <c:pt idx="20">
                  <c:v>0.70060950252215104</c:v>
                </c:pt>
                <c:pt idx="21">
                  <c:v>0.6976341703015605</c:v>
                </c:pt>
                <c:pt idx="22">
                  <c:v>0.69472638072256843</c:v>
                </c:pt>
                <c:pt idx="23">
                  <c:v>0.69187980372756153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A-44E2-9EC2-8DFA371D009B}"/>
            </c:ext>
          </c:extLst>
        </c:ser>
        <c:ser>
          <c:idx val="3"/>
          <c:order val="3"/>
          <c:tx>
            <c:v>w/c=0.5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Sheet2!$G$50:$G$73</c:f>
              <c:numCache>
                <c:formatCode>General</c:formatCode>
                <c:ptCount val="24"/>
                <c:pt idx="0">
                  <c:v>0.74260250501051028</c:v>
                </c:pt>
                <c:pt idx="1">
                  <c:v>0.74180466386754618</c:v>
                </c:pt>
                <c:pt idx="2">
                  <c:v>0.74103741078720653</c:v>
                </c:pt>
                <c:pt idx="3">
                  <c:v>0.74029612939615019</c:v>
                </c:pt>
                <c:pt idx="4">
                  <c:v>0.73957731230039236</c:v>
                </c:pt>
                <c:pt idx="5">
                  <c:v>0.73887821423866773</c:v>
                </c:pt>
                <c:pt idx="6">
                  <c:v>0.73819663454676498</c:v>
                </c:pt>
                <c:pt idx="7">
                  <c:v>0.73753077418957869</c:v>
                </c:pt>
                <c:pt idx="8">
                  <c:v>0.73687913815166017</c:v>
                </c:pt>
                <c:pt idx="9">
                  <c:v>0.73624046665211285</c:v>
                </c:pt>
                <c:pt idx="10">
                  <c:v>0.73561368535799609</c:v>
                </c:pt>
                <c:pt idx="11">
                  <c:v>0.72984250654027494</c:v>
                </c:pt>
                <c:pt idx="12">
                  <c:v>0.72468728443323538</c:v>
                </c:pt>
                <c:pt idx="13">
                  <c:v>0.71993201812584295</c:v>
                </c:pt>
                <c:pt idx="14">
                  <c:v>0.71546711374144867</c:v>
                </c:pt>
                <c:pt idx="15">
                  <c:v>0.71122713897366363</c:v>
                </c:pt>
                <c:pt idx="16">
                  <c:v>0.70716901433880996</c:v>
                </c:pt>
                <c:pt idx="17">
                  <c:v>0.70326244395453297</c:v>
                </c:pt>
                <c:pt idx="18">
                  <c:v>0.69948508176769519</c:v>
                </c:pt>
                <c:pt idx="19">
                  <c:v>0.69581983860448704</c:v>
                </c:pt>
                <c:pt idx="20">
                  <c:v>0.69225326899523332</c:v>
                </c:pt>
                <c:pt idx="21">
                  <c:v>0.68877454903560342</c:v>
                </c:pt>
                <c:pt idx="22">
                  <c:v>0.68537479905916643</c:v>
                </c:pt>
                <c:pt idx="23">
                  <c:v>0.6820466180444128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A-44E2-9EC2-8DFA371D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  <c:minorUnit val="5"/>
      </c:valAx>
      <c:valAx>
        <c:axId val="480084912"/>
        <c:scaling>
          <c:orientation val="minMax"/>
          <c:max val="0.7500000000000001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Diameter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5.000000000000001E-2"/>
        <c:minorUnit val="2.5000000000000005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27305797301653"/>
          <c:y val="0.41535175750090064"/>
          <c:w val="0.20941773725652715"/>
          <c:h val="0.39524779990736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w/c=0.36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Sheet2!$L$19:$L$42</c:f>
              <c:numCache>
                <c:formatCode>0%</c:formatCode>
                <c:ptCount val="24"/>
                <c:pt idx="0">
                  <c:v>1.3115896044776988E-2</c:v>
                </c:pt>
                <c:pt idx="1">
                  <c:v>1.4525310576661706E-2</c:v>
                </c:pt>
                <c:pt idx="2">
                  <c:v>1.5879740250931092E-2</c:v>
                </c:pt>
                <c:pt idx="3">
                  <c:v>1.718743753509535E-2</c:v>
                </c:pt>
                <c:pt idx="4">
                  <c:v>1.8454675182539338E-2</c:v>
                </c:pt>
                <c:pt idx="5">
                  <c:v>1.9686365002591605E-2</c:v>
                </c:pt>
                <c:pt idx="6">
                  <c:v>2.088644603243121E-2</c:v>
                </c:pt>
                <c:pt idx="7">
                  <c:v>2.2058139707697769E-2</c:v>
                </c:pt>
                <c:pt idx="8">
                  <c:v>2.3204124115064107E-2</c:v>
                </c:pt>
                <c:pt idx="9">
                  <c:v>2.4326656813772104E-2</c:v>
                </c:pt>
                <c:pt idx="10">
                  <c:v>2.542766375227529E-2</c:v>
                </c:pt>
                <c:pt idx="11">
                  <c:v>3.5536133104286764E-2</c:v>
                </c:pt>
                <c:pt idx="12">
                  <c:v>4.4521166800661358E-2</c:v>
                </c:pt>
                <c:pt idx="13">
                  <c:v>5.277183580519737E-2</c:v>
                </c:pt>
                <c:pt idx="14">
                  <c:v>6.0486142495782706E-2</c:v>
                </c:pt>
                <c:pt idx="15">
                  <c:v>6.7782625495129464E-2</c:v>
                </c:pt>
                <c:pt idx="16">
                  <c:v>7.4739526530629347E-2</c:v>
                </c:pt>
                <c:pt idx="17">
                  <c:v>8.1412001304269663E-2</c:v>
                </c:pt>
                <c:pt idx="18">
                  <c:v>8.7840825201853684E-2</c:v>
                </c:pt>
                <c:pt idx="19">
                  <c:v>9.4057249584917235E-2</c:v>
                </c:pt>
                <c:pt idx="20">
                  <c:v>0.10008591445795618</c:v>
                </c:pt>
                <c:pt idx="21">
                  <c:v>0.10594669616716922</c:v>
                </c:pt>
                <c:pt idx="22">
                  <c:v>0.11165593318579724</c:v>
                </c:pt>
                <c:pt idx="23">
                  <c:v>0.11722726964617956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2-4B45-9CE5-D8909784F857}"/>
            </c:ext>
          </c:extLst>
        </c:ser>
        <c:ser>
          <c:idx val="1"/>
          <c:order val="1"/>
          <c:tx>
            <c:v>w/c=0.40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Sheet2!$M$19:$M$42</c:f>
              <c:numCache>
                <c:formatCode>0%</c:formatCode>
                <c:ptCount val="24"/>
                <c:pt idx="0">
                  <c:v>1.4574880450935334E-2</c:v>
                </c:pt>
                <c:pt idx="1">
                  <c:v>1.6140431151612161E-2</c:v>
                </c:pt>
                <c:pt idx="2">
                  <c:v>1.7644786998184253E-2</c:v>
                </c:pt>
                <c:pt idx="3">
                  <c:v>1.9097126856823483E-2</c:v>
                </c:pt>
                <c:pt idx="4">
                  <c:v>2.0504427982677882E-2</c:v>
                </c:pt>
                <c:pt idx="5">
                  <c:v>2.1872154094359612E-2</c:v>
                </c:pt>
                <c:pt idx="6">
                  <c:v>2.3204687033726728E-2</c:v>
                </c:pt>
                <c:pt idx="7">
                  <c:v>2.4505610531048681E-2</c:v>
                </c:pt>
                <c:pt idx="8">
                  <c:v>2.5777903989146728E-2</c:v>
                </c:pt>
                <c:pt idx="9">
                  <c:v>2.7024079074958466E-2</c:v>
                </c:pt>
                <c:pt idx="10">
                  <c:v>2.8246278607277589E-2</c:v>
                </c:pt>
                <c:pt idx="11">
                  <c:v>3.9463759570898087E-2</c:v>
                </c:pt>
                <c:pt idx="12">
                  <c:v>4.9428934629283702E-2</c:v>
                </c:pt>
                <c:pt idx="13">
                  <c:v>5.8574913428099312E-2</c:v>
                </c:pt>
                <c:pt idx="14">
                  <c:v>6.7122183246127468E-2</c:v>
                </c:pt>
                <c:pt idx="15">
                  <c:v>7.5202783225072886E-2</c:v>
                </c:pt>
                <c:pt idx="16">
                  <c:v>8.2903890272238295E-2</c:v>
                </c:pt>
                <c:pt idx="17">
                  <c:v>9.0286974872096568E-2</c:v>
                </c:pt>
                <c:pt idx="18">
                  <c:v>9.7397492053147225E-2</c:v>
                </c:pt>
                <c:pt idx="19">
                  <c:v>0.10427028804964936</c:v>
                </c:pt>
                <c:pt idx="20">
                  <c:v>0.1109328435023971</c:v>
                </c:pt>
                <c:pt idx="21">
                  <c:v>0.11740733110308527</c:v>
                </c:pt>
                <c:pt idx="22">
                  <c:v>0.12371198083042456</c:v>
                </c:pt>
                <c:pt idx="23">
                  <c:v>0.12986201955968252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2-4B45-9CE5-D8909784F857}"/>
            </c:ext>
          </c:extLst>
        </c:ser>
        <c:ser>
          <c:idx val="2"/>
          <c:order val="2"/>
          <c:tx>
            <c:v>w/c=0.42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Sheet2!$N$19:$N$42</c:f>
              <c:numCache>
                <c:formatCode>0%</c:formatCode>
                <c:ptCount val="24"/>
                <c:pt idx="0">
                  <c:v>1.6800943365288604E-2</c:v>
                </c:pt>
                <c:pt idx="1">
                  <c:v>1.8604470100941489E-2</c:v>
                </c:pt>
                <c:pt idx="2">
                  <c:v>2.0337290591521617E-2</c:v>
                </c:pt>
                <c:pt idx="3">
                  <c:v>2.2010000439645031E-2</c:v>
                </c:pt>
                <c:pt idx="4">
                  <c:v>2.363065442234202E-2</c:v>
                </c:pt>
                <c:pt idx="5">
                  <c:v>2.5205560491903395E-2</c:v>
                </c:pt>
                <c:pt idx="6">
                  <c:v>2.6739777907812453E-2</c:v>
                </c:pt>
                <c:pt idx="7">
                  <c:v>2.8237444712066836E-2</c:v>
                </c:pt>
                <c:pt idx="8">
                  <c:v>2.9702001371453519E-2</c:v>
                </c:pt>
                <c:pt idx="9">
                  <c:v>3.1136348420767727E-2</c:v>
                </c:pt>
                <c:pt idx="10">
                  <c:v>3.2542960595281653E-2</c:v>
                </c:pt>
                <c:pt idx="11">
                  <c:v>4.5446525018795772E-2</c:v>
                </c:pt>
                <c:pt idx="12">
                  <c:v>5.6899640260098437E-2</c:v>
                </c:pt>
                <c:pt idx="13">
                  <c:v>6.740290390117297E-2</c:v>
                </c:pt>
                <c:pt idx="14">
                  <c:v>7.7211288611826315E-2</c:v>
                </c:pt>
                <c:pt idx="15">
                  <c:v>8.6477554482842292E-2</c:v>
                </c:pt>
                <c:pt idx="16">
                  <c:v>9.5302601537007231E-2</c:v>
                </c:pt>
                <c:pt idx="17">
                  <c:v>0.10375760490188315</c:v>
                </c:pt>
                <c:pt idx="18">
                  <c:v>0.11189521560202263</c:v>
                </c:pt>
                <c:pt idx="19">
                  <c:v>0.11975581090922893</c:v>
                </c:pt>
                <c:pt idx="20">
                  <c:v>0.12737124440118064</c:v>
                </c:pt>
                <c:pt idx="21">
                  <c:v>0.13476722564916119</c:v>
                </c:pt>
                <c:pt idx="22">
                  <c:v>0.14196489942777052</c:v>
                </c:pt>
                <c:pt idx="23">
                  <c:v>0.14898193278917493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2-4B45-9CE5-D8909784F857}"/>
            </c:ext>
          </c:extLst>
        </c:ser>
        <c:ser>
          <c:idx val="3"/>
          <c:order val="3"/>
          <c:tx>
            <c:v>w/c=0.50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Sheet2!$O$19:$O$42</c:f>
              <c:numCache>
                <c:formatCode>0%</c:formatCode>
                <c:ptCount val="24"/>
                <c:pt idx="0">
                  <c:v>1.9629368092648692E-2</c:v>
                </c:pt>
                <c:pt idx="1">
                  <c:v>2.17348278477454E-2</c:v>
                </c:pt>
                <c:pt idx="2">
                  <c:v>2.3757432557854105E-2</c:v>
                </c:pt>
                <c:pt idx="3">
                  <c:v>2.5709583646361615E-2</c:v>
                </c:pt>
                <c:pt idx="4">
                  <c:v>2.7600709565382867E-2</c:v>
                </c:pt>
                <c:pt idx="5">
                  <c:v>2.9438194708404072E-2</c:v>
                </c:pt>
                <c:pt idx="6">
                  <c:v>3.1227962211252999E-2</c:v>
                </c:pt>
                <c:pt idx="7">
                  <c:v>3.297485710812554E-2</c:v>
                </c:pt>
                <c:pt idx="8">
                  <c:v>3.468290801220697E-2</c:v>
                </c:pt>
                <c:pt idx="9">
                  <c:v>3.6355511580229649E-2</c:v>
                </c:pt>
                <c:pt idx="10">
                  <c:v>3.7995566069381592E-2</c:v>
                </c:pt>
                <c:pt idx="11">
                  <c:v>5.3030961150237782E-2</c:v>
                </c:pt>
                <c:pt idx="12">
                  <c:v>6.6361492943614209E-2</c:v>
                </c:pt>
                <c:pt idx="13">
                  <c:v>7.8574025381779322E-2</c:v>
                </c:pt>
                <c:pt idx="14">
                  <c:v>8.9967660719077136E-2</c:v>
                </c:pt>
                <c:pt idx="15">
                  <c:v>0.10072170095526568</c:v>
                </c:pt>
                <c:pt idx="16">
                  <c:v>0.11095464028280172</c:v>
                </c:pt>
                <c:pt idx="17">
                  <c:v>0.12075010652995077</c:v>
                </c:pt>
                <c:pt idx="18">
                  <c:v>0.1301699917945614</c:v>
                </c:pt>
                <c:pt idx="19">
                  <c:v>0.13926178169675663</c:v>
                </c:pt>
                <c:pt idx="20">
                  <c:v>0.14806295389406762</c:v>
                </c:pt>
                <c:pt idx="21">
                  <c:v>0.15660376995697972</c:v>
                </c:pt>
                <c:pt idx="22">
                  <c:v>0.16490912855930168</c:v>
                </c:pt>
                <c:pt idx="23">
                  <c:v>0.17299984144742922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2-4B45-9CE5-D8909784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  <c:majorUnit val="10"/>
        <c:minorUnit val="5"/>
      </c:valAx>
      <c:valAx>
        <c:axId val="48008491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Corrosion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Level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1989570382649537"/>
          <c:y val="0.19243219597550304"/>
          <c:w val="0.17708822581387854"/>
          <c:h val="0.30822133534678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</a:t>
            </a:r>
            <a:r>
              <a:rPr lang="en-US" sz="2800" baseline="0"/>
              <a:t> on Fy and Fu</a:t>
            </a:r>
            <a:endParaRPr lang="en-US" sz="2800"/>
          </a:p>
        </c:rich>
      </c:tx>
      <c:layout>
        <c:manualLayout>
          <c:xMode val="edge"/>
          <c:yMode val="edge"/>
          <c:x val="0.32473009429869398"/>
          <c:y val="2.7777677675874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Sheet3!$C$11:$C$19</c:f>
              <c:numCache>
                <c:formatCode>General</c:formatCode>
                <c:ptCount val="9"/>
                <c:pt idx="0">
                  <c:v>58.74</c:v>
                </c:pt>
                <c:pt idx="1">
                  <c:v>57.48</c:v>
                </c:pt>
                <c:pt idx="2">
                  <c:v>56.220000000000006</c:v>
                </c:pt>
                <c:pt idx="3">
                  <c:v>54.96</c:v>
                </c:pt>
                <c:pt idx="4">
                  <c:v>53.7</c:v>
                </c:pt>
                <c:pt idx="5">
                  <c:v>50.550000000000004</c:v>
                </c:pt>
                <c:pt idx="6">
                  <c:v>47.400000000000006</c:v>
                </c:pt>
                <c:pt idx="7">
                  <c:v>44.25</c:v>
                </c:pt>
                <c:pt idx="8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0-4BC3-B51E-34DD9113FAC1}"/>
            </c:ext>
          </c:extLst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fu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Sheet3!$D$11:$D$19</c:f>
              <c:numCache>
                <c:formatCode>General</c:formatCode>
                <c:ptCount val="9"/>
                <c:pt idx="0">
                  <c:v>89.91</c:v>
                </c:pt>
                <c:pt idx="1">
                  <c:v>88.2</c:v>
                </c:pt>
                <c:pt idx="2">
                  <c:v>86.490000000000009</c:v>
                </c:pt>
                <c:pt idx="3">
                  <c:v>84.78</c:v>
                </c:pt>
                <c:pt idx="4">
                  <c:v>83.070000000000007</c:v>
                </c:pt>
                <c:pt idx="5">
                  <c:v>78.795000000000002</c:v>
                </c:pt>
                <c:pt idx="6">
                  <c:v>74.52000000000001</c:v>
                </c:pt>
                <c:pt idx="7">
                  <c:v>70.245000000000005</c:v>
                </c:pt>
                <c:pt idx="8">
                  <c:v>65.970000000000013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0-4BC3-B51E-34DD9113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99999"/>
        <c:axId val="613634575"/>
      </c:scatterChart>
      <c:valAx>
        <c:axId val="213189999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4575"/>
        <c:crosses val="autoZero"/>
        <c:crossBetween val="midCat"/>
        <c:majorUnit val="2.5"/>
      </c:valAx>
      <c:valAx>
        <c:axId val="613634575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9999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1808214441847"/>
          <c:y val="0.37927079767203015"/>
          <c:w val="0.14335695371834062"/>
          <c:h val="0.24696871415100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'Strain Aging'!$C$15</c:f>
              <c:strCache>
                <c:ptCount val="1"/>
                <c:pt idx="0">
                  <c:v>2εy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Aging'!$C$16:$C$22</c:f>
              <c:numCache>
                <c:formatCode>General</c:formatCode>
                <c:ptCount val="7"/>
                <c:pt idx="0">
                  <c:v>0.99990000000000001</c:v>
                </c:pt>
                <c:pt idx="1">
                  <c:v>1.0019</c:v>
                </c:pt>
                <c:pt idx="2">
                  <c:v>1.0039</c:v>
                </c:pt>
                <c:pt idx="3">
                  <c:v>1.0059</c:v>
                </c:pt>
                <c:pt idx="4">
                  <c:v>1.0079</c:v>
                </c:pt>
                <c:pt idx="5">
                  <c:v>1.0099</c:v>
                </c:pt>
                <c:pt idx="6">
                  <c:v>1.0119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3-4735-BE32-E5F62759A091}"/>
            </c:ext>
          </c:extLst>
        </c:ser>
        <c:ser>
          <c:idx val="1"/>
          <c:order val="1"/>
          <c:tx>
            <c:strRef>
              <c:f>'Strain Aging'!$D$15</c:f>
              <c:strCache>
                <c:ptCount val="1"/>
                <c:pt idx="0">
                  <c:v>5εy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Aging'!$D$16:$D$22</c:f>
              <c:numCache>
                <c:formatCode>General</c:formatCode>
                <c:ptCount val="7"/>
                <c:pt idx="0">
                  <c:v>1</c:v>
                </c:pt>
                <c:pt idx="1">
                  <c:v>1.004</c:v>
                </c:pt>
                <c:pt idx="2">
                  <c:v>1.008</c:v>
                </c:pt>
                <c:pt idx="3">
                  <c:v>1.012</c:v>
                </c:pt>
                <c:pt idx="4">
                  <c:v>1.016</c:v>
                </c:pt>
                <c:pt idx="5">
                  <c:v>1.02</c:v>
                </c:pt>
                <c:pt idx="6">
                  <c:v>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3-4735-BE32-E5F62759A091}"/>
            </c:ext>
          </c:extLst>
        </c:ser>
        <c:ser>
          <c:idx val="2"/>
          <c:order val="2"/>
          <c:tx>
            <c:strRef>
              <c:f>'Strain Aging'!$E$15</c:f>
              <c:strCache>
                <c:ptCount val="1"/>
                <c:pt idx="0">
                  <c:v>10εy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Aging'!$E$16:$E$22</c:f>
              <c:numCache>
                <c:formatCode>General</c:formatCode>
                <c:ptCount val="7"/>
                <c:pt idx="0">
                  <c:v>0.99680000000000002</c:v>
                </c:pt>
                <c:pt idx="1">
                  <c:v>1.0098</c:v>
                </c:pt>
                <c:pt idx="2">
                  <c:v>1.0227999999999999</c:v>
                </c:pt>
                <c:pt idx="3">
                  <c:v>1.0358000000000001</c:v>
                </c:pt>
                <c:pt idx="4">
                  <c:v>1.0488</c:v>
                </c:pt>
                <c:pt idx="5">
                  <c:v>1.0618000000000001</c:v>
                </c:pt>
                <c:pt idx="6">
                  <c:v>1.0748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3-4735-BE32-E5F62759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49151"/>
        <c:axId val="750805423"/>
      </c:scatterChart>
      <c:valAx>
        <c:axId val="9582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5423"/>
        <c:crosses val="autoZero"/>
        <c:crossBetween val="midCat"/>
      </c:valAx>
      <c:valAx>
        <c:axId val="750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1400" baseline="-25000">
                    <a:solidFill>
                      <a:sysClr val="windowText" lastClr="000000"/>
                    </a:solidFill>
                  </a:rPr>
                  <a:t>y,t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/F</a:t>
                </a:r>
                <a:r>
                  <a:rPr lang="en-US" sz="1400" baseline="-25000">
                    <a:solidFill>
                      <a:sysClr val="windowText" lastClr="000000"/>
                    </a:solidFill>
                  </a:rPr>
                  <a:t>y,i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491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05818022747157"/>
          <c:y val="0.34317074948964704"/>
          <c:w val="0.13376879178696691"/>
          <c:h val="0.23023381291097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47625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400049</xdr:colOff>
      <xdr:row>3</xdr:row>
      <xdr:rowOff>180974</xdr:rowOff>
    </xdr:from>
    <xdr:to>
      <xdr:col>18</xdr:col>
      <xdr:colOff>123824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561975</xdr:colOff>
      <xdr:row>10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390525</xdr:colOff>
      <xdr:row>50</xdr:row>
      <xdr:rowOff>0</xdr:rowOff>
    </xdr:from>
    <xdr:to>
      <xdr:col>18</xdr:col>
      <xdr:colOff>116205</xdr:colOff>
      <xdr:row>70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21</xdr:row>
      <xdr:rowOff>9525</xdr:rowOff>
    </xdr:from>
    <xdr:to>
      <xdr:col>31</xdr:col>
      <xdr:colOff>373380</xdr:colOff>
      <xdr:row>41</xdr:row>
      <xdr:rowOff>85725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58188</xdr:colOff>
      <xdr:row>7</xdr:row>
      <xdr:rowOff>41563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C671BCD8-262D-4460-9B29-F293E3BCD7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78428" cy="1321723"/>
        </a:xfrm>
        <a:prstGeom prst="rect">
          <a:avLst/>
        </a:prstGeom>
      </xdr:spPr>
    </xdr:pic>
    <xdr:clientData/>
  </xdr:twoCellAnchor>
  <xdr:twoCellAnchor>
    <xdr:from>
      <xdr:col>5</xdr:col>
      <xdr:colOff>624840</xdr:colOff>
      <xdr:row>7</xdr:row>
      <xdr:rowOff>163830</xdr:rowOff>
    </xdr:from>
    <xdr:to>
      <xdr:col>19</xdr:col>
      <xdr:colOff>144780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70BEE-2C24-4410-AE4C-497E1B36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399012</xdr:colOff>
      <xdr:row>11</xdr:row>
      <xdr:rowOff>108066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A0BB292F-02AC-434B-A2D6-C79985EE1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3599412" cy="2119746"/>
        </a:xfrm>
        <a:prstGeom prst="rect">
          <a:avLst/>
        </a:prstGeom>
      </xdr:spPr>
    </xdr:pic>
    <xdr:clientData/>
  </xdr:twoCellAnchor>
  <xdr:twoCellAnchor>
    <xdr:from>
      <xdr:col>7</xdr:col>
      <xdr:colOff>154305</xdr:colOff>
      <xdr:row>14</xdr:row>
      <xdr:rowOff>140969</xdr:rowOff>
    </xdr:from>
    <xdr:to>
      <xdr:col>15</xdr:col>
      <xdr:colOff>489585</xdr:colOff>
      <xdr:row>34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E973F-5F2A-44C6-BFCF-AE35698B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13</xdr:row>
      <xdr:rowOff>188595</xdr:rowOff>
    </xdr:from>
    <xdr:to>
      <xdr:col>7</xdr:col>
      <xdr:colOff>152400</xdr:colOff>
      <xdr:row>15</xdr:row>
      <xdr:rowOff>177165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1AE99-2CF2-499E-925E-A85203F4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2665095"/>
          <a:ext cx="142875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opLeftCell="A2" workbookViewId="0">
      <selection activeCell="J23" sqref="J23"/>
    </sheetView>
  </sheetViews>
  <sheetFormatPr defaultRowHeight="15" x14ac:dyDescent="0.25"/>
  <sheetData>
    <row r="3" spans="1:8" x14ac:dyDescent="0.25">
      <c r="D3">
        <v>40</v>
      </c>
      <c r="E3">
        <v>50</v>
      </c>
      <c r="F3">
        <v>75</v>
      </c>
    </row>
    <row r="4" spans="1:8" x14ac:dyDescent="0.25">
      <c r="A4" t="s">
        <v>0</v>
      </c>
      <c r="C4" t="s">
        <v>1</v>
      </c>
      <c r="D4" t="s">
        <v>2</v>
      </c>
      <c r="E4" t="s">
        <v>2</v>
      </c>
    </row>
    <row r="5" spans="1:8" x14ac:dyDescent="0.25">
      <c r="C5">
        <v>0.36</v>
      </c>
      <c r="D5">
        <f t="shared" ref="D5:D6" si="0">37.5*((1-C5)^(-1.64))/$D$3</f>
        <v>1.9491089651021061</v>
      </c>
      <c r="E5">
        <f t="shared" ref="E5:E8" si="1">37.5*((1-C5)^(-1.64))/$E$3</f>
        <v>1.5592871720816848</v>
      </c>
      <c r="F5">
        <f>37.5*((1-C5)^(-1.64))/$F$3</f>
        <v>1.0395247813877899</v>
      </c>
    </row>
    <row r="6" spans="1:8" x14ac:dyDescent="0.25">
      <c r="C6">
        <v>0.4</v>
      </c>
      <c r="D6">
        <f t="shared" si="0"/>
        <v>2.16672216352194</v>
      </c>
      <c r="E6">
        <f t="shared" si="1"/>
        <v>1.733377730817552</v>
      </c>
      <c r="F6">
        <f t="shared" ref="F6:F8" si="2">37.5*((1-C6)^(-1.64))/$F$3</f>
        <v>1.1555851538783679</v>
      </c>
    </row>
    <row r="7" spans="1:8" x14ac:dyDescent="0.25">
      <c r="C7">
        <v>0.42</v>
      </c>
      <c r="D7">
        <f>37.5*((1-C7)^(-1.64))/$D$3</f>
        <v>2.2906005831989562</v>
      </c>
      <c r="E7">
        <f t="shared" si="1"/>
        <v>1.8324804665591647</v>
      </c>
      <c r="F7">
        <f t="shared" si="2"/>
        <v>1.2216536443727766</v>
      </c>
    </row>
    <row r="8" spans="1:8" x14ac:dyDescent="0.25">
      <c r="C8">
        <v>0.5</v>
      </c>
      <c r="D8">
        <f t="shared" ref="D8" si="3">37.5*((1-C8)^(-1.64))/$D$3</f>
        <v>2.9218671737268744</v>
      </c>
      <c r="E8">
        <f t="shared" si="1"/>
        <v>2.3374937389814994</v>
      </c>
      <c r="F8">
        <f t="shared" si="2"/>
        <v>1.5583291593209996</v>
      </c>
    </row>
    <row r="10" spans="1:8" x14ac:dyDescent="0.25">
      <c r="D10" t="s">
        <v>1</v>
      </c>
    </row>
    <row r="11" spans="1:8" x14ac:dyDescent="0.25">
      <c r="C11" t="s">
        <v>0</v>
      </c>
      <c r="D11" t="s">
        <v>0</v>
      </c>
      <c r="E11">
        <v>0.36</v>
      </c>
      <c r="F11">
        <v>0.4</v>
      </c>
      <c r="G11">
        <v>0.42</v>
      </c>
      <c r="H11">
        <v>0.5</v>
      </c>
    </row>
    <row r="12" spans="1:8" x14ac:dyDescent="0.25">
      <c r="C12">
        <v>40</v>
      </c>
      <c r="D12">
        <f t="shared" ref="D12:D18" si="4">+C12/25.4</f>
        <v>1.5748031496062993</v>
      </c>
      <c r="E12">
        <f>37.5*((1-E$11)^(-1.64))/$C12</f>
        <v>1.9491089651021061</v>
      </c>
      <c r="F12">
        <f>37.5*((1-F$11)^(-1.64))/$C12</f>
        <v>2.16672216352194</v>
      </c>
      <c r="G12">
        <f>37.5*((1-G$11)^(-1.64))/$C12</f>
        <v>2.2906005831989562</v>
      </c>
      <c r="H12">
        <f>37.5*((1-H$11)^(-1.64))/$C12</f>
        <v>2.9218671737268744</v>
      </c>
    </row>
    <row r="13" spans="1:8" x14ac:dyDescent="0.25">
      <c r="C13">
        <v>50</v>
      </c>
      <c r="D13">
        <f t="shared" si="4"/>
        <v>1.9685039370078741</v>
      </c>
      <c r="E13">
        <f>37.5*((1-E$11)^(-1.64))/$C13</f>
        <v>1.5592871720816848</v>
      </c>
      <c r="F13">
        <f>37.5*((1-F$11)^(-1.64))/$C13</f>
        <v>1.733377730817552</v>
      </c>
      <c r="G13">
        <f>37.5*((1-G$11)^(-1.64))/$C13</f>
        <v>1.8324804665591647</v>
      </c>
      <c r="H13">
        <f>37.5*((1-H$11)^(-1.64))/$C13</f>
        <v>2.3374937389814994</v>
      </c>
    </row>
    <row r="14" spans="1:8" x14ac:dyDescent="0.25">
      <c r="C14">
        <v>60</v>
      </c>
      <c r="D14">
        <f t="shared" si="4"/>
        <v>2.3622047244094491</v>
      </c>
      <c r="E14">
        <f>37.5*((1-E$11)^(-1.64))/$C14</f>
        <v>1.2994059767347372</v>
      </c>
      <c r="F14">
        <f>37.5*((1-F$11)^(-1.64))/$C14</f>
        <v>1.4444814423479599</v>
      </c>
      <c r="G14">
        <f>37.5*((1-G$11)^(-1.64))/$C14</f>
        <v>1.5270670554659707</v>
      </c>
      <c r="H14">
        <f>37.5*((1-H$11)^(-1.64))/$C14</f>
        <v>1.9479114491512495</v>
      </c>
    </row>
    <row r="15" spans="1:8" x14ac:dyDescent="0.25">
      <c r="C15">
        <v>70</v>
      </c>
      <c r="D15">
        <f t="shared" si="4"/>
        <v>2.7559055118110236</v>
      </c>
      <c r="E15">
        <f>37.5*((1-E$11)^(-1.64))/$C15</f>
        <v>1.1137765514869178</v>
      </c>
      <c r="F15">
        <f>37.5*((1-F$11)^(-1.64))/$C15</f>
        <v>1.2381269505839656</v>
      </c>
      <c r="G15">
        <f>37.5*((1-G$11)^(-1.64))/$C15</f>
        <v>1.3089146189708321</v>
      </c>
      <c r="H15">
        <f>37.5*((1-H$11)^(-1.64))/$C15</f>
        <v>1.6696383849867853</v>
      </c>
    </row>
    <row r="16" spans="1:8" x14ac:dyDescent="0.25">
      <c r="C16">
        <v>80</v>
      </c>
      <c r="D16">
        <f t="shared" si="4"/>
        <v>3.1496062992125986</v>
      </c>
      <c r="E16">
        <f>37.5*((1-E$11)^(-1.64))/$C16</f>
        <v>0.97455448255105304</v>
      </c>
      <c r="F16">
        <f>37.5*((1-F$11)^(-1.64))/$C16</f>
        <v>1.08336108176097</v>
      </c>
      <c r="G16">
        <f>37.5*((1-G$11)^(-1.64))/$C16</f>
        <v>1.1453002915994781</v>
      </c>
      <c r="H16">
        <f>37.5*((1-H$11)^(-1.64))/$C16</f>
        <v>1.4609335868634372</v>
      </c>
    </row>
    <row r="17" spans="3:8" x14ac:dyDescent="0.25">
      <c r="C17">
        <v>90</v>
      </c>
      <c r="D17">
        <f t="shared" si="4"/>
        <v>3.5433070866141736</v>
      </c>
      <c r="E17">
        <f>37.5*((1-E$11)^(-1.64))/$C17</f>
        <v>0.8662706511564916</v>
      </c>
      <c r="F17">
        <f>37.5*((1-F$11)^(-1.64))/$C17</f>
        <v>0.96298762823197326</v>
      </c>
      <c r="G17">
        <f>37.5*((1-G$11)^(-1.64))/$C17</f>
        <v>1.0180447036439804</v>
      </c>
      <c r="H17">
        <f>37.5*((1-H$11)^(-1.64))/$C17</f>
        <v>1.2986076327674996</v>
      </c>
    </row>
    <row r="18" spans="3:8" x14ac:dyDescent="0.25">
      <c r="C18">
        <v>100</v>
      </c>
      <c r="D18">
        <f t="shared" si="4"/>
        <v>3.9370078740157481</v>
      </c>
      <c r="E18">
        <f>37.5*((1-E$11)^(-1.64))/$C18</f>
        <v>0.77964358604084238</v>
      </c>
      <c r="F18">
        <f>37.5*((1-F$11)^(-1.64))/$C18</f>
        <v>0.86668886540877599</v>
      </c>
      <c r="G18">
        <f>37.5*((1-G$11)^(-1.64))/$C18</f>
        <v>0.91624023327958237</v>
      </c>
      <c r="H18">
        <f>37.5*((1-H$11)^(-1.64))/$C18</f>
        <v>1.1687468694907497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L17" workbookViewId="0">
      <selection activeCell="AC47" sqref="AC47"/>
    </sheetView>
  </sheetViews>
  <sheetFormatPr defaultRowHeight="15" x14ac:dyDescent="0.25"/>
  <sheetData>
    <row r="1" spans="1:13" x14ac:dyDescent="0.25">
      <c r="A1" t="s">
        <v>10</v>
      </c>
    </row>
    <row r="2" spans="1:13" x14ac:dyDescent="0.25">
      <c r="A2" t="s">
        <v>11</v>
      </c>
    </row>
    <row r="3" spans="1:13" x14ac:dyDescent="0.25">
      <c r="A3" t="s">
        <v>12</v>
      </c>
    </row>
    <row r="4" spans="1:13" x14ac:dyDescent="0.25">
      <c r="A4" t="s">
        <v>13</v>
      </c>
    </row>
    <row r="14" spans="1:13" x14ac:dyDescent="0.25">
      <c r="B14" t="s">
        <v>3</v>
      </c>
      <c r="C14">
        <f>3/4*25.4</f>
        <v>19.049999999999997</v>
      </c>
      <c r="L14" t="s">
        <v>8</v>
      </c>
      <c r="M14">
        <f>+(0.25*PI()*C14^2)/(1000^2)*7800</f>
        <v>2.2231790645402709</v>
      </c>
    </row>
    <row r="15" spans="1:13" x14ac:dyDescent="0.25">
      <c r="B15" t="s">
        <v>0</v>
      </c>
      <c r="C15">
        <v>40</v>
      </c>
      <c r="L15" t="s">
        <v>9</v>
      </c>
      <c r="M15">
        <f>+M14</f>
        <v>2.2231790645402709</v>
      </c>
    </row>
    <row r="16" spans="1:13" x14ac:dyDescent="0.25">
      <c r="B16" t="s">
        <v>5</v>
      </c>
      <c r="C16">
        <v>1.778</v>
      </c>
    </row>
    <row r="17" spans="3:22" x14ac:dyDescent="0.25">
      <c r="D17">
        <v>0.36</v>
      </c>
      <c r="E17">
        <v>0.4</v>
      </c>
      <c r="F17">
        <v>0.45</v>
      </c>
      <c r="G17">
        <v>0.5</v>
      </c>
      <c r="H17">
        <v>0.8</v>
      </c>
      <c r="L17">
        <v>0.36</v>
      </c>
      <c r="M17">
        <v>0.4</v>
      </c>
      <c r="N17">
        <v>0.45</v>
      </c>
      <c r="O17">
        <v>0.5</v>
      </c>
      <c r="P17">
        <v>0.8</v>
      </c>
    </row>
    <row r="18" spans="3:22" x14ac:dyDescent="0.25">
      <c r="C18" t="s">
        <v>4</v>
      </c>
      <c r="D18" t="s">
        <v>6</v>
      </c>
      <c r="K18" t="s">
        <v>4</v>
      </c>
      <c r="L18" t="s">
        <v>7</v>
      </c>
    </row>
    <row r="19" spans="3:22" x14ac:dyDescent="0.25">
      <c r="C19">
        <v>5</v>
      </c>
      <c r="D19">
        <f>+$C$14-((1.0508*(1-D$17)^(-1.64))/($C$15))*($C19-$C$16)^0.71</f>
        <v>18.924658742910275</v>
      </c>
      <c r="E19">
        <f t="shared" ref="E19:H19" si="0">+$C$14-((1.0508*(1-E$17)^(-1.64))/($C$15))*($C19-$C$16)^0.71</f>
        <v>18.910664701357124</v>
      </c>
      <c r="F19">
        <f t="shared" si="0"/>
        <v>18.889293148510831</v>
      </c>
      <c r="G19">
        <f t="shared" si="0"/>
        <v>18.862103627266961</v>
      </c>
      <c r="H19">
        <f t="shared" si="0"/>
        <v>18.205615970584759</v>
      </c>
      <c r="J19">
        <f>+(C19-$C$16)^0.71</f>
        <v>2.2949283481510125</v>
      </c>
      <c r="K19">
        <v>5</v>
      </c>
      <c r="L19" s="1">
        <f>($M$14-((0.25*PI()*D19^2)/(1000^2)*7800))/$M$15</f>
        <v>1.3115896044776988E-2</v>
      </c>
      <c r="M19" s="1">
        <f t="shared" ref="M19:P34" si="1">($M$14-((0.25*PI()*E19^2)/(1000^2)*7800))/$M$15</f>
        <v>1.4574880450935334E-2</v>
      </c>
      <c r="N19" s="1">
        <f t="shared" si="1"/>
        <v>1.6800943365288604E-2</v>
      </c>
      <c r="O19" s="1">
        <f t="shared" si="1"/>
        <v>1.9629368092648692E-2</v>
      </c>
      <c r="P19" s="1">
        <f t="shared" si="1"/>
        <v>8.668456990951863E-2</v>
      </c>
      <c r="R19">
        <f>(0.25*PI()*D19^2)/(1000^2)</f>
        <v>2.8128462551805594E-4</v>
      </c>
      <c r="S19">
        <f>R19*7800</f>
        <v>2.1940200790408362</v>
      </c>
      <c r="T19">
        <f>M14-S19</f>
        <v>2.9158985499434742E-2</v>
      </c>
      <c r="U19">
        <f>T19/M15</f>
        <v>1.3115896044776988E-2</v>
      </c>
      <c r="V19">
        <f>U19*100</f>
        <v>1.3115896044776987</v>
      </c>
    </row>
    <row r="20" spans="3:22" x14ac:dyDescent="0.25">
      <c r="C20">
        <v>5.5</v>
      </c>
      <c r="D20">
        <f t="shared" ref="D20:H47" si="2">+$C$14-((1.0508*(1-D$17)^(-1.64))/($C$15))*($C20-$C$16)^0.71</f>
        <v>18.911140327289971</v>
      </c>
      <c r="E20">
        <f t="shared" si="2"/>
        <v>18.895636988045734</v>
      </c>
      <c r="F20">
        <f t="shared" si="2"/>
        <v>18.871960451664606</v>
      </c>
      <c r="G20">
        <f t="shared" si="2"/>
        <v>18.841838462235671</v>
      </c>
      <c r="H20">
        <f t="shared" si="2"/>
        <v>18.11454672077971</v>
      </c>
      <c r="J20">
        <f t="shared" ref="J20:J37" si="3">+(C20-$C$16)^0.71</f>
        <v>2.542442980997849</v>
      </c>
      <c r="K20">
        <v>5.5</v>
      </c>
      <c r="L20" s="1">
        <f t="shared" ref="L20:L47" si="4">($M$14-((0.25*PI()*D20^2)/(1000^2)*7800))/$M$15</f>
        <v>1.4525310576661706E-2</v>
      </c>
      <c r="M20" s="1">
        <f t="shared" si="1"/>
        <v>1.6140431151612161E-2</v>
      </c>
      <c r="N20" s="1">
        <f t="shared" si="1"/>
        <v>1.8604470100941489E-2</v>
      </c>
      <c r="O20" s="1">
        <f t="shared" si="1"/>
        <v>2.17348278477454E-2</v>
      </c>
      <c r="P20" s="1">
        <f t="shared" si="1"/>
        <v>9.5799001386568106E-2</v>
      </c>
      <c r="R20">
        <f t="shared" ref="R20:R42" si="5">(0.25*PI()*D20^2)/(1000^2)</f>
        <v>2.8088291002055017E-4</v>
      </c>
      <c r="S20">
        <f t="shared" ref="S20:S42" si="6">R20*7800</f>
        <v>2.1908866981602912</v>
      </c>
      <c r="T20">
        <f t="shared" ref="T20:T42" si="7">M15-S20</f>
        <v>3.2292366379979676E-2</v>
      </c>
      <c r="U20" t="e">
        <f t="shared" ref="U20:U42" si="8">T20/M16</f>
        <v>#DIV/0!</v>
      </c>
      <c r="V20" t="e">
        <f t="shared" ref="V20:V42" si="9">U20*100</f>
        <v>#DIV/0!</v>
      </c>
    </row>
    <row r="21" spans="3:22" x14ac:dyDescent="0.25">
      <c r="C21">
        <v>6</v>
      </c>
      <c r="D21">
        <f t="shared" si="2"/>
        <v>18.898140187954645</v>
      </c>
      <c r="E21">
        <f t="shared" si="2"/>
        <v>18.88118541528554</v>
      </c>
      <c r="F21">
        <f t="shared" si="2"/>
        <v>18.855292265067394</v>
      </c>
      <c r="G21">
        <f t="shared" si="2"/>
        <v>18.822350233995046</v>
      </c>
      <c r="H21">
        <f t="shared" si="2"/>
        <v>18.026968932828677</v>
      </c>
      <c r="J21">
        <f t="shared" si="3"/>
        <v>2.7804682647971837</v>
      </c>
      <c r="K21">
        <v>6</v>
      </c>
      <c r="L21" s="1">
        <f t="shared" si="4"/>
        <v>1.5879740250931092E-2</v>
      </c>
      <c r="M21" s="1">
        <f t="shared" si="1"/>
        <v>1.7644786998184253E-2</v>
      </c>
      <c r="N21" s="1">
        <f t="shared" si="1"/>
        <v>2.0337290591521617E-2</v>
      </c>
      <c r="O21" s="1">
        <f t="shared" si="1"/>
        <v>2.3757432557854105E-2</v>
      </c>
      <c r="P21" s="1">
        <f t="shared" si="1"/>
        <v>0.10452088672530398</v>
      </c>
      <c r="R21">
        <f t="shared" si="5"/>
        <v>2.8049686646975172E-4</v>
      </c>
      <c r="S21">
        <f t="shared" si="6"/>
        <v>2.1878755584640635</v>
      </c>
      <c r="T21">
        <f t="shared" si="7"/>
        <v>-2.1878755584640635</v>
      </c>
      <c r="U21">
        <f t="shared" si="8"/>
        <v>-5.4696888961601582</v>
      </c>
      <c r="V21">
        <f t="shared" si="9"/>
        <v>-546.96888961601587</v>
      </c>
    </row>
    <row r="22" spans="3:22" x14ac:dyDescent="0.25">
      <c r="C22">
        <v>6.5</v>
      </c>
      <c r="D22">
        <f t="shared" si="2"/>
        <v>18.88558010625885</v>
      </c>
      <c r="E22">
        <f t="shared" si="2"/>
        <v>18.867223031512655</v>
      </c>
      <c r="F22">
        <f t="shared" si="2"/>
        <v>18.839188300334271</v>
      </c>
      <c r="G22">
        <f t="shared" si="2"/>
        <v>18.803521686662215</v>
      </c>
      <c r="H22">
        <f t="shared" si="2"/>
        <v>17.942355672691281</v>
      </c>
      <c r="J22">
        <f t="shared" si="3"/>
        <v>3.0104363392209299</v>
      </c>
      <c r="K22">
        <v>6.5</v>
      </c>
      <c r="L22" s="1">
        <f t="shared" si="4"/>
        <v>1.718743753509535E-2</v>
      </c>
      <c r="M22" s="1">
        <f t="shared" si="1"/>
        <v>1.9097126856823483E-2</v>
      </c>
      <c r="N22" s="1">
        <f t="shared" si="1"/>
        <v>2.2010000439645031E-2</v>
      </c>
      <c r="O22" s="1">
        <f t="shared" si="1"/>
        <v>2.5709583646361615E-2</v>
      </c>
      <c r="P22" s="1">
        <f t="shared" si="1"/>
        <v>0.11290738673512284</v>
      </c>
      <c r="R22">
        <f t="shared" si="5"/>
        <v>2.8012414272296835E-4</v>
      </c>
      <c r="S22">
        <f t="shared" si="6"/>
        <v>2.1849683132391533</v>
      </c>
      <c r="T22">
        <f t="shared" si="7"/>
        <v>-1.7849683132391534</v>
      </c>
      <c r="U22" t="e">
        <f t="shared" si="8"/>
        <v>#DIV/0!</v>
      </c>
      <c r="V22" t="e">
        <f t="shared" si="9"/>
        <v>#DIV/0!</v>
      </c>
    </row>
    <row r="23" spans="3:22" x14ac:dyDescent="0.25">
      <c r="C23">
        <v>7</v>
      </c>
      <c r="D23">
        <f t="shared" si="2"/>
        <v>18.873400653818816</v>
      </c>
      <c r="E23">
        <f t="shared" si="2"/>
        <v>18.85368377331115</v>
      </c>
      <c r="F23">
        <f t="shared" si="2"/>
        <v>18.823572361098091</v>
      </c>
      <c r="G23">
        <f t="shared" si="2"/>
        <v>18.785263732429964</v>
      </c>
      <c r="H23">
        <f t="shared" si="2"/>
        <v>17.860306590320707</v>
      </c>
      <c r="J23">
        <f t="shared" si="3"/>
        <v>3.2334353047537165</v>
      </c>
      <c r="K23">
        <v>7</v>
      </c>
      <c r="L23" s="1">
        <f t="shared" si="4"/>
        <v>1.8454675182539338E-2</v>
      </c>
      <c r="M23" s="1">
        <f t="shared" si="1"/>
        <v>2.0504427982677882E-2</v>
      </c>
      <c r="N23" s="1">
        <f t="shared" si="1"/>
        <v>2.363065442234202E-2</v>
      </c>
      <c r="O23" s="1">
        <f t="shared" si="1"/>
        <v>2.7600709565382867E-2</v>
      </c>
      <c r="P23" s="1">
        <f t="shared" si="1"/>
        <v>0.12100205564785775</v>
      </c>
      <c r="R23">
        <f t="shared" si="5"/>
        <v>2.7976295090148187E-4</v>
      </c>
      <c r="S23">
        <f t="shared" si="6"/>
        <v>2.1821510170315586</v>
      </c>
      <c r="T23">
        <f t="shared" si="7"/>
        <v>-2.1821510170315586</v>
      </c>
      <c r="U23">
        <f t="shared" si="8"/>
        <v>-149.71999423100038</v>
      </c>
      <c r="V23">
        <f t="shared" si="9"/>
        <v>-14971.999423100038</v>
      </c>
    </row>
    <row r="24" spans="3:22" x14ac:dyDescent="0.25">
      <c r="C24">
        <v>7.5</v>
      </c>
      <c r="D24">
        <f t="shared" si="2"/>
        <v>18.861555315632032</v>
      </c>
      <c r="E24">
        <f t="shared" si="2"/>
        <v>18.840515932393455</v>
      </c>
      <c r="F24">
        <f t="shared" si="2"/>
        <v>18.808384807941032</v>
      </c>
      <c r="G24">
        <f t="shared" si="2"/>
        <v>18.767506641662159</v>
      </c>
      <c r="H24">
        <f t="shared" si="2"/>
        <v>17.780508328996554</v>
      </c>
      <c r="J24">
        <f t="shared" si="3"/>
        <v>3.4503168250884753</v>
      </c>
      <c r="K24">
        <v>7.5</v>
      </c>
      <c r="L24" s="1">
        <f t="shared" si="4"/>
        <v>1.9686365002591605E-2</v>
      </c>
      <c r="M24" s="1">
        <f t="shared" si="1"/>
        <v>2.1872154094359612E-2</v>
      </c>
      <c r="N24" s="1">
        <f t="shared" si="1"/>
        <v>2.5205560491903395E-2</v>
      </c>
      <c r="O24" s="1">
        <f t="shared" si="1"/>
        <v>2.9438194708404072E-2</v>
      </c>
      <c r="P24" s="1">
        <f t="shared" si="1"/>
        <v>0.1288390781614458</v>
      </c>
      <c r="R24">
        <f t="shared" si="5"/>
        <v>2.7941189102687319E-4</v>
      </c>
      <c r="S24">
        <f>R24*7800</f>
        <v>2.179412750009611</v>
      </c>
      <c r="T24">
        <f t="shared" si="7"/>
        <v>-2.1648378695586756</v>
      </c>
      <c r="U24">
        <f t="shared" si="8"/>
        <v>-134.12515745234256</v>
      </c>
      <c r="V24">
        <f t="shared" si="9"/>
        <v>-13412.515745234256</v>
      </c>
    </row>
    <row r="25" spans="3:22" x14ac:dyDescent="0.25">
      <c r="C25">
        <v>8</v>
      </c>
      <c r="D25">
        <f t="shared" si="2"/>
        <v>18.850006804208736</v>
      </c>
      <c r="E25">
        <f t="shared" si="2"/>
        <v>18.827678058213735</v>
      </c>
      <c r="F25">
        <f t="shared" si="2"/>
        <v>18.793577832541892</v>
      </c>
      <c r="G25">
        <f t="shared" si="2"/>
        <v>18.750194517487831</v>
      </c>
      <c r="H25">
        <f t="shared" si="2"/>
        <v>17.702709694805645</v>
      </c>
      <c r="J25">
        <f t="shared" si="3"/>
        <v>3.6617636133179912</v>
      </c>
      <c r="K25">
        <v>8</v>
      </c>
      <c r="L25" s="1">
        <f t="shared" si="4"/>
        <v>2.088644603243121E-2</v>
      </c>
      <c r="M25" s="1">
        <f t="shared" si="1"/>
        <v>2.3204687033726728E-2</v>
      </c>
      <c r="N25" s="1">
        <f t="shared" si="1"/>
        <v>2.6739777907812453E-2</v>
      </c>
      <c r="O25" s="1">
        <f t="shared" si="1"/>
        <v>3.1227962211252999E-2</v>
      </c>
      <c r="P25" s="1">
        <f t="shared" si="1"/>
        <v>0.13644593096336963</v>
      </c>
      <c r="R25">
        <f t="shared" si="5"/>
        <v>2.7906984038311792E-4</v>
      </c>
      <c r="S25">
        <f t="shared" si="6"/>
        <v>2.1767447549883197</v>
      </c>
      <c r="T25">
        <f t="shared" si="7"/>
        <v>-2.1606043238367074</v>
      </c>
      <c r="U25">
        <f t="shared" si="8"/>
        <v>-122.45000883598344</v>
      </c>
      <c r="V25">
        <f t="shared" si="9"/>
        <v>-12245.000883598344</v>
      </c>
    </row>
    <row r="26" spans="3:22" x14ac:dyDescent="0.25">
      <c r="C26">
        <v>8.5</v>
      </c>
      <c r="D26">
        <f t="shared" si="2"/>
        <v>18.838724637159682</v>
      </c>
      <c r="E26">
        <f t="shared" si="2"/>
        <v>18.81513626509933</v>
      </c>
      <c r="F26">
        <f t="shared" si="2"/>
        <v>18.779112351769427</v>
      </c>
      <c r="G26">
        <f t="shared" si="2"/>
        <v>18.733281664415298</v>
      </c>
      <c r="H26">
        <f t="shared" si="2"/>
        <v>17.626705337624227</v>
      </c>
      <c r="J26">
        <f t="shared" si="3"/>
        <v>3.8683337849488133</v>
      </c>
      <c r="K26">
        <v>8.5</v>
      </c>
      <c r="L26" s="1">
        <f t="shared" si="4"/>
        <v>2.2058139707697769E-2</v>
      </c>
      <c r="M26" s="1">
        <f t="shared" si="1"/>
        <v>2.4505610531048681E-2</v>
      </c>
      <c r="N26" s="1">
        <f t="shared" si="1"/>
        <v>2.8237444712066836E-2</v>
      </c>
      <c r="O26" s="1">
        <f t="shared" si="1"/>
        <v>3.297485710812554E-2</v>
      </c>
      <c r="P26" s="1">
        <f t="shared" si="1"/>
        <v>0.14384513454872738</v>
      </c>
      <c r="R26">
        <f>(0.25*PI()*D26^2)/(1000^2)</f>
        <v>2.7873588078710423E-4</v>
      </c>
      <c r="S26">
        <f t="shared" si="6"/>
        <v>2.1741398701394128</v>
      </c>
      <c r="T26">
        <f t="shared" si="7"/>
        <v>-2.1564950831412286</v>
      </c>
      <c r="U26">
        <f t="shared" si="8"/>
        <v>-112.92248825224219</v>
      </c>
      <c r="V26">
        <f t="shared" si="9"/>
        <v>-11292.248825224218</v>
      </c>
    </row>
    <row r="27" spans="3:22" x14ac:dyDescent="0.25">
      <c r="C27">
        <v>9</v>
      </c>
      <c r="D27">
        <f t="shared" si="2"/>
        <v>18.827683483326698</v>
      </c>
      <c r="E27">
        <f t="shared" si="2"/>
        <v>18.802862393730869</v>
      </c>
      <c r="F27">
        <f t="shared" si="2"/>
        <v>18.76495588716627</v>
      </c>
      <c r="G27">
        <f t="shared" si="2"/>
        <v>18.716730109052168</v>
      </c>
      <c r="H27">
        <f t="shared" si="2"/>
        <v>17.552324609527549</v>
      </c>
      <c r="J27">
        <f t="shared" si="3"/>
        <v>4.0704911393262888</v>
      </c>
      <c r="K27">
        <v>9</v>
      </c>
      <c r="L27" s="1">
        <f t="shared" si="4"/>
        <v>2.3204124115064107E-2</v>
      </c>
      <c r="M27" s="1">
        <f t="shared" si="1"/>
        <v>2.5777903989146728E-2</v>
      </c>
      <c r="N27" s="1">
        <f t="shared" si="1"/>
        <v>2.9702001371453519E-2</v>
      </c>
      <c r="O27" s="1">
        <f t="shared" si="1"/>
        <v>3.468290801220697E-2</v>
      </c>
      <c r="P27" s="1">
        <f t="shared" si="1"/>
        <v>0.15105545098690024</v>
      </c>
      <c r="R27">
        <f t="shared" si="5"/>
        <v>2.7840924892264955E-4</v>
      </c>
      <c r="S27">
        <f t="shared" si="6"/>
        <v>2.1715921415966664</v>
      </c>
      <c r="T27">
        <f t="shared" si="7"/>
        <v>-2.1524950147398427</v>
      </c>
      <c r="U27">
        <f t="shared" si="8"/>
        <v>-104.97708185560056</v>
      </c>
      <c r="V27">
        <f t="shared" si="9"/>
        <v>-10497.708185560055</v>
      </c>
    </row>
    <row r="28" spans="3:22" x14ac:dyDescent="0.25">
      <c r="C28">
        <v>9.5</v>
      </c>
      <c r="D28">
        <f t="shared" si="2"/>
        <v>18.816861997305502</v>
      </c>
      <c r="E28">
        <f t="shared" si="2"/>
        <v>18.790832715542432</v>
      </c>
      <c r="F28">
        <f t="shared" si="2"/>
        <v>18.751081070627162</v>
      </c>
      <c r="G28">
        <f t="shared" si="2"/>
        <v>18.700507852963664</v>
      </c>
      <c r="H28">
        <f t="shared" si="2"/>
        <v>17.479423713342182</v>
      </c>
      <c r="J28">
        <f t="shared" si="3"/>
        <v>4.2686264988702982</v>
      </c>
      <c r="K28">
        <v>9.5</v>
      </c>
      <c r="L28" s="1">
        <f t="shared" si="4"/>
        <v>2.4326656813772104E-2</v>
      </c>
      <c r="M28" s="1">
        <f t="shared" si="1"/>
        <v>2.7024079074958466E-2</v>
      </c>
      <c r="N28" s="1">
        <f t="shared" si="1"/>
        <v>3.1136348420767727E-2</v>
      </c>
      <c r="O28" s="1">
        <f t="shared" si="1"/>
        <v>3.6355511580229649E-2</v>
      </c>
      <c r="P28" s="1">
        <f t="shared" si="1"/>
        <v>0.15809272917505646</v>
      </c>
      <c r="R28">
        <f t="shared" si="5"/>
        <v>2.7808930133354316E-4</v>
      </c>
      <c r="S28">
        <f t="shared" si="6"/>
        <v>2.1690965504016368</v>
      </c>
      <c r="T28">
        <f t="shared" si="7"/>
        <v>-2.1485921224189588</v>
      </c>
      <c r="U28">
        <f t="shared" si="8"/>
        <v>-98.234134285522316</v>
      </c>
      <c r="V28">
        <f t="shared" si="9"/>
        <v>-9823.4134285522323</v>
      </c>
    </row>
    <row r="29" spans="3:22" x14ac:dyDescent="0.25">
      <c r="C29">
        <v>10</v>
      </c>
      <c r="D29">
        <f t="shared" si="2"/>
        <v>18.806241975874389</v>
      </c>
      <c r="E29">
        <f t="shared" si="2"/>
        <v>18.779026994967616</v>
      </c>
      <c r="F29">
        <f t="shared" si="2"/>
        <v>18.737464562810271</v>
      </c>
      <c r="G29">
        <f t="shared" si="2"/>
        <v>18.6845876080931</v>
      </c>
      <c r="H29">
        <f t="shared" si="2"/>
        <v>17.4078800197756</v>
      </c>
      <c r="J29">
        <f t="shared" si="3"/>
        <v>4.4630731543939488</v>
      </c>
      <c r="K29">
        <v>10</v>
      </c>
      <c r="L29" s="1">
        <f t="shared" si="4"/>
        <v>2.542766375227529E-2</v>
      </c>
      <c r="M29" s="1">
        <f t="shared" si="1"/>
        <v>2.8246278607277589E-2</v>
      </c>
      <c r="N29" s="1">
        <f t="shared" si="1"/>
        <v>3.2542960595281653E-2</v>
      </c>
      <c r="O29" s="1">
        <f t="shared" si="1"/>
        <v>3.7995566069381592E-2</v>
      </c>
      <c r="P29" s="1">
        <f t="shared" si="1"/>
        <v>0.16497051747259225</v>
      </c>
      <c r="R29">
        <f t="shared" si="5"/>
        <v>2.7777548908026193E-4</v>
      </c>
      <c r="S29">
        <f t="shared" si="6"/>
        <v>2.166648814826043</v>
      </c>
      <c r="T29">
        <f t="shared" si="7"/>
        <v>-2.1447766607316834</v>
      </c>
      <c r="U29">
        <f t="shared" si="8"/>
        <v>-92.428596757817473</v>
      </c>
      <c r="V29">
        <f t="shared" si="9"/>
        <v>-9242.8596757817468</v>
      </c>
    </row>
    <row r="30" spans="3:22" x14ac:dyDescent="0.25">
      <c r="C30">
        <v>15</v>
      </c>
      <c r="D30">
        <f t="shared" si="2"/>
        <v>18.708456602727054</v>
      </c>
      <c r="E30">
        <f t="shared" si="2"/>
        <v>18.670324126600537</v>
      </c>
      <c r="F30">
        <f t="shared" si="2"/>
        <v>18.612088610748835</v>
      </c>
      <c r="G30">
        <f t="shared" si="2"/>
        <v>18.537999666122982</v>
      </c>
      <c r="H30">
        <f t="shared" si="2"/>
        <v>16.749131182296548</v>
      </c>
      <c r="J30">
        <f t="shared" si="3"/>
        <v>6.2534686720462167</v>
      </c>
      <c r="K30">
        <v>15</v>
      </c>
      <c r="L30" s="1">
        <f t="shared" si="4"/>
        <v>3.5536133104286764E-2</v>
      </c>
      <c r="M30" s="1">
        <f t="shared" si="1"/>
        <v>3.9463759570898087E-2</v>
      </c>
      <c r="N30" s="1">
        <f t="shared" si="1"/>
        <v>4.5446525018795772E-2</v>
      </c>
      <c r="O30" s="1">
        <f t="shared" si="1"/>
        <v>5.3030961150237782E-2</v>
      </c>
      <c r="P30" s="1">
        <f t="shared" si="1"/>
        <v>0.22697309783818356</v>
      </c>
      <c r="R30">
        <f t="shared" si="5"/>
        <v>2.7489434325488516E-4</v>
      </c>
      <c r="S30">
        <f t="shared" si="6"/>
        <v>2.1441758773881041</v>
      </c>
      <c r="T30">
        <f t="shared" si="7"/>
        <v>-2.1209711903543775</v>
      </c>
      <c r="U30">
        <f t="shared" si="8"/>
        <v>-86.550432508796334</v>
      </c>
      <c r="V30">
        <f t="shared" si="9"/>
        <v>-8655.043250879633</v>
      </c>
    </row>
    <row r="31" spans="3:22" x14ac:dyDescent="0.25">
      <c r="C31">
        <v>20</v>
      </c>
      <c r="D31">
        <f t="shared" si="2"/>
        <v>18.621107842046428</v>
      </c>
      <c r="E31">
        <f t="shared" si="2"/>
        <v>18.57322309268632</v>
      </c>
      <c r="F31">
        <f t="shared" si="2"/>
        <v>18.500094007883028</v>
      </c>
      <c r="G31">
        <f t="shared" si="2"/>
        <v>18.407057024604178</v>
      </c>
      <c r="H31">
        <f t="shared" si="2"/>
        <v>16.160690470750644</v>
      </c>
      <c r="J31">
        <f t="shared" si="3"/>
        <v>7.8527756497824681</v>
      </c>
      <c r="K31">
        <v>20</v>
      </c>
      <c r="L31" s="1">
        <f t="shared" si="4"/>
        <v>4.4521166800661358E-2</v>
      </c>
      <c r="M31" s="1">
        <f t="shared" si="1"/>
        <v>4.9428934629283702E-2</v>
      </c>
      <c r="N31" s="1">
        <f t="shared" si="1"/>
        <v>5.6899640260098437E-2</v>
      </c>
      <c r="O31" s="1">
        <f t="shared" si="1"/>
        <v>6.6361492943614209E-2</v>
      </c>
      <c r="P31" s="1">
        <f t="shared" si="1"/>
        <v>0.2803358574509387</v>
      </c>
      <c r="R31">
        <f t="shared" si="5"/>
        <v>2.7233340238206862E-4</v>
      </c>
      <c r="S31">
        <f t="shared" si="6"/>
        <v>2.1242005385801352</v>
      </c>
      <c r="T31">
        <f t="shared" si="7"/>
        <v>-2.0996949280490864</v>
      </c>
      <c r="U31">
        <f t="shared" si="8"/>
        <v>-81.453283747705825</v>
      </c>
      <c r="V31">
        <f t="shared" si="9"/>
        <v>-8145.3283747705827</v>
      </c>
    </row>
    <row r="32" spans="3:22" x14ac:dyDescent="0.25">
      <c r="C32">
        <v>25</v>
      </c>
      <c r="D32">
        <f t="shared" si="2"/>
        <v>18.540535829816363</v>
      </c>
      <c r="E32">
        <f t="shared" si="2"/>
        <v>18.483655414437351</v>
      </c>
      <c r="F32">
        <f t="shared" si="2"/>
        <v>18.396788243250629</v>
      </c>
      <c r="G32">
        <f t="shared" si="2"/>
        <v>18.28627326039641</v>
      </c>
      <c r="H32">
        <f t="shared" si="2"/>
        <v>15.617902549801242</v>
      </c>
      <c r="J32">
        <f t="shared" si="3"/>
        <v>9.3280041517750867</v>
      </c>
      <c r="K32">
        <v>25</v>
      </c>
      <c r="L32" s="1">
        <f t="shared" si="4"/>
        <v>5.277183580519737E-2</v>
      </c>
      <c r="M32" s="1">
        <f t="shared" si="1"/>
        <v>5.8574913428099312E-2</v>
      </c>
      <c r="N32" s="1">
        <f t="shared" si="1"/>
        <v>6.740290390117297E-2</v>
      </c>
      <c r="O32" s="1">
        <f t="shared" si="1"/>
        <v>7.8574025381779322E-2</v>
      </c>
      <c r="P32" s="1">
        <f t="shared" si="1"/>
        <v>0.32786663069257388</v>
      </c>
      <c r="R32">
        <f t="shared" si="5"/>
        <v>2.699817723052307E-4</v>
      </c>
      <c r="S32">
        <f t="shared" si="6"/>
        <v>2.1058578239807995</v>
      </c>
      <c r="T32">
        <f t="shared" si="7"/>
        <v>-2.0800799199916526</v>
      </c>
      <c r="U32">
        <f t="shared" si="8"/>
        <v>-76.971352630444798</v>
      </c>
      <c r="V32">
        <f t="shared" si="9"/>
        <v>-7697.1352630444799</v>
      </c>
    </row>
    <row r="33" spans="3:22" x14ac:dyDescent="0.25">
      <c r="C33">
        <v>30</v>
      </c>
      <c r="D33">
        <f t="shared" si="2"/>
        <v>18.464883635509977</v>
      </c>
      <c r="E33">
        <f t="shared" si="2"/>
        <v>18.399556839623127</v>
      </c>
      <c r="F33">
        <f t="shared" si="2"/>
        <v>18.299790445099273</v>
      </c>
      <c r="G33">
        <f t="shared" si="2"/>
        <v>18.172864689032796</v>
      </c>
      <c r="H33">
        <f t="shared" si="2"/>
        <v>15.108257871378999</v>
      </c>
      <c r="J33">
        <f t="shared" si="3"/>
        <v>10.713153537896817</v>
      </c>
      <c r="K33">
        <v>30</v>
      </c>
      <c r="L33" s="1">
        <f t="shared" si="4"/>
        <v>6.0486142495782706E-2</v>
      </c>
      <c r="M33" s="1">
        <f t="shared" si="1"/>
        <v>6.7122183246127468E-2</v>
      </c>
      <c r="N33" s="1">
        <f t="shared" si="1"/>
        <v>7.7211288611826315E-2</v>
      </c>
      <c r="O33" s="1">
        <f t="shared" si="1"/>
        <v>8.9967660719077136E-2</v>
      </c>
      <c r="P33" s="1">
        <f t="shared" si="1"/>
        <v>0.37101713019864685</v>
      </c>
      <c r="R33">
        <f t="shared" si="5"/>
        <v>2.6778301780113427E-4</v>
      </c>
      <c r="S33">
        <f t="shared" si="6"/>
        <v>2.0887075388488472</v>
      </c>
      <c r="T33">
        <f t="shared" si="7"/>
        <v>-2.0616834597738887</v>
      </c>
      <c r="U33">
        <f t="shared" si="8"/>
        <v>-72.989560445767907</v>
      </c>
      <c r="V33">
        <f t="shared" si="9"/>
        <v>-7298.9560445767911</v>
      </c>
    </row>
    <row r="34" spans="3:22" x14ac:dyDescent="0.25">
      <c r="C34">
        <v>35</v>
      </c>
      <c r="D34">
        <f t="shared" si="2"/>
        <v>18.393042590916103</v>
      </c>
      <c r="E34">
        <f t="shared" si="2"/>
        <v>18.319694919966953</v>
      </c>
      <c r="F34">
        <f t="shared" si="2"/>
        <v>18.207679129540104</v>
      </c>
      <c r="G34">
        <f t="shared" si="2"/>
        <v>18.065169329931056</v>
      </c>
      <c r="H34">
        <f t="shared" si="2"/>
        <v>14.624287691726565</v>
      </c>
      <c r="J34">
        <f t="shared" si="3"/>
        <v>12.02852290331848</v>
      </c>
      <c r="K34">
        <v>35</v>
      </c>
      <c r="L34" s="1">
        <f t="shared" si="4"/>
        <v>6.7782625495129464E-2</v>
      </c>
      <c r="M34" s="1">
        <f t="shared" si="1"/>
        <v>7.5202783225072886E-2</v>
      </c>
      <c r="N34" s="1">
        <f t="shared" si="1"/>
        <v>8.6477554482842292E-2</v>
      </c>
      <c r="O34" s="1">
        <f t="shared" si="1"/>
        <v>0.10072170095526568</v>
      </c>
      <c r="P34" s="1">
        <f t="shared" si="1"/>
        <v>0.41066873198618048</v>
      </c>
      <c r="R34">
        <f t="shared" si="5"/>
        <v>2.6570335264101611E-4</v>
      </c>
      <c r="S34">
        <f t="shared" si="6"/>
        <v>2.0724861505999255</v>
      </c>
      <c r="T34">
        <f t="shared" si="7"/>
        <v>-2.044239871992648</v>
      </c>
      <c r="U34">
        <f t="shared" si="8"/>
        <v>-51.800433973354629</v>
      </c>
      <c r="V34">
        <f t="shared" si="9"/>
        <v>-5180.0433973354629</v>
      </c>
    </row>
    <row r="35" spans="3:22" x14ac:dyDescent="0.25">
      <c r="C35">
        <v>40</v>
      </c>
      <c r="D35">
        <f t="shared" si="2"/>
        <v>18.324282768316422</v>
      </c>
      <c r="E35">
        <f t="shared" si="2"/>
        <v>18.243258233124887</v>
      </c>
      <c r="F35">
        <f t="shared" si="2"/>
        <v>18.119518416495406</v>
      </c>
      <c r="G35">
        <f t="shared" si="2"/>
        <v>17.962092964205773</v>
      </c>
      <c r="H35">
        <f t="shared" si="2"/>
        <v>14.161074720860668</v>
      </c>
      <c r="J35">
        <f t="shared" si="3"/>
        <v>13.287476816513141</v>
      </c>
      <c r="K35">
        <v>40</v>
      </c>
      <c r="L35" s="1">
        <f t="shared" si="4"/>
        <v>7.4739526530629347E-2</v>
      </c>
      <c r="M35" s="1">
        <f t="shared" ref="M35:M47" si="10">($M$14-((0.25*PI()*E35^2)/(1000^2)*7800))/$M$15</f>
        <v>8.2903890272238295E-2</v>
      </c>
      <c r="N35" s="1">
        <f t="shared" ref="N35:N47" si="11">($M$14-((0.25*PI()*F35^2)/(1000^2)*7800))/$M$15</f>
        <v>9.5302601537007231E-2</v>
      </c>
      <c r="O35" s="1">
        <f t="shared" ref="O35:O47" si="12">($M$14-((0.25*PI()*G35^2)/(1000^2)*7800))/$M$15</f>
        <v>0.11095464028280172</v>
      </c>
      <c r="P35" s="1">
        <f t="shared" ref="P35:P47" si="13">($M$14-((0.25*PI()*H35^2)/(1000^2)*7800))/$M$15</f>
        <v>0.44741070328862687</v>
      </c>
      <c r="R35">
        <f t="shared" si="5"/>
        <v>2.637204761363748E-4</v>
      </c>
      <c r="S35">
        <f t="shared" si="6"/>
        <v>2.0570197138637236</v>
      </c>
      <c r="T35">
        <f t="shared" si="7"/>
        <v>-2.0175559542928254</v>
      </c>
      <c r="U35">
        <f t="shared" si="8"/>
        <v>-40.817306086495009</v>
      </c>
      <c r="V35">
        <f t="shared" si="9"/>
        <v>-4081.7306086495009</v>
      </c>
    </row>
    <row r="36" spans="3:22" x14ac:dyDescent="0.25">
      <c r="C36">
        <v>45</v>
      </c>
      <c r="D36">
        <f t="shared" si="2"/>
        <v>18.25809084205348</v>
      </c>
      <c r="E36">
        <f t="shared" si="2"/>
        <v>18.169676141898595</v>
      </c>
      <c r="F36">
        <f t="shared" si="2"/>
        <v>18.034650143185321</v>
      </c>
      <c r="G36">
        <f t="shared" si="2"/>
        <v>17.862866076445137</v>
      </c>
      <c r="H36">
        <f t="shared" si="2"/>
        <v>13.715160847724311</v>
      </c>
      <c r="J36">
        <f t="shared" si="3"/>
        <v>14.499413983305763</v>
      </c>
      <c r="K36">
        <v>45</v>
      </c>
      <c r="L36" s="1">
        <f t="shared" si="4"/>
        <v>8.1412001304269663E-2</v>
      </c>
      <c r="M36" s="1">
        <f t="shared" si="10"/>
        <v>9.0286974872096568E-2</v>
      </c>
      <c r="N36" s="1">
        <f t="shared" si="11"/>
        <v>0.10375760490188315</v>
      </c>
      <c r="O36" s="1">
        <f t="shared" si="12"/>
        <v>0.12075010652995077</v>
      </c>
      <c r="P36" s="1">
        <f t="shared" si="13"/>
        <v>0.48166343004264256</v>
      </c>
      <c r="R36">
        <f t="shared" si="5"/>
        <v>2.6181866764593504E-4</v>
      </c>
      <c r="S36">
        <f t="shared" si="6"/>
        <v>2.0421856076382934</v>
      </c>
      <c r="T36">
        <f t="shared" si="7"/>
        <v>-1.9927566730090096</v>
      </c>
      <c r="U36">
        <f t="shared" si="8"/>
        <v>-34.020650759563097</v>
      </c>
      <c r="V36">
        <f t="shared" si="9"/>
        <v>-3402.0650759563096</v>
      </c>
    </row>
    <row r="37" spans="3:22" x14ac:dyDescent="0.25">
      <c r="C37">
        <v>50</v>
      </c>
      <c r="D37">
        <f t="shared" si="2"/>
        <v>18.194088186336359</v>
      </c>
      <c r="E37">
        <f t="shared" si="2"/>
        <v>18.098527747863432</v>
      </c>
      <c r="F37">
        <f t="shared" si="2"/>
        <v>17.952588852864285</v>
      </c>
      <c r="G37">
        <f t="shared" si="2"/>
        <v>17.766921076899457</v>
      </c>
      <c r="H37">
        <f t="shared" si="2"/>
        <v>13.283995391253629</v>
      </c>
      <c r="J37">
        <f t="shared" si="3"/>
        <v>15.671266830266042</v>
      </c>
      <c r="K37">
        <v>50</v>
      </c>
      <c r="L37" s="1">
        <f t="shared" si="4"/>
        <v>8.7840825201853684E-2</v>
      </c>
      <c r="M37" s="1">
        <f t="shared" si="10"/>
        <v>9.7397492053147225E-2</v>
      </c>
      <c r="N37" s="1">
        <f t="shared" si="11"/>
        <v>0.11189521560202263</v>
      </c>
      <c r="O37" s="1">
        <f t="shared" si="12"/>
        <v>0.1301699917945614</v>
      </c>
      <c r="P37" s="1">
        <f t="shared" si="13"/>
        <v>0.51374120168682302</v>
      </c>
      <c r="R37">
        <f t="shared" si="5"/>
        <v>2.5998630524866264E-4</v>
      </c>
      <c r="S37">
        <f t="shared" si="6"/>
        <v>2.0278931809395684</v>
      </c>
      <c r="T37">
        <f t="shared" si="7"/>
        <v>-1.9693182675114691</v>
      </c>
      <c r="U37">
        <f t="shared" si="8"/>
        <v>-29.339305908603421</v>
      </c>
      <c r="V37">
        <f t="shared" si="9"/>
        <v>-2933.9305908603419</v>
      </c>
    </row>
    <row r="38" spans="3:22" x14ac:dyDescent="0.25">
      <c r="C38">
        <v>55</v>
      </c>
      <c r="D38">
        <f t="shared" si="2"/>
        <v>18.13198524658868</v>
      </c>
      <c r="E38">
        <f t="shared" si="2"/>
        <v>18.029491168390251</v>
      </c>
      <c r="F38">
        <f t="shared" si="2"/>
        <v>17.872963291841494</v>
      </c>
      <c r="G38">
        <f t="shared" si="2"/>
        <v>17.67382390055397</v>
      </c>
      <c r="H38">
        <f t="shared" si="2"/>
        <v>12.865627714718052</v>
      </c>
      <c r="K38">
        <v>55</v>
      </c>
      <c r="L38" s="1">
        <f t="shared" si="4"/>
        <v>9.4057249584917235E-2</v>
      </c>
      <c r="M38" s="1">
        <f t="shared" si="10"/>
        <v>0.10427028804964936</v>
      </c>
      <c r="N38" s="1">
        <f t="shared" si="11"/>
        <v>0.11975581090922893</v>
      </c>
      <c r="O38" s="1">
        <f t="shared" si="12"/>
        <v>0.13926178169675663</v>
      </c>
      <c r="P38" s="1">
        <f t="shared" si="13"/>
        <v>0.54388747254780201</v>
      </c>
      <c r="R38">
        <f t="shared" si="5"/>
        <v>2.5821448158908257E-4</v>
      </c>
      <c r="S38">
        <f t="shared" si="6"/>
        <v>2.0140729563948438</v>
      </c>
      <c r="T38">
        <f t="shared" si="7"/>
        <v>-1.9469507731487163</v>
      </c>
      <c r="U38">
        <f t="shared" si="8"/>
        <v>-25.889344644622085</v>
      </c>
      <c r="V38">
        <f t="shared" si="9"/>
        <v>-2588.9344644622083</v>
      </c>
    </row>
    <row r="39" spans="3:22" x14ac:dyDescent="0.25">
      <c r="C39">
        <v>60</v>
      </c>
      <c r="D39">
        <f t="shared" si="2"/>
        <v>18.071554206222039</v>
      </c>
      <c r="E39">
        <f t="shared" si="2"/>
        <v>17.962313151731635</v>
      </c>
      <c r="F39">
        <f t="shared" si="2"/>
        <v>17.795481364062635</v>
      </c>
      <c r="G39">
        <f t="shared" si="2"/>
        <v>17.583233032478926</v>
      </c>
      <c r="H39">
        <f t="shared" si="2"/>
        <v>12.458523090499927</v>
      </c>
      <c r="K39">
        <v>60</v>
      </c>
      <c r="L39" s="1">
        <f t="shared" si="4"/>
        <v>0.10008591445795618</v>
      </c>
      <c r="M39" s="1">
        <f t="shared" si="10"/>
        <v>0.1109328435023971</v>
      </c>
      <c r="N39" s="1">
        <f t="shared" si="11"/>
        <v>0.12737124440118064</v>
      </c>
      <c r="O39" s="1">
        <f t="shared" si="12"/>
        <v>0.14806295389406762</v>
      </c>
      <c r="P39" s="1">
        <f t="shared" si="13"/>
        <v>0.57229614677077212</v>
      </c>
      <c r="R39">
        <f t="shared" si="5"/>
        <v>2.5649617370025312E-4</v>
      </c>
      <c r="S39">
        <f t="shared" si="6"/>
        <v>2.0006701548619743</v>
      </c>
      <c r="T39">
        <f t="shared" si="7"/>
        <v>-1.9254673716369015</v>
      </c>
      <c r="U39">
        <f t="shared" si="8"/>
        <v>-23.225295764940423</v>
      </c>
      <c r="V39">
        <f t="shared" si="9"/>
        <v>-2322.5295764940424</v>
      </c>
    </row>
    <row r="40" spans="3:22" x14ac:dyDescent="0.25">
      <c r="C40">
        <v>65</v>
      </c>
      <c r="D40">
        <f t="shared" si="2"/>
        <v>18.0126116677786</v>
      </c>
      <c r="E40">
        <f t="shared" si="2"/>
        <v>17.896789824556876</v>
      </c>
      <c r="F40">
        <f t="shared" si="2"/>
        <v>17.719907925659637</v>
      </c>
      <c r="G40">
        <f t="shared" si="2"/>
        <v>17.494873545504326</v>
      </c>
      <c r="H40">
        <f t="shared" si="2"/>
        <v>12.0614460284819</v>
      </c>
      <c r="K40">
        <v>65</v>
      </c>
      <c r="L40" s="1">
        <f t="shared" si="4"/>
        <v>0.10594669616716922</v>
      </c>
      <c r="M40" s="1">
        <f t="shared" si="10"/>
        <v>0.11740733110308527</v>
      </c>
      <c r="N40" s="1">
        <f t="shared" si="11"/>
        <v>0.13476722564916119</v>
      </c>
      <c r="O40" s="1">
        <f t="shared" si="12"/>
        <v>0.15660376995697972</v>
      </c>
      <c r="P40" s="1">
        <f t="shared" si="13"/>
        <v>0.59912516365144419</v>
      </c>
      <c r="R40">
        <f t="shared" si="5"/>
        <v>2.5482571636720658E-4</v>
      </c>
      <c r="S40">
        <f t="shared" si="6"/>
        <v>1.9876405876642114</v>
      </c>
      <c r="T40">
        <f t="shared" si="7"/>
        <v>-1.904736697391973</v>
      </c>
      <c r="U40">
        <f t="shared" si="8"/>
        <v>-21.096472664969497</v>
      </c>
      <c r="V40">
        <f t="shared" si="9"/>
        <v>-2109.6472664969497</v>
      </c>
    </row>
    <row r="41" spans="3:22" x14ac:dyDescent="0.25">
      <c r="C41">
        <v>70</v>
      </c>
      <c r="D41">
        <f t="shared" si="2"/>
        <v>17.955007176468662</v>
      </c>
      <c r="E41">
        <f t="shared" si="2"/>
        <v>17.832753934170874</v>
      </c>
      <c r="F41">
        <f t="shared" si="2"/>
        <v>17.646050070353237</v>
      </c>
      <c r="G41">
        <f t="shared" si="2"/>
        <v>17.408519896102828</v>
      </c>
      <c r="H41">
        <f t="shared" si="2"/>
        <v>11.67338296278373</v>
      </c>
      <c r="K41">
        <v>70</v>
      </c>
      <c r="L41" s="1">
        <f t="shared" si="4"/>
        <v>0.11165593318579724</v>
      </c>
      <c r="M41" s="1">
        <f t="shared" si="10"/>
        <v>0.12371198083042456</v>
      </c>
      <c r="N41" s="1">
        <f t="shared" si="11"/>
        <v>0.14196489942777052</v>
      </c>
      <c r="O41" s="1">
        <f t="shared" si="12"/>
        <v>0.16490912855930168</v>
      </c>
      <c r="P41" s="1">
        <f t="shared" si="13"/>
        <v>0.62450556335156282</v>
      </c>
      <c r="R41">
        <f t="shared" si="5"/>
        <v>2.5319845274998708E-4</v>
      </c>
      <c r="S41">
        <f t="shared" si="6"/>
        <v>1.9749479314498992</v>
      </c>
      <c r="T41">
        <f t="shared" si="7"/>
        <v>-1.8846609565778027</v>
      </c>
      <c r="U41">
        <f t="shared" si="8"/>
        <v>-19.350200060073348</v>
      </c>
      <c r="V41">
        <f t="shared" si="9"/>
        <v>-1935.0200060073348</v>
      </c>
    </row>
    <row r="42" spans="3:22" x14ac:dyDescent="0.25">
      <c r="C42">
        <v>75</v>
      </c>
      <c r="D42">
        <f t="shared" si="2"/>
        <v>17.898615331282677</v>
      </c>
      <c r="E42">
        <f t="shared" si="2"/>
        <v>17.770066078851318</v>
      </c>
      <c r="F42">
        <f t="shared" si="2"/>
        <v>17.573747014680063</v>
      </c>
      <c r="G42">
        <f t="shared" si="2"/>
        <v>17.323984098328083</v>
      </c>
      <c r="H42">
        <f t="shared" si="2"/>
        <v>11.29348910684277</v>
      </c>
      <c r="K42">
        <v>75</v>
      </c>
      <c r="L42" s="1">
        <f t="shared" si="4"/>
        <v>0.11722726964617956</v>
      </c>
      <c r="M42" s="1">
        <f t="shared" si="10"/>
        <v>0.12986201955968252</v>
      </c>
      <c r="N42" s="1">
        <f t="shared" si="11"/>
        <v>0.14898193278917493</v>
      </c>
      <c r="O42" s="1">
        <f t="shared" si="12"/>
        <v>0.17299984144742922</v>
      </c>
      <c r="P42" s="1">
        <f t="shared" si="13"/>
        <v>0.64854776088239585</v>
      </c>
      <c r="R42">
        <f t="shared" si="5"/>
        <v>2.5161049395764967E-4</v>
      </c>
      <c r="S42">
        <f t="shared" si="6"/>
        <v>1.9625618528696673</v>
      </c>
      <c r="T42">
        <f t="shared" si="7"/>
        <v>-1.86516436081652</v>
      </c>
      <c r="U42">
        <f t="shared" si="8"/>
        <v>-17.887783717720268</v>
      </c>
      <c r="V42">
        <f t="shared" si="9"/>
        <v>-1788.7783717720267</v>
      </c>
    </row>
    <row r="43" spans="3:22" x14ac:dyDescent="0.25">
      <c r="C43">
        <v>80</v>
      </c>
      <c r="D43">
        <f t="shared" si="2"/>
        <v>17.843330193858275</v>
      </c>
      <c r="E43">
        <f t="shared" si="2"/>
        <v>17.708608492479517</v>
      </c>
      <c r="F43">
        <f t="shared" si="2"/>
        <v>17.502862929296573</v>
      </c>
      <c r="G43">
        <f t="shared" si="2"/>
        <v>17.24110734226797</v>
      </c>
      <c r="H43">
        <f t="shared" si="2"/>
        <v>10.921050787736258</v>
      </c>
      <c r="K43">
        <v>80</v>
      </c>
      <c r="L43" s="1">
        <f t="shared" si="4"/>
        <v>0.1226722538228467</v>
      </c>
      <c r="M43" s="1">
        <f t="shared" si="10"/>
        <v>0.13587033779068008</v>
      </c>
      <c r="N43" s="1">
        <f t="shared" si="11"/>
        <v>0.15583328656665577</v>
      </c>
      <c r="O43" s="1">
        <f t="shared" si="12"/>
        <v>0.18089353920789597</v>
      </c>
      <c r="P43" s="1">
        <f t="shared" si="13"/>
        <v>0.67134602184246517</v>
      </c>
    </row>
    <row r="44" spans="3:22" x14ac:dyDescent="0.25">
      <c r="C44">
        <v>85</v>
      </c>
      <c r="D44">
        <f t="shared" si="2"/>
        <v>17.789061221869574</v>
      </c>
      <c r="E44">
        <f t="shared" si="2"/>
        <v>17.648280523902702</v>
      </c>
      <c r="F44">
        <f t="shared" si="2"/>
        <v>17.43328172495605</v>
      </c>
      <c r="G44">
        <f t="shared" si="2"/>
        <v>17.159753897876325</v>
      </c>
      <c r="H44">
        <f t="shared" si="2"/>
        <v>10.555458050723582</v>
      </c>
      <c r="K44">
        <v>85</v>
      </c>
      <c r="L44" s="1">
        <f t="shared" si="4"/>
        <v>0.12800077388437964</v>
      </c>
      <c r="M44" s="1">
        <f t="shared" si="10"/>
        <v>0.14174797514383752</v>
      </c>
      <c r="N44" s="1">
        <f t="shared" si="11"/>
        <v>0.16253177726335138</v>
      </c>
      <c r="O44" s="1">
        <f t="shared" si="12"/>
        <v>0.18860533108567237</v>
      </c>
      <c r="P44" s="1">
        <f t="shared" si="13"/>
        <v>0.69298173845430855</v>
      </c>
    </row>
    <row r="45" spans="3:22" x14ac:dyDescent="0.25">
      <c r="C45">
        <v>90</v>
      </c>
      <c r="D45">
        <f t="shared" si="2"/>
        <v>17.735730244742207</v>
      </c>
      <c r="E45">
        <f t="shared" si="2"/>
        <v>17.588995274995085</v>
      </c>
      <c r="F45">
        <f t="shared" si="2"/>
        <v>17.364903174908122</v>
      </c>
      <c r="G45">
        <f t="shared" si="2"/>
        <v>17.079806581332601</v>
      </c>
      <c r="H45">
        <f t="shared" si="2"/>
        <v>10.196184285603914</v>
      </c>
      <c r="K45">
        <v>90</v>
      </c>
      <c r="L45" s="1">
        <f t="shared" si="4"/>
        <v>0.13322138228790523</v>
      </c>
      <c r="M45" s="1">
        <f t="shared" si="10"/>
        <v>0.14750448182693834</v>
      </c>
      <c r="N45" s="1">
        <f t="shared" si="11"/>
        <v>0.16908849546659449</v>
      </c>
      <c r="O45" s="1">
        <f t="shared" si="12"/>
        <v>0.19614829642746326</v>
      </c>
      <c r="P45" s="1">
        <f t="shared" si="13"/>
        <v>0.71352588095701674</v>
      </c>
    </row>
    <row r="46" spans="3:22" x14ac:dyDescent="0.25">
      <c r="C46">
        <v>95</v>
      </c>
      <c r="D46">
        <f t="shared" si="2"/>
        <v>17.68326917068984</v>
      </c>
      <c r="E46">
        <f t="shared" si="2"/>
        <v>17.530677051690688</v>
      </c>
      <c r="F46">
        <f t="shared" si="2"/>
        <v>17.297639974965417</v>
      </c>
      <c r="G46">
        <f t="shared" si="2"/>
        <v>17.00116331770981</v>
      </c>
      <c r="H46">
        <f t="shared" si="2"/>
        <v>9.8427707797533994</v>
      </c>
      <c r="K46">
        <v>95</v>
      </c>
      <c r="L46" s="1">
        <f t="shared" si="4"/>
        <v>0.13834154197595844</v>
      </c>
      <c r="M46" s="1">
        <f t="shared" si="10"/>
        <v>0.15314819299763835</v>
      </c>
      <c r="N46" s="1">
        <f t="shared" si="11"/>
        <v>0.17551312348765397</v>
      </c>
      <c r="O46" s="1">
        <f t="shared" si="12"/>
        <v>0.20353385783938743</v>
      </c>
      <c r="P46" s="1">
        <f t="shared" si="13"/>
        <v>0.73304086738788687</v>
      </c>
    </row>
    <row r="47" spans="3:22" x14ac:dyDescent="0.25">
      <c r="C47">
        <v>100</v>
      </c>
      <c r="D47">
        <f t="shared" si="2"/>
        <v>17.631618218556671</v>
      </c>
      <c r="E47">
        <f t="shared" si="2"/>
        <v>17.473259398415419</v>
      </c>
      <c r="F47">
        <f t="shared" si="2"/>
        <v>17.23141547645255</v>
      </c>
      <c r="G47">
        <f t="shared" si="2"/>
        <v>16.923734490367806</v>
      </c>
      <c r="H47">
        <f t="shared" si="2"/>
        <v>9.4948148066126556</v>
      </c>
      <c r="K47">
        <v>100</v>
      </c>
      <c r="L47" s="1">
        <f t="shared" si="4"/>
        <v>0.14336781641091045</v>
      </c>
      <c r="M47" s="1">
        <f t="shared" si="10"/>
        <v>0.15868644056099687</v>
      </c>
      <c r="N47" s="1">
        <f t="shared" si="11"/>
        <v>0.18181418060738488</v>
      </c>
      <c r="O47" s="1">
        <f t="shared" si="12"/>
        <v>0.21077206935619106</v>
      </c>
      <c r="P47" s="1">
        <f t="shared" si="13"/>
        <v>0.75158201386909451</v>
      </c>
    </row>
    <row r="49" spans="3:8" x14ac:dyDescent="0.25">
      <c r="C49" t="s">
        <v>50</v>
      </c>
      <c r="D49">
        <v>0.36</v>
      </c>
      <c r="E49">
        <v>0.4</v>
      </c>
      <c r="F49">
        <v>0.42</v>
      </c>
      <c r="G49">
        <v>0.5</v>
      </c>
      <c r="H49">
        <v>0.8</v>
      </c>
    </row>
    <row r="50" spans="3:8" x14ac:dyDescent="0.25">
      <c r="C50">
        <v>5</v>
      </c>
      <c r="D50">
        <f>+D19/25.4</f>
        <v>0.74506530483898725</v>
      </c>
      <c r="E50">
        <f t="shared" ref="E50:H50" si="14">+E19/25.4</f>
        <v>0.74451435832114665</v>
      </c>
      <c r="F50">
        <f t="shared" si="14"/>
        <v>0.7436729586027887</v>
      </c>
      <c r="G50">
        <f t="shared" si="14"/>
        <v>0.74260250501051028</v>
      </c>
      <c r="H50">
        <f t="shared" si="14"/>
        <v>0.71675653427499053</v>
      </c>
    </row>
    <row r="51" spans="3:8" x14ac:dyDescent="0.25">
      <c r="C51">
        <v>5.5</v>
      </c>
      <c r="D51">
        <f t="shared" ref="D51:H51" si="15">+D20/25.4</f>
        <v>0.74453308375157368</v>
      </c>
      <c r="E51">
        <f t="shared" si="15"/>
        <v>0.74392271606479266</v>
      </c>
      <c r="F51">
        <f t="shared" si="15"/>
        <v>0.7429905689631735</v>
      </c>
      <c r="G51">
        <f t="shared" si="15"/>
        <v>0.74180466386754618</v>
      </c>
      <c r="H51">
        <f t="shared" si="15"/>
        <v>0.71317113073935867</v>
      </c>
    </row>
    <row r="52" spans="3:8" x14ac:dyDescent="0.25">
      <c r="C52">
        <v>6</v>
      </c>
      <c r="D52">
        <f t="shared" ref="D52:H52" si="16">+D21/25.4</f>
        <v>0.74402126724230888</v>
      </c>
      <c r="E52">
        <f t="shared" si="16"/>
        <v>0.74335375650730473</v>
      </c>
      <c r="F52">
        <f t="shared" si="16"/>
        <v>0.74233434114438568</v>
      </c>
      <c r="G52">
        <f t="shared" si="16"/>
        <v>0.74103741078720653</v>
      </c>
      <c r="H52">
        <f t="shared" si="16"/>
        <v>0.70972318633183773</v>
      </c>
    </row>
    <row r="53" spans="3:8" x14ac:dyDescent="0.25">
      <c r="C53">
        <v>6.5</v>
      </c>
      <c r="D53">
        <f t="shared" ref="D53:H53" si="17">+D22/25.4</f>
        <v>0.74352677583696258</v>
      </c>
      <c r="E53">
        <f t="shared" si="17"/>
        <v>0.74280405635876601</v>
      </c>
      <c r="F53">
        <f t="shared" si="17"/>
        <v>0.7417003267848139</v>
      </c>
      <c r="G53">
        <f t="shared" si="17"/>
        <v>0.74029612939615019</v>
      </c>
      <c r="H53">
        <f t="shared" si="17"/>
        <v>0.70639195561776702</v>
      </c>
    </row>
    <row r="54" spans="3:8" x14ac:dyDescent="0.25">
      <c r="C54">
        <v>7</v>
      </c>
      <c r="D54">
        <f t="shared" ref="D54:H54" si="18">+D23/25.4</f>
        <v>0.74304726983538649</v>
      </c>
      <c r="E54">
        <f t="shared" si="18"/>
        <v>0.7422710146972894</v>
      </c>
      <c r="F54">
        <f t="shared" si="18"/>
        <v>0.7410855260274839</v>
      </c>
      <c r="G54">
        <f t="shared" si="18"/>
        <v>0.73957731230039236</v>
      </c>
      <c r="H54">
        <f t="shared" si="18"/>
        <v>0.70316167678427988</v>
      </c>
    </row>
    <row r="55" spans="3:8" x14ac:dyDescent="0.25">
      <c r="C55">
        <v>7.5</v>
      </c>
      <c r="D55">
        <f t="shared" ref="D55:H55" si="19">+D24/25.4</f>
        <v>0.74258091793826897</v>
      </c>
      <c r="E55">
        <f t="shared" si="19"/>
        <v>0.74175259576352193</v>
      </c>
      <c r="F55">
        <f t="shared" si="19"/>
        <v>0.74048759086382021</v>
      </c>
      <c r="G55">
        <f t="shared" si="19"/>
        <v>0.73887821423866773</v>
      </c>
      <c r="H55">
        <f t="shared" si="19"/>
        <v>0.70002001295262029</v>
      </c>
    </row>
    <row r="56" spans="3:8" x14ac:dyDescent="0.25">
      <c r="C56">
        <v>8</v>
      </c>
      <c r="D56">
        <f t="shared" ref="D56:H56" si="20">+D25/25.4</f>
        <v>0.74212625213420225</v>
      </c>
      <c r="E56">
        <f t="shared" si="20"/>
        <v>0.74124716764621013</v>
      </c>
      <c r="F56">
        <f t="shared" si="20"/>
        <v>0.73990463907645254</v>
      </c>
      <c r="G56">
        <f t="shared" si="20"/>
        <v>0.73819663454676498</v>
      </c>
      <c r="H56">
        <f t="shared" si="20"/>
        <v>0.69695707459864742</v>
      </c>
    </row>
    <row r="57" spans="3:8" x14ac:dyDescent="0.25">
      <c r="C57">
        <v>8.5</v>
      </c>
      <c r="D57">
        <f t="shared" ref="D57:H57" si="21">+D26/25.4</f>
        <v>0.74168207232912142</v>
      </c>
      <c r="E57">
        <f t="shared" si="21"/>
        <v>0.74075339626375314</v>
      </c>
      <c r="F57">
        <f t="shared" si="21"/>
        <v>0.73933513195942635</v>
      </c>
      <c r="G57">
        <f t="shared" si="21"/>
        <v>0.73753077418957869</v>
      </c>
      <c r="H57">
        <f t="shared" si="21"/>
        <v>0.69396477707182003</v>
      </c>
    </row>
    <row r="58" spans="3:8" x14ac:dyDescent="0.25">
      <c r="C58">
        <v>9</v>
      </c>
      <c r="D58">
        <f t="shared" ref="D58:H58" si="22">+D27/25.4</f>
        <v>0.74124738123333467</v>
      </c>
      <c r="E58">
        <f t="shared" si="22"/>
        <v>0.74027017298153031</v>
      </c>
      <c r="F58">
        <f t="shared" si="22"/>
        <v>0.73877779083331774</v>
      </c>
      <c r="G58">
        <f t="shared" si="22"/>
        <v>0.73687913815166017</v>
      </c>
      <c r="H58">
        <f t="shared" si="22"/>
        <v>0.69103640194990357</v>
      </c>
    </row>
    <row r="59" spans="3:8" x14ac:dyDescent="0.25">
      <c r="C59">
        <v>9.5</v>
      </c>
      <c r="D59">
        <f t="shared" ref="D59:H59" si="23">+D28/25.4</f>
        <v>0.74082133847659459</v>
      </c>
      <c r="E59">
        <f t="shared" si="23"/>
        <v>0.73979656360403279</v>
      </c>
      <c r="F59">
        <f t="shared" si="23"/>
        <v>0.73823153821366783</v>
      </c>
      <c r="G59">
        <f t="shared" si="23"/>
        <v>0.73624046665211285</v>
      </c>
      <c r="H59">
        <f t="shared" si="23"/>
        <v>0.68816628792685763</v>
      </c>
    </row>
    <row r="60" spans="3:8" x14ac:dyDescent="0.25">
      <c r="C60">
        <v>10</v>
      </c>
      <c r="D60">
        <f t="shared" ref="D60:H60" si="24">+D29/25.4</f>
        <v>0.74040322739662956</v>
      </c>
      <c r="E60">
        <f t="shared" si="24"/>
        <v>0.73933177145541795</v>
      </c>
      <c r="F60">
        <f t="shared" si="24"/>
        <v>0.7376954552287508</v>
      </c>
      <c r="G60">
        <f t="shared" si="24"/>
        <v>0.73561368535799609</v>
      </c>
      <c r="H60">
        <f t="shared" si="24"/>
        <v>0.68534960707777959</v>
      </c>
    </row>
    <row r="61" spans="3:8" x14ac:dyDescent="0.25">
      <c r="C61">
        <v>15</v>
      </c>
      <c r="D61">
        <f t="shared" ref="D61:H61" si="25">+D30/25.4</f>
        <v>0.73655340955618331</v>
      </c>
      <c r="E61">
        <f t="shared" si="25"/>
        <v>0.73505213096852517</v>
      </c>
      <c r="F61">
        <f t="shared" si="25"/>
        <v>0.73275939412396995</v>
      </c>
      <c r="G61">
        <f t="shared" si="25"/>
        <v>0.72984250654027494</v>
      </c>
      <c r="H61">
        <f t="shared" si="25"/>
        <v>0.65941461347624208</v>
      </c>
    </row>
    <row r="62" spans="3:8" x14ac:dyDescent="0.25">
      <c r="C62">
        <v>20</v>
      </c>
      <c r="D62">
        <f t="shared" ref="D62:H62" si="26">+D31/25.4</f>
        <v>0.7331144819703318</v>
      </c>
      <c r="E62">
        <f t="shared" si="26"/>
        <v>0.73122925561757168</v>
      </c>
      <c r="F62">
        <f t="shared" si="26"/>
        <v>0.72835015779067047</v>
      </c>
      <c r="G62">
        <f t="shared" si="26"/>
        <v>0.72468728443323538</v>
      </c>
      <c r="H62">
        <f t="shared" si="26"/>
        <v>0.63624765632876557</v>
      </c>
    </row>
    <row r="63" spans="3:8" x14ac:dyDescent="0.25">
      <c r="C63">
        <v>25</v>
      </c>
      <c r="D63">
        <f t="shared" ref="D63:H63" si="27">+D32/25.4</f>
        <v>0.72994235550458131</v>
      </c>
      <c r="E63">
        <f t="shared" si="27"/>
        <v>0.72770296907233667</v>
      </c>
      <c r="F63">
        <f t="shared" si="27"/>
        <v>0.7242830017027807</v>
      </c>
      <c r="G63">
        <f t="shared" si="27"/>
        <v>0.71993201812584295</v>
      </c>
      <c r="H63">
        <f t="shared" si="27"/>
        <v>0.61487805314178123</v>
      </c>
    </row>
    <row r="64" spans="3:8" x14ac:dyDescent="0.25">
      <c r="C64">
        <v>30</v>
      </c>
      <c r="D64">
        <f t="shared" ref="D64:H64" si="28">+D33/25.4</f>
        <v>0.72696392265787313</v>
      </c>
      <c r="E64">
        <f t="shared" si="28"/>
        <v>0.72439200155996564</v>
      </c>
      <c r="F64">
        <f t="shared" si="28"/>
        <v>0.7204641907519399</v>
      </c>
      <c r="G64">
        <f t="shared" si="28"/>
        <v>0.71546711374144867</v>
      </c>
      <c r="H64">
        <f t="shared" si="28"/>
        <v>0.59481330202279525</v>
      </c>
    </row>
    <row r="65" spans="3:8" x14ac:dyDescent="0.25">
      <c r="C65">
        <v>35</v>
      </c>
      <c r="D65">
        <f t="shared" ref="D65:H65" si="29">+D34/25.4</f>
        <v>0.72413553507543715</v>
      </c>
      <c r="E65">
        <f t="shared" si="29"/>
        <v>0.7212478314947619</v>
      </c>
      <c r="F65">
        <f t="shared" si="29"/>
        <v>0.71683776100551588</v>
      </c>
      <c r="G65">
        <f t="shared" si="29"/>
        <v>0.71122713897366363</v>
      </c>
      <c r="H65">
        <f t="shared" si="29"/>
        <v>0.57575935794199073</v>
      </c>
    </row>
    <row r="66" spans="3:8" x14ac:dyDescent="0.25">
      <c r="C66">
        <v>40</v>
      </c>
      <c r="D66">
        <f t="shared" ref="D66:H66" si="30">+D35/25.4</f>
        <v>0.72142845544552847</v>
      </c>
      <c r="E66">
        <f t="shared" si="30"/>
        <v>0.71823851311515308</v>
      </c>
      <c r="F66">
        <f t="shared" si="30"/>
        <v>0.71336686679115779</v>
      </c>
      <c r="G66">
        <f t="shared" si="30"/>
        <v>0.70716901433880996</v>
      </c>
      <c r="H66">
        <f t="shared" si="30"/>
        <v>0.5575226268055381</v>
      </c>
    </row>
    <row r="67" spans="3:8" x14ac:dyDescent="0.25">
      <c r="C67">
        <v>45</v>
      </c>
      <c r="D67">
        <f t="shared" ref="D67:H67" si="31">+D36/25.4</f>
        <v>0.71882247409659372</v>
      </c>
      <c r="E67">
        <f t="shared" si="31"/>
        <v>0.71534158038970852</v>
      </c>
      <c r="F67">
        <f t="shared" si="31"/>
        <v>0.71002559618839844</v>
      </c>
      <c r="G67">
        <f t="shared" si="31"/>
        <v>0.70326244395453297</v>
      </c>
      <c r="H67">
        <f t="shared" si="31"/>
        <v>0.53996696250883114</v>
      </c>
    </row>
    <row r="68" spans="3:8" x14ac:dyDescent="0.25">
      <c r="C68">
        <v>50</v>
      </c>
      <c r="D68">
        <f t="shared" ref="D68:H68" si="32">+D37/25.4</f>
        <v>0.71630268450143153</v>
      </c>
      <c r="E68">
        <f t="shared" si="32"/>
        <v>0.71254046251430836</v>
      </c>
      <c r="F68">
        <f t="shared" si="32"/>
        <v>0.70679483672694032</v>
      </c>
      <c r="G68">
        <f t="shared" si="32"/>
        <v>0.69948508176769519</v>
      </c>
      <c r="H68">
        <f t="shared" si="32"/>
        <v>0.5229919445375445</v>
      </c>
    </row>
    <row r="69" spans="3:8" x14ac:dyDescent="0.25">
      <c r="C69">
        <v>55</v>
      </c>
      <c r="D69">
        <f t="shared" ref="D69:H69" si="33">+D38/25.4</f>
        <v>0.7138576868735701</v>
      </c>
      <c r="E69">
        <f t="shared" si="33"/>
        <v>0.70982248694449812</v>
      </c>
      <c r="F69">
        <f t="shared" si="33"/>
        <v>0.70365997211974385</v>
      </c>
      <c r="G69">
        <f t="shared" si="33"/>
        <v>0.69581983860448704</v>
      </c>
      <c r="H69">
        <f t="shared" si="33"/>
        <v>0.50652077617000202</v>
      </c>
    </row>
    <row r="70" spans="3:8" x14ac:dyDescent="0.25">
      <c r="C70">
        <v>60</v>
      </c>
      <c r="D70">
        <f t="shared" ref="D70:H70" si="34">+D39/25.4</f>
        <v>0.71147851205598589</v>
      </c>
      <c r="E70">
        <f t="shared" si="34"/>
        <v>0.70717768313904084</v>
      </c>
      <c r="F70">
        <f t="shared" si="34"/>
        <v>0.70060950252215104</v>
      </c>
      <c r="G70">
        <f t="shared" si="34"/>
        <v>0.69225326899523332</v>
      </c>
      <c r="H70">
        <f t="shared" si="34"/>
        <v>0.49049303505905228</v>
      </c>
    </row>
    <row r="71" spans="3:8" x14ac:dyDescent="0.25">
      <c r="C71">
        <v>65</v>
      </c>
      <c r="D71">
        <f t="shared" ref="D71:H71" si="35">+D40/25.4</f>
        <v>0.7091579396763229</v>
      </c>
      <c r="E71">
        <f t="shared" si="35"/>
        <v>0.70459802458885346</v>
      </c>
      <c r="F71">
        <f t="shared" si="35"/>
        <v>0.6976341703015605</v>
      </c>
      <c r="G71">
        <f t="shared" si="35"/>
        <v>0.68877454903560342</v>
      </c>
      <c r="H71">
        <f t="shared" si="35"/>
        <v>0.47486007986149215</v>
      </c>
    </row>
    <row r="72" spans="3:8" x14ac:dyDescent="0.25">
      <c r="C72">
        <v>70</v>
      </c>
      <c r="D72">
        <f t="shared" ref="D72:H72" si="36">+D41/25.4</f>
        <v>0.70689004631766394</v>
      </c>
      <c r="E72">
        <f t="shared" si="36"/>
        <v>0.70207692654216047</v>
      </c>
      <c r="F72">
        <f t="shared" si="36"/>
        <v>0.69472638072256843</v>
      </c>
      <c r="G72">
        <f t="shared" si="36"/>
        <v>0.68537479905916643</v>
      </c>
      <c r="H72">
        <f t="shared" si="36"/>
        <v>0.45958200640880831</v>
      </c>
    </row>
    <row r="73" spans="3:8" x14ac:dyDescent="0.25">
      <c r="C73">
        <v>75</v>
      </c>
      <c r="D73">
        <f t="shared" ref="D73:H73" si="37">+D42/25.4</f>
        <v>0.70466989493238885</v>
      </c>
      <c r="E73">
        <f t="shared" si="37"/>
        <v>0.69960890074217796</v>
      </c>
      <c r="F73">
        <f t="shared" si="37"/>
        <v>0.69187980372756153</v>
      </c>
      <c r="G73">
        <f t="shared" si="37"/>
        <v>0.6820466180444128</v>
      </c>
      <c r="H73">
        <f t="shared" si="37"/>
        <v>0.44462555538751064</v>
      </c>
    </row>
    <row r="74" spans="3:8" x14ac:dyDescent="0.25">
      <c r="C74">
        <v>80</v>
      </c>
      <c r="D74">
        <f t="shared" ref="D74:H74" si="38">+D43/25.4</f>
        <v>0.70249331471882981</v>
      </c>
      <c r="E74">
        <f t="shared" si="38"/>
        <v>0.69718931072754009</v>
      </c>
      <c r="F74">
        <f t="shared" si="38"/>
        <v>0.68908909170458954</v>
      </c>
      <c r="G74">
        <f t="shared" si="38"/>
        <v>0.67878375363259724</v>
      </c>
      <c r="H74">
        <f t="shared" si="38"/>
        <v>0.42996262943843538</v>
      </c>
    </row>
    <row r="75" spans="3:8" x14ac:dyDescent="0.25">
      <c r="C75">
        <v>85</v>
      </c>
      <c r="D75">
        <f t="shared" ref="D75:H75" si="39">+D44/25.4</f>
        <v>0.70035674101848722</v>
      </c>
      <c r="E75">
        <f t="shared" si="39"/>
        <v>0.6948141938544371</v>
      </c>
      <c r="F75">
        <f t="shared" si="39"/>
        <v>0.68634967421086812</v>
      </c>
      <c r="G75">
        <f t="shared" si="39"/>
        <v>0.67558086212111523</v>
      </c>
      <c r="H75">
        <f t="shared" si="39"/>
        <v>0.41556921459541663</v>
      </c>
    </row>
    <row r="76" spans="3:8" x14ac:dyDescent="0.25">
      <c r="C76">
        <v>90</v>
      </c>
      <c r="D76">
        <f t="shared" ref="D76:H76" si="40">+D45/25.4</f>
        <v>0.69825709624969323</v>
      </c>
      <c r="E76">
        <f t="shared" si="40"/>
        <v>0.69248012893681443</v>
      </c>
      <c r="F76">
        <f t="shared" si="40"/>
        <v>0.68365760531134345</v>
      </c>
      <c r="G76">
        <f t="shared" si="40"/>
        <v>0.67243332997372451</v>
      </c>
      <c r="H76">
        <f t="shared" si="40"/>
        <v>0.40142457817338251</v>
      </c>
    </row>
    <row r="77" spans="3:8" x14ac:dyDescent="0.25">
      <c r="C77">
        <v>95</v>
      </c>
      <c r="D77">
        <f t="shared" ref="D77:H77" si="41">+D46/25.4</f>
        <v>0.69619169963345828</v>
      </c>
      <c r="E77">
        <f t="shared" si="41"/>
        <v>0.69018413589333416</v>
      </c>
      <c r="F77">
        <f t="shared" si="41"/>
        <v>0.68100944783328421</v>
      </c>
      <c r="G77">
        <f t="shared" si="41"/>
        <v>0.66933713849251231</v>
      </c>
      <c r="H77">
        <f t="shared" si="41"/>
        <v>0.38751066062021261</v>
      </c>
    </row>
    <row r="78" spans="3:8" x14ac:dyDescent="0.25">
      <c r="C78">
        <v>100</v>
      </c>
      <c r="D78">
        <f t="shared" ref="D78:H78" si="42">+D47/25.4</f>
        <v>0.6941581975809713</v>
      </c>
      <c r="E78">
        <f t="shared" si="42"/>
        <v>0.68792359836281181</v>
      </c>
      <c r="F78">
        <f t="shared" si="42"/>
        <v>0.67840218411230513</v>
      </c>
      <c r="G78">
        <f t="shared" si="42"/>
        <v>0.66628875946329946</v>
      </c>
      <c r="H78">
        <f t="shared" si="42"/>
        <v>0.37381160655955337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7"/>
  <sheetViews>
    <sheetView topLeftCell="C7" workbookViewId="0">
      <selection activeCell="H30" sqref="H30"/>
    </sheetView>
  </sheetViews>
  <sheetFormatPr defaultRowHeight="15" x14ac:dyDescent="0.25"/>
  <sheetData>
    <row r="5" spans="2:6" x14ac:dyDescent="0.25">
      <c r="E5" t="s">
        <v>48</v>
      </c>
      <c r="F5">
        <v>60</v>
      </c>
    </row>
    <row r="6" spans="2:6" x14ac:dyDescent="0.25">
      <c r="E6" t="s">
        <v>49</v>
      </c>
      <c r="F6">
        <v>90</v>
      </c>
    </row>
    <row r="10" spans="2:6" x14ac:dyDescent="0.25">
      <c r="B10" t="s">
        <v>45</v>
      </c>
      <c r="C10" t="s">
        <v>46</v>
      </c>
      <c r="D10" t="s">
        <v>47</v>
      </c>
    </row>
    <row r="11" spans="2:6" x14ac:dyDescent="0.25">
      <c r="B11">
        <v>1</v>
      </c>
      <c r="C11">
        <f>+$F$5*(1-0.021*B11)</f>
        <v>58.74</v>
      </c>
      <c r="D11">
        <f>+$F$6*(1.018-0.019*B11)</f>
        <v>89.91</v>
      </c>
    </row>
    <row r="12" spans="2:6" x14ac:dyDescent="0.25">
      <c r="B12">
        <v>2</v>
      </c>
      <c r="C12">
        <f t="shared" ref="C12:C27" si="0">+$F$5*(1-0.021*B12)</f>
        <v>57.48</v>
      </c>
      <c r="D12">
        <f t="shared" ref="D12:D27" si="1">+$F$6*(1.018-0.019*B12)</f>
        <v>88.2</v>
      </c>
    </row>
    <row r="13" spans="2:6" x14ac:dyDescent="0.25">
      <c r="B13">
        <v>3</v>
      </c>
      <c r="C13">
        <f t="shared" si="0"/>
        <v>56.220000000000006</v>
      </c>
      <c r="D13">
        <f t="shared" si="1"/>
        <v>86.490000000000009</v>
      </c>
    </row>
    <row r="14" spans="2:6" x14ac:dyDescent="0.25">
      <c r="B14">
        <v>4</v>
      </c>
      <c r="C14">
        <f t="shared" si="0"/>
        <v>54.96</v>
      </c>
      <c r="D14">
        <f t="shared" si="1"/>
        <v>84.78</v>
      </c>
    </row>
    <row r="15" spans="2:6" x14ac:dyDescent="0.25">
      <c r="B15">
        <v>5</v>
      </c>
      <c r="C15">
        <f t="shared" si="0"/>
        <v>53.7</v>
      </c>
      <c r="D15">
        <f t="shared" si="1"/>
        <v>83.070000000000007</v>
      </c>
    </row>
    <row r="16" spans="2:6" x14ac:dyDescent="0.25">
      <c r="B16">
        <v>7.5</v>
      </c>
      <c r="C16">
        <f t="shared" si="0"/>
        <v>50.550000000000004</v>
      </c>
      <c r="D16">
        <f t="shared" si="1"/>
        <v>78.795000000000002</v>
      </c>
    </row>
    <row r="17" spans="2:4" x14ac:dyDescent="0.25">
      <c r="B17">
        <v>10</v>
      </c>
      <c r="C17">
        <f t="shared" si="0"/>
        <v>47.400000000000006</v>
      </c>
      <c r="D17">
        <f t="shared" si="1"/>
        <v>74.52000000000001</v>
      </c>
    </row>
    <row r="18" spans="2:4" x14ac:dyDescent="0.25">
      <c r="B18">
        <v>12.5</v>
      </c>
      <c r="C18">
        <f t="shared" si="0"/>
        <v>44.25</v>
      </c>
      <c r="D18">
        <f t="shared" si="1"/>
        <v>70.245000000000005</v>
      </c>
    </row>
    <row r="19" spans="2:4" x14ac:dyDescent="0.25">
      <c r="B19">
        <v>15</v>
      </c>
      <c r="C19">
        <f t="shared" si="0"/>
        <v>41.1</v>
      </c>
      <c r="D19">
        <f t="shared" si="1"/>
        <v>65.970000000000013</v>
      </c>
    </row>
    <row r="20" spans="2:4" x14ac:dyDescent="0.25">
      <c r="B20">
        <v>17.5</v>
      </c>
      <c r="C20">
        <f t="shared" si="0"/>
        <v>37.949999999999996</v>
      </c>
      <c r="D20">
        <f t="shared" si="1"/>
        <v>61.695</v>
      </c>
    </row>
    <row r="21" spans="2:4" x14ac:dyDescent="0.25">
      <c r="B21">
        <v>20</v>
      </c>
      <c r="C21">
        <f t="shared" si="0"/>
        <v>34.799999999999997</v>
      </c>
      <c r="D21">
        <f t="shared" si="1"/>
        <v>57.42</v>
      </c>
    </row>
    <row r="22" spans="2:4" x14ac:dyDescent="0.25">
      <c r="B22">
        <v>22.5</v>
      </c>
      <c r="C22">
        <f t="shared" si="0"/>
        <v>31.65</v>
      </c>
      <c r="D22">
        <f t="shared" si="1"/>
        <v>53.145000000000003</v>
      </c>
    </row>
    <row r="23" spans="2:4" x14ac:dyDescent="0.25">
      <c r="B23">
        <v>25</v>
      </c>
      <c r="C23">
        <f t="shared" si="0"/>
        <v>28.5</v>
      </c>
      <c r="D23">
        <f t="shared" si="1"/>
        <v>48.870000000000005</v>
      </c>
    </row>
    <row r="24" spans="2:4" x14ac:dyDescent="0.25">
      <c r="B24">
        <v>27.5</v>
      </c>
      <c r="C24">
        <f t="shared" si="0"/>
        <v>25.349999999999998</v>
      </c>
      <c r="D24">
        <f t="shared" si="1"/>
        <v>44.595000000000006</v>
      </c>
    </row>
    <row r="25" spans="2:4" x14ac:dyDescent="0.25">
      <c r="B25">
        <v>30</v>
      </c>
      <c r="C25">
        <f t="shared" si="0"/>
        <v>22.2</v>
      </c>
      <c r="D25">
        <f t="shared" si="1"/>
        <v>40.320000000000007</v>
      </c>
    </row>
    <row r="26" spans="2:4" x14ac:dyDescent="0.25">
      <c r="B26">
        <v>32.5</v>
      </c>
      <c r="C26">
        <f t="shared" si="0"/>
        <v>19.05</v>
      </c>
      <c r="D26">
        <f t="shared" si="1"/>
        <v>36.045000000000009</v>
      </c>
    </row>
    <row r="27" spans="2:4" x14ac:dyDescent="0.25">
      <c r="B27">
        <v>35</v>
      </c>
      <c r="C27">
        <f t="shared" si="0"/>
        <v>15.899999999999995</v>
      </c>
      <c r="D27">
        <f t="shared" si="1"/>
        <v>31.77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30"/>
  <sheetViews>
    <sheetView tabSelected="1" topLeftCell="A9" workbookViewId="0">
      <selection activeCell="T25" sqref="T25"/>
    </sheetView>
  </sheetViews>
  <sheetFormatPr defaultRowHeight="15" x14ac:dyDescent="0.25"/>
  <sheetData>
    <row r="14" spans="2:5" x14ac:dyDescent="0.25">
      <c r="C14" t="s">
        <v>51</v>
      </c>
    </row>
    <row r="15" spans="2:5" ht="18" x14ac:dyDescent="0.35">
      <c r="B15" t="s">
        <v>50</v>
      </c>
      <c r="C15" t="s">
        <v>52</v>
      </c>
      <c r="D15" t="s">
        <v>53</v>
      </c>
      <c r="E15" t="s">
        <v>54</v>
      </c>
    </row>
    <row r="16" spans="2:5" x14ac:dyDescent="0.25">
      <c r="B16">
        <v>5</v>
      </c>
      <c r="C16">
        <f>0.0004*B16+0.9979</f>
        <v>0.99990000000000001</v>
      </c>
      <c r="D16">
        <f>0.0008*B16+0.996</f>
        <v>1</v>
      </c>
      <c r="E16">
        <f>0.0026*B16+0.9838</f>
        <v>0.99680000000000002</v>
      </c>
    </row>
    <row r="17" spans="2:5" x14ac:dyDescent="0.25">
      <c r="B17">
        <v>10</v>
      </c>
      <c r="C17">
        <f t="shared" ref="C17:C30" si="0">0.0004*B17+0.9979</f>
        <v>1.0019</v>
      </c>
      <c r="D17">
        <f t="shared" ref="D17:D30" si="1">0.0008*B17+0.996</f>
        <v>1.004</v>
      </c>
      <c r="E17">
        <f t="shared" ref="E17:E30" si="2">0.0026*B17+0.9838</f>
        <v>1.0098</v>
      </c>
    </row>
    <row r="18" spans="2:5" x14ac:dyDescent="0.25">
      <c r="B18">
        <v>15</v>
      </c>
      <c r="C18">
        <f t="shared" si="0"/>
        <v>1.0039</v>
      </c>
      <c r="D18">
        <f t="shared" si="1"/>
        <v>1.008</v>
      </c>
      <c r="E18">
        <f t="shared" si="2"/>
        <v>1.0227999999999999</v>
      </c>
    </row>
    <row r="19" spans="2:5" x14ac:dyDescent="0.25">
      <c r="B19">
        <v>20</v>
      </c>
      <c r="C19">
        <f t="shared" si="0"/>
        <v>1.0059</v>
      </c>
      <c r="D19">
        <f t="shared" si="1"/>
        <v>1.012</v>
      </c>
      <c r="E19">
        <f t="shared" si="2"/>
        <v>1.0358000000000001</v>
      </c>
    </row>
    <row r="20" spans="2:5" x14ac:dyDescent="0.25">
      <c r="B20">
        <v>25</v>
      </c>
      <c r="C20">
        <f t="shared" si="0"/>
        <v>1.0079</v>
      </c>
      <c r="D20">
        <f t="shared" si="1"/>
        <v>1.016</v>
      </c>
      <c r="E20">
        <f t="shared" si="2"/>
        <v>1.0488</v>
      </c>
    </row>
    <row r="21" spans="2:5" x14ac:dyDescent="0.25">
      <c r="B21">
        <v>30</v>
      </c>
      <c r="C21">
        <f t="shared" si="0"/>
        <v>1.0099</v>
      </c>
      <c r="D21">
        <f t="shared" si="1"/>
        <v>1.02</v>
      </c>
      <c r="E21">
        <f t="shared" si="2"/>
        <v>1.0618000000000001</v>
      </c>
    </row>
    <row r="22" spans="2:5" x14ac:dyDescent="0.25">
      <c r="B22">
        <v>35</v>
      </c>
      <c r="C22">
        <f t="shared" si="0"/>
        <v>1.0119</v>
      </c>
      <c r="D22">
        <f t="shared" si="1"/>
        <v>1.024</v>
      </c>
      <c r="E22">
        <f t="shared" si="2"/>
        <v>1.0748</v>
      </c>
    </row>
    <row r="23" spans="2:5" x14ac:dyDescent="0.25">
      <c r="B23">
        <v>40</v>
      </c>
      <c r="C23">
        <f t="shared" si="0"/>
        <v>1.0139</v>
      </c>
      <c r="D23">
        <f t="shared" si="1"/>
        <v>1.028</v>
      </c>
      <c r="E23">
        <f t="shared" si="2"/>
        <v>1.0878000000000001</v>
      </c>
    </row>
    <row r="24" spans="2:5" x14ac:dyDescent="0.25">
      <c r="B24">
        <v>45</v>
      </c>
      <c r="C24">
        <f t="shared" si="0"/>
        <v>1.0159</v>
      </c>
      <c r="D24">
        <f t="shared" si="1"/>
        <v>1.032</v>
      </c>
      <c r="E24">
        <f t="shared" si="2"/>
        <v>1.1008</v>
      </c>
    </row>
    <row r="25" spans="2:5" x14ac:dyDescent="0.25">
      <c r="B25">
        <v>50</v>
      </c>
      <c r="C25">
        <f t="shared" si="0"/>
        <v>1.0179</v>
      </c>
      <c r="D25">
        <f t="shared" si="1"/>
        <v>1.036</v>
      </c>
      <c r="E25">
        <f t="shared" si="2"/>
        <v>1.1137999999999999</v>
      </c>
    </row>
    <row r="26" spans="2:5" x14ac:dyDescent="0.25">
      <c r="B26">
        <v>55</v>
      </c>
      <c r="C26">
        <f t="shared" si="0"/>
        <v>1.0199</v>
      </c>
      <c r="D26">
        <f t="shared" si="1"/>
        <v>1.04</v>
      </c>
      <c r="E26">
        <f t="shared" si="2"/>
        <v>1.1268</v>
      </c>
    </row>
    <row r="27" spans="2:5" x14ac:dyDescent="0.25">
      <c r="B27">
        <v>60</v>
      </c>
      <c r="C27">
        <f t="shared" si="0"/>
        <v>1.0219</v>
      </c>
      <c r="D27">
        <f t="shared" si="1"/>
        <v>1.044</v>
      </c>
      <c r="E27">
        <f t="shared" si="2"/>
        <v>1.1397999999999999</v>
      </c>
    </row>
    <row r="28" spans="2:5" x14ac:dyDescent="0.25">
      <c r="B28">
        <v>65</v>
      </c>
      <c r="C28">
        <f t="shared" si="0"/>
        <v>1.0239</v>
      </c>
      <c r="D28">
        <f t="shared" si="1"/>
        <v>1.048</v>
      </c>
      <c r="E28">
        <f t="shared" si="2"/>
        <v>1.1528</v>
      </c>
    </row>
    <row r="29" spans="2:5" x14ac:dyDescent="0.25">
      <c r="B29">
        <v>70</v>
      </c>
      <c r="C29">
        <f t="shared" si="0"/>
        <v>1.0259</v>
      </c>
      <c r="D29">
        <f t="shared" si="1"/>
        <v>1.052</v>
      </c>
      <c r="E29">
        <f t="shared" si="2"/>
        <v>1.1657999999999999</v>
      </c>
    </row>
    <row r="30" spans="2:5" x14ac:dyDescent="0.25">
      <c r="B30">
        <v>75</v>
      </c>
      <c r="C30">
        <f t="shared" si="0"/>
        <v>1.0279</v>
      </c>
      <c r="D30">
        <f t="shared" si="1"/>
        <v>1.056</v>
      </c>
      <c r="E30">
        <f t="shared" si="2"/>
        <v>1.1788000000000001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25" workbookViewId="0">
      <selection activeCell="H63" sqref="H63"/>
    </sheetView>
  </sheetViews>
  <sheetFormatPr defaultRowHeight="15" x14ac:dyDescent="0.25"/>
  <cols>
    <col min="2" max="2" width="13.28515625" bestFit="1" customWidth="1"/>
    <col min="4" max="4" width="11.5703125" bestFit="1" customWidth="1"/>
    <col min="5" max="5" width="12" bestFit="1" customWidth="1"/>
    <col min="10" max="11" width="12" bestFit="1" customWidth="1"/>
    <col min="13" max="13" width="11.5703125" bestFit="1" customWidth="1"/>
    <col min="16" max="16" width="12" bestFit="1" customWidth="1"/>
    <col min="21" max="21" width="12" bestFit="1" customWidth="1"/>
  </cols>
  <sheetData>
    <row r="1" spans="1:19" x14ac:dyDescent="0.25">
      <c r="A1" t="s">
        <v>10</v>
      </c>
      <c r="B1">
        <v>4500</v>
      </c>
      <c r="C1" t="s">
        <v>20</v>
      </c>
    </row>
    <row r="2" spans="1:19" x14ac:dyDescent="0.25">
      <c r="A2" t="s">
        <v>11</v>
      </c>
      <c r="B2" s="3">
        <v>3900000</v>
      </c>
      <c r="C2" t="s">
        <v>20</v>
      </c>
    </row>
    <row r="3" spans="1:19" x14ac:dyDescent="0.25">
      <c r="A3" t="s">
        <v>12</v>
      </c>
      <c r="B3" s="3">
        <f>+B2/(1+B6)</f>
        <v>1300000</v>
      </c>
      <c r="C3" t="s">
        <v>20</v>
      </c>
    </row>
    <row r="4" spans="1:19" x14ac:dyDescent="0.25">
      <c r="A4" t="s">
        <v>13</v>
      </c>
      <c r="B4">
        <v>472</v>
      </c>
      <c r="C4" t="s">
        <v>20</v>
      </c>
    </row>
    <row r="5" spans="1:19" x14ac:dyDescent="0.25">
      <c r="A5" s="2" t="s">
        <v>19</v>
      </c>
      <c r="B5">
        <v>0.18</v>
      </c>
    </row>
    <row r="6" spans="1:19" x14ac:dyDescent="0.25">
      <c r="A6" s="2" t="s">
        <v>21</v>
      </c>
      <c r="B6">
        <v>2</v>
      </c>
    </row>
    <row r="7" spans="1:19" x14ac:dyDescent="0.25">
      <c r="A7" t="s">
        <v>14</v>
      </c>
      <c r="B7">
        <f>5/8</f>
        <v>0.625</v>
      </c>
      <c r="C7" t="s">
        <v>24</v>
      </c>
      <c r="D7">
        <f>+B7/12</f>
        <v>5.2083333333333336E-2</v>
      </c>
      <c r="E7" t="s">
        <v>36</v>
      </c>
      <c r="F7">
        <f>+B7*0.0254</f>
        <v>1.5875E-2</v>
      </c>
      <c r="G7" t="s">
        <v>42</v>
      </c>
    </row>
    <row r="8" spans="1:19" x14ac:dyDescent="0.25">
      <c r="A8" t="s">
        <v>15</v>
      </c>
      <c r="B8">
        <v>4.9000000000000004</v>
      </c>
      <c r="C8" t="s">
        <v>22</v>
      </c>
      <c r="D8">
        <f>(B8/1000)/12</f>
        <v>4.0833333333333341E-4</v>
      </c>
      <c r="E8" t="s">
        <v>36</v>
      </c>
      <c r="F8">
        <f>+B8*0.0254/1000</f>
        <v>1.2446000000000001E-4</v>
      </c>
      <c r="G8" t="s">
        <v>42</v>
      </c>
    </row>
    <row r="9" spans="1:19" x14ac:dyDescent="0.25">
      <c r="A9" t="s">
        <v>0</v>
      </c>
      <c r="B9">
        <v>1.87</v>
      </c>
      <c r="C9" t="s">
        <v>24</v>
      </c>
      <c r="D9">
        <f>+B9/12</f>
        <v>0.15583333333333335</v>
      </c>
      <c r="E9" t="s">
        <v>36</v>
      </c>
      <c r="F9">
        <f t="shared" ref="F9" si="0">+B9*0.0254</f>
        <v>4.7497999999999999E-2</v>
      </c>
      <c r="G9" t="s">
        <v>42</v>
      </c>
    </row>
    <row r="10" spans="1:19" x14ac:dyDescent="0.25">
      <c r="A10" s="2" t="s">
        <v>16</v>
      </c>
      <c r="B10">
        <v>0.622</v>
      </c>
    </row>
    <row r="11" spans="1:19" x14ac:dyDescent="0.25">
      <c r="A11" s="2" t="s">
        <v>17</v>
      </c>
      <c r="B11">
        <v>490</v>
      </c>
      <c r="C11" t="s">
        <v>23</v>
      </c>
      <c r="D11">
        <v>7800</v>
      </c>
    </row>
    <row r="12" spans="1:19" x14ac:dyDescent="0.25">
      <c r="A12" s="2" t="s">
        <v>18</v>
      </c>
      <c r="B12">
        <v>225</v>
      </c>
      <c r="C12" t="s">
        <v>23</v>
      </c>
      <c r="D12">
        <v>3580</v>
      </c>
    </row>
    <row r="13" spans="1:19" x14ac:dyDescent="0.25">
      <c r="A13" s="2" t="s">
        <v>26</v>
      </c>
      <c r="B13">
        <v>0.6</v>
      </c>
    </row>
    <row r="15" spans="1:19" x14ac:dyDescent="0.25">
      <c r="A15" t="s">
        <v>2</v>
      </c>
      <c r="B15">
        <f>37.5*(1-B13)/(B9*2.54)</f>
        <v>3.1580277064297442</v>
      </c>
      <c r="C15" s="2" t="s">
        <v>27</v>
      </c>
      <c r="D15">
        <f>+B15/1.07</f>
        <v>2.9514277630184522</v>
      </c>
      <c r="E15" t="s">
        <v>28</v>
      </c>
      <c r="J15">
        <v>2.1800000000000002</v>
      </c>
      <c r="P15">
        <f>+J15*1.07</f>
        <v>2.3326000000000002</v>
      </c>
      <c r="Q15" s="2" t="s">
        <v>27</v>
      </c>
      <c r="R15">
        <f>+P15*0.000001*100^2</f>
        <v>2.3326000000000003E-2</v>
      </c>
      <c r="S15" t="s">
        <v>41</v>
      </c>
    </row>
    <row r="16" spans="1:19" x14ac:dyDescent="0.25">
      <c r="A16" t="s">
        <v>25</v>
      </c>
      <c r="B16">
        <f>0.000383*B7*0.0254*B15</f>
        <v>1.9201203208556147E-5</v>
      </c>
      <c r="C16" s="2" t="s">
        <v>34</v>
      </c>
      <c r="D16">
        <f>+B16*(2.20462^2)/(3.28084^2)</f>
        <v>8.6701343508721734E-6</v>
      </c>
      <c r="E16" t="s">
        <v>35</v>
      </c>
      <c r="J16">
        <f>(0.00000259)*(1/0.622)*PI()*(B7)*J15</f>
        <v>1.7823613786875694E-5</v>
      </c>
      <c r="K16">
        <f>0.000383*(B7*0.0254)*B15</f>
        <v>1.9201203208556147E-5</v>
      </c>
      <c r="M16">
        <f>+PI()*(0.00000259)*3.281^2*2.2</f>
        <v>1.9270135939976213E-4</v>
      </c>
      <c r="P16">
        <f>0.0000000003328*PI()*R15*F7</f>
        <v>3.8715707098347597E-13</v>
      </c>
    </row>
    <row r="18" spans="1:23" x14ac:dyDescent="0.25">
      <c r="A18" t="s">
        <v>29</v>
      </c>
      <c r="B18">
        <f>+(B7+2*B8*0.001)/2</f>
        <v>0.31740000000000002</v>
      </c>
      <c r="C18" t="s">
        <v>24</v>
      </c>
      <c r="D18">
        <f>+(D7+2*D8)/2</f>
        <v>2.6450000000000001E-2</v>
      </c>
      <c r="E18" t="s">
        <v>36</v>
      </c>
      <c r="K18">
        <f>+K16*3.281^2*2.2</f>
        <v>4.5474044812500003E-4</v>
      </c>
      <c r="P18">
        <f>+E25*3.281/2.2</f>
        <v>5.1615002580590472E-2</v>
      </c>
      <c r="U18">
        <f>+B18*0.0254</f>
        <v>8.06196E-3</v>
      </c>
      <c r="V18" t="s">
        <v>42</v>
      </c>
    </row>
    <row r="19" spans="1:23" x14ac:dyDescent="0.25">
      <c r="A19" t="s">
        <v>30</v>
      </c>
      <c r="B19">
        <f>+B9+(B7+2*B8*0.001)/2</f>
        <v>2.1874000000000002</v>
      </c>
      <c r="C19" t="s">
        <v>24</v>
      </c>
      <c r="D19">
        <f>+D9+(D7+2*D8)/2</f>
        <v>0.18228333333333335</v>
      </c>
      <c r="E19" t="s">
        <v>36</v>
      </c>
      <c r="P19">
        <f>+P18^2/P16</f>
        <v>6881208406.259656</v>
      </c>
      <c r="Q19" t="s">
        <v>43</v>
      </c>
      <c r="U19">
        <f>+B19*0.0254</f>
        <v>5.5559960000000005E-2</v>
      </c>
      <c r="V19" t="s">
        <v>42</v>
      </c>
    </row>
    <row r="20" spans="1:23" x14ac:dyDescent="0.25">
      <c r="J20">
        <v>1.26E-2</v>
      </c>
      <c r="K20" t="s">
        <v>37</v>
      </c>
      <c r="L20">
        <v>0.27</v>
      </c>
      <c r="M20" t="s">
        <v>39</v>
      </c>
      <c r="P20">
        <f>+P19/31536000</f>
        <v>218.20168715942592</v>
      </c>
      <c r="Q20" t="s">
        <v>44</v>
      </c>
    </row>
    <row r="21" spans="1:23" x14ac:dyDescent="0.25">
      <c r="A21" t="s">
        <v>31</v>
      </c>
      <c r="B21">
        <f>+PI()*((B9*B4/B3)*((B18^2+B19^2)/(B19^2-B18^2)+B5)+B8*0.001)*B7</f>
        <v>1.1251557854994841E-2</v>
      </c>
      <c r="D21">
        <f>+B21/12</f>
        <v>9.3762982124957013E-4</v>
      </c>
      <c r="E21">
        <f>+PI()*B12*D7*(((D9*B4)/B3)*((D19^2+D18^2)/(D19^2-D18^2)+B5)+D8)</f>
        <v>1.7580559148429441E-2</v>
      </c>
      <c r="J21">
        <f>+J20/25.4</f>
        <v>4.9606299212598425E-4</v>
      </c>
      <c r="K21" t="s">
        <v>38</v>
      </c>
      <c r="L21">
        <f>+L20*365*2.204/(1000*3.281^2)</f>
        <v>2.0176961161308436E-2</v>
      </c>
      <c r="M21" t="s">
        <v>40</v>
      </c>
    </row>
    <row r="22" spans="1:23" x14ac:dyDescent="0.25">
      <c r="B22">
        <f>+B12*B21</f>
        <v>2.5316005173738394</v>
      </c>
      <c r="D22">
        <f>+D21*B12/12</f>
        <v>1.7580559148429441E-2</v>
      </c>
      <c r="E22">
        <f>+E21</f>
        <v>1.7580559148429441E-2</v>
      </c>
      <c r="J22">
        <f>+J21*J15*PI()*D7</f>
        <v>1.7694649567094091E-4</v>
      </c>
      <c r="K22" t="s">
        <v>38</v>
      </c>
      <c r="L22">
        <f>+L21*PI()*D7*(B12/B11)*J15</f>
        <v>3.3048163738290089E-3</v>
      </c>
      <c r="U22">
        <f>+PI()*D12*F7*(((F9*B4)/B3)*((U19^2+U18^2)/(U19^2-U18^2)+B5)+F8)</f>
        <v>2.598741713530793E-2</v>
      </c>
    </row>
    <row r="23" spans="1:23" x14ac:dyDescent="0.25">
      <c r="A23" t="s">
        <v>32</v>
      </c>
    </row>
    <row r="24" spans="1:23" x14ac:dyDescent="0.25">
      <c r="B24">
        <f>+(1-(B12/B11)*B10)</f>
        <v>0.71438775510204078</v>
      </c>
      <c r="U24">
        <f>+(1-(D12/D11)*B10)</f>
        <v>0.71451794871794871</v>
      </c>
      <c r="W24">
        <v>3.5000000000000003E-2</v>
      </c>
    </row>
    <row r="25" spans="1:23" x14ac:dyDescent="0.25">
      <c r="B25">
        <f>+B22/B24</f>
        <v>3.5437344765410121</v>
      </c>
      <c r="D25">
        <f>+D22/B24</f>
        <v>2.4609267198201477E-2</v>
      </c>
      <c r="E25">
        <f>+E22/B24+0.01</f>
        <v>3.4609267198201475E-2</v>
      </c>
      <c r="H25">
        <f>0.098*(1/0.57)*PI()*B7*25.4*J15</f>
        <v>18.692669193671328</v>
      </c>
      <c r="U25">
        <f>+U22/U24</f>
        <v>3.6370558894898097E-2</v>
      </c>
    </row>
    <row r="27" spans="1:23" x14ac:dyDescent="0.25">
      <c r="F27">
        <f>+E25*4.88243</f>
        <v>0.16897732444651484</v>
      </c>
    </row>
    <row r="28" spans="1:23" x14ac:dyDescent="0.25">
      <c r="A28" t="s">
        <v>33</v>
      </c>
    </row>
    <row r="29" spans="1:23" x14ac:dyDescent="0.25">
      <c r="B29">
        <f>E25^2/(2*H25)</f>
        <v>3.2039334874712205E-5</v>
      </c>
      <c r="I29">
        <f>+E25*3.281^2/2.2</f>
        <v>0.16934882346691735</v>
      </c>
      <c r="U29">
        <f>+U25^2/(2*P16)</f>
        <v>1708373233.3326151</v>
      </c>
    </row>
    <row r="30" spans="1:23" x14ac:dyDescent="0.25">
      <c r="U30">
        <f>+U29/(365*24*60*60)</f>
        <v>54.172159859608549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Strain Aging</vt:lpstr>
      <vt:lpstr>Time to Corrosion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2020-02-25T21:26:14Z</cp:lastPrinted>
  <dcterms:created xsi:type="dcterms:W3CDTF">2018-06-15T15:40:57Z</dcterms:created>
  <dcterms:modified xsi:type="dcterms:W3CDTF">2020-02-25T21:57:24Z</dcterms:modified>
</cp:coreProperties>
</file>