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ustomProperty1.bin" ContentType="application/vnd.openxmlformats-officedocument.spreadsheetml.customProperty"/>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Sridhar.Tangellapall\Desktop\DT\changes\"/>
    </mc:Choice>
  </mc:AlternateContent>
  <bookViews>
    <workbookView xWindow="0" yWindow="0" windowWidth="20490" windowHeight="6930" tabRatio="875" firstSheet="3" activeTab="10"/>
  </bookViews>
  <sheets>
    <sheet name="Transaction-IP-Fields Chart" sheetId="11" r:id="rId1"/>
    <sheet name="Transaction-Fields Mapping-IP" sheetId="7" r:id="rId2"/>
    <sheet name="Transaction-Fields Mapping-OP" sheetId="10" r:id="rId3"/>
    <sheet name="Inquiry-Fields Mapping-IP" sheetId="15" r:id="rId4"/>
    <sheet name="Inquiry-Fields Mapping-OP" sheetId="16" r:id="rId5"/>
    <sheet name="Driver'sLicense-IP" sheetId="22" r:id="rId6"/>
    <sheet name="Driver'sLicense-OP" sheetId="23" r:id="rId7"/>
    <sheet name="TaxWatch - Inquiry" sheetId="24" r:id="rId8"/>
    <sheet name="TemTag - Transaction" sheetId="25" r:id="rId9"/>
    <sheet name="ITI - Transaction" sheetId="26" r:id="rId10"/>
    <sheet name="Reinstatement-InputAndOutput" sheetId="27" r:id="rId11"/>
    <sheet name="PosWidth Inquiry-IP" sheetId="19" r:id="rId12"/>
    <sheet name="PosWidth LM_VM Inquiry-OP" sheetId="18" r:id="rId13"/>
    <sheet name="Positions-width Mapping-TT11" sheetId="8" r:id="rId14"/>
    <sheet name="Positions-width Mapping-LA-VA" sheetId="21" r:id="rId15"/>
    <sheet name="Positions-widthMapping 30 &amp; 37 " sheetId="9" r:id="rId16"/>
    <sheet name="Positions-width Mapping-38" sheetId="12" r:id="rId17"/>
    <sheet name="Positions-width Mapping-TT51" sheetId="13" r:id="rId18"/>
    <sheet name="Fields" sheetId="2" r:id="rId19"/>
    <sheet name="D%$&amp;01_DevSheet" sheetId="6" state="veryHidden" r:id="rId20"/>
  </sheets>
  <definedNames>
    <definedName name="_xlnm._FilterDatabase" localSheetId="5" hidden="1">'Driver''sLicense-IP'!$A$1:$O$131</definedName>
    <definedName name="_xlnm._FilterDatabase" localSheetId="6" hidden="1">'Driver''sLicense-OP'!$A$1:$M$127</definedName>
    <definedName name="_xlnm._FilterDatabase" localSheetId="18" hidden="1">Fields!$A$1:$Q$142</definedName>
    <definedName name="_xlnm._FilterDatabase" localSheetId="4" hidden="1">'Inquiry-Fields Mapping-OP'!$A$1:$M$133</definedName>
    <definedName name="_xlnm._FilterDatabase" localSheetId="10" hidden="1">'Reinstatement-InputAndOutput'!$A$1:$O$240</definedName>
    <definedName name="_xlnm.Print_Titles" localSheetId="18">Fields!$1:$1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9" i="27" l="1"/>
  <c r="F50" i="27" l="1"/>
  <c r="F17" i="27"/>
  <c r="F18" i="27"/>
  <c r="F19" i="27"/>
  <c r="F20" i="27"/>
  <c r="F21" i="27"/>
  <c r="F127" i="23" l="1"/>
  <c r="F126" i="23"/>
  <c r="F125" i="23"/>
  <c r="F124" i="23"/>
  <c r="F123" i="23"/>
  <c r="F122" i="23"/>
  <c r="F121" i="23"/>
  <c r="F120" i="23"/>
  <c r="F239" i="27"/>
  <c r="F238" i="27"/>
  <c r="F237" i="27"/>
  <c r="F236" i="27"/>
  <c r="F235" i="27"/>
  <c r="F234" i="27"/>
  <c r="F233" i="27"/>
  <c r="F232" i="27"/>
  <c r="F231" i="27"/>
  <c r="F230" i="27"/>
  <c r="F229" i="27"/>
  <c r="F228" i="27"/>
  <c r="F227" i="27"/>
  <c r="F226" i="27"/>
  <c r="F225" i="27"/>
  <c r="F224" i="27"/>
  <c r="F223" i="27"/>
  <c r="F222" i="27"/>
  <c r="F221" i="27"/>
  <c r="F220" i="27"/>
  <c r="F218" i="27"/>
  <c r="F185" i="27" l="1"/>
  <c r="F186" i="27"/>
  <c r="F187" i="27"/>
  <c r="F188" i="27"/>
  <c r="F189" i="27"/>
  <c r="F190" i="27"/>
  <c r="F191" i="27"/>
  <c r="F192" i="27"/>
  <c r="F193" i="27"/>
  <c r="F194" i="27"/>
  <c r="F195" i="27"/>
  <c r="F196" i="27"/>
  <c r="F197" i="27"/>
  <c r="F198" i="27"/>
  <c r="F199" i="27"/>
  <c r="F200" i="27"/>
  <c r="F201" i="27"/>
  <c r="F202" i="27"/>
  <c r="F203" i="27"/>
  <c r="F204" i="27"/>
  <c r="F205" i="27"/>
  <c r="F206" i="27"/>
  <c r="F207" i="27"/>
  <c r="F208" i="27"/>
  <c r="F209" i="27"/>
  <c r="F210" i="27"/>
  <c r="F211" i="27"/>
  <c r="F212" i="27"/>
  <c r="F213" i="27"/>
  <c r="F214" i="27"/>
  <c r="F215" i="27"/>
  <c r="F216" i="27"/>
  <c r="F217" i="27"/>
  <c r="F184" i="27"/>
  <c r="F183" i="27"/>
  <c r="F152" i="27" l="1"/>
  <c r="F153" i="27"/>
  <c r="F154" i="27"/>
  <c r="F155" i="27"/>
  <c r="F156" i="27"/>
  <c r="F157" i="27"/>
  <c r="F158" i="27"/>
  <c r="F159" i="27"/>
  <c r="F160" i="27"/>
  <c r="F161" i="27"/>
  <c r="F162" i="27"/>
  <c r="F163" i="27"/>
  <c r="F164" i="27"/>
  <c r="F165" i="27"/>
  <c r="F166" i="27"/>
  <c r="F167" i="27"/>
  <c r="F168" i="27"/>
  <c r="F169" i="27"/>
  <c r="F170" i="27"/>
  <c r="F171" i="27"/>
  <c r="F172" i="27"/>
  <c r="F173" i="27"/>
  <c r="F174" i="27"/>
  <c r="F175" i="27"/>
  <c r="F176" i="27"/>
  <c r="F177" i="27"/>
  <c r="F178" i="27"/>
  <c r="F179" i="27"/>
  <c r="F180" i="27"/>
  <c r="F181" i="27"/>
  <c r="F182" i="27"/>
  <c r="F151" i="27"/>
  <c r="F150" i="27"/>
  <c r="F149" i="27"/>
  <c r="F148" i="27"/>
  <c r="F147" i="27"/>
  <c r="F146" i="27"/>
  <c r="F145" i="27"/>
  <c r="F139" i="27" l="1"/>
  <c r="F138" i="27"/>
  <c r="F137" i="27"/>
  <c r="F136" i="27"/>
  <c r="F135" i="27"/>
  <c r="F134" i="27"/>
  <c r="F144" i="27"/>
  <c r="F143" i="27"/>
  <c r="F142" i="27"/>
  <c r="F141" i="27"/>
  <c r="F140" i="27"/>
  <c r="F130" i="27"/>
  <c r="F131" i="27"/>
  <c r="F132" i="27"/>
  <c r="F133" i="27"/>
  <c r="F129" i="27"/>
  <c r="F128" i="27"/>
  <c r="F127" i="27"/>
  <c r="F126" i="27"/>
  <c r="F125" i="27"/>
  <c r="F124" i="27"/>
  <c r="F92" i="27" l="1"/>
  <c r="F93" i="27"/>
  <c r="F94" i="27"/>
  <c r="F95" i="27"/>
  <c r="F96"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G93" i="22" l="1"/>
  <c r="G94" i="22"/>
  <c r="G95" i="22"/>
  <c r="G96" i="22"/>
  <c r="G97" i="22"/>
  <c r="G98" i="22"/>
  <c r="G99" i="22"/>
  <c r="G100" i="22"/>
  <c r="G101" i="22"/>
  <c r="G102" i="22"/>
  <c r="G103" i="22"/>
  <c r="G104" i="22"/>
  <c r="G105" i="22"/>
  <c r="G106" i="22"/>
  <c r="G107" i="22"/>
  <c r="G108" i="22"/>
  <c r="G109" i="22"/>
  <c r="G110" i="22"/>
  <c r="G111" i="22"/>
  <c r="G112" i="22"/>
  <c r="G113" i="22"/>
  <c r="G114" i="22"/>
  <c r="G115" i="22"/>
  <c r="G116" i="22"/>
  <c r="G117" i="22"/>
  <c r="G118" i="22"/>
  <c r="G119" i="22"/>
  <c r="G120" i="22"/>
  <c r="G121" i="22"/>
  <c r="G122" i="22"/>
  <c r="G123" i="22"/>
  <c r="G124" i="22"/>
  <c r="G125" i="22"/>
  <c r="G126" i="22"/>
  <c r="G127" i="22"/>
  <c r="G128" i="22"/>
  <c r="G129" i="22"/>
  <c r="G130" i="22"/>
  <c r="G131" i="22"/>
  <c r="G92" i="22"/>
  <c r="G87" i="22"/>
  <c r="G88" i="22"/>
  <c r="G89" i="22"/>
  <c r="G90" i="22"/>
  <c r="G91" i="22"/>
  <c r="G86" i="22"/>
  <c r="G40" i="22"/>
  <c r="G41" i="22"/>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G69" i="22"/>
  <c r="G70" i="22"/>
  <c r="G71" i="22"/>
  <c r="G72" i="22"/>
  <c r="G73" i="22"/>
  <c r="G74" i="22"/>
  <c r="G75" i="22"/>
  <c r="G76" i="22"/>
  <c r="G77" i="22"/>
  <c r="G78" i="22"/>
  <c r="G79" i="22"/>
  <c r="G80" i="22"/>
  <c r="G81" i="22"/>
  <c r="G82" i="22"/>
  <c r="G83" i="22"/>
  <c r="G84" i="22"/>
  <c r="G85" i="22"/>
  <c r="G39" i="22"/>
  <c r="F109" i="23"/>
  <c r="F110" i="23"/>
  <c r="F52" i="23"/>
  <c r="F53" i="23"/>
  <c r="F54" i="23"/>
  <c r="F4" i="23"/>
  <c r="F5"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3" i="23"/>
  <c r="G25" i="22"/>
  <c r="G24" i="22"/>
  <c r="G23" i="22"/>
  <c r="G22" i="22"/>
  <c r="G26" i="22"/>
  <c r="F65" i="27" l="1"/>
  <c r="F64" i="27"/>
  <c r="F63" i="27"/>
  <c r="F62" i="27"/>
  <c r="F61" i="27"/>
  <c r="F60" i="27"/>
  <c r="F59" i="27"/>
  <c r="F58" i="27"/>
  <c r="F57" i="27"/>
  <c r="F56" i="27"/>
  <c r="F55" i="27"/>
  <c r="F54" i="27"/>
  <c r="F53" i="27"/>
  <c r="F52" i="27"/>
  <c r="F51" i="27"/>
  <c r="F49" i="27"/>
  <c r="F48" i="27"/>
  <c r="F47" i="27"/>
  <c r="F46" i="27"/>
  <c r="F45" i="27"/>
  <c r="F44" i="27"/>
  <c r="F43" i="27"/>
  <c r="F42" i="27"/>
  <c r="F41" i="27"/>
  <c r="F40" i="27"/>
  <c r="F39" i="27"/>
  <c r="F38" i="27"/>
  <c r="F37" i="27"/>
  <c r="F36" i="27"/>
  <c r="F35" i="27"/>
  <c r="F34" i="27"/>
  <c r="F33" i="27"/>
  <c r="F32" i="27"/>
  <c r="F31" i="27"/>
  <c r="F30" i="27"/>
  <c r="F29" i="27"/>
  <c r="F28" i="27"/>
  <c r="F27" i="27"/>
  <c r="F26" i="27"/>
  <c r="F25" i="27"/>
  <c r="F24" i="27"/>
  <c r="F23" i="27"/>
  <c r="F22" i="27"/>
  <c r="F16" i="27"/>
  <c r="F15" i="27"/>
  <c r="F14" i="27"/>
  <c r="F13" i="27"/>
  <c r="F12" i="27"/>
  <c r="F11" i="27"/>
  <c r="F10" i="27"/>
  <c r="F9" i="27"/>
  <c r="F8" i="27"/>
  <c r="F7" i="27"/>
  <c r="F6" i="27"/>
  <c r="F5" i="27"/>
  <c r="F4" i="27"/>
  <c r="F3" i="27"/>
  <c r="F2" i="27"/>
  <c r="G30" i="22" l="1"/>
  <c r="G31" i="22"/>
  <c r="G32" i="22"/>
  <c r="G33" i="22"/>
  <c r="G34" i="22"/>
  <c r="G35" i="22"/>
  <c r="G36" i="22"/>
  <c r="G37" i="22"/>
  <c r="G38" i="22"/>
  <c r="G29" i="22"/>
  <c r="G6" i="22" l="1"/>
  <c r="G7" i="22"/>
  <c r="G8" i="22"/>
  <c r="G9" i="22"/>
  <c r="G10" i="22"/>
  <c r="G11" i="22"/>
  <c r="G12" i="22"/>
  <c r="G13" i="22"/>
  <c r="G14" i="22"/>
  <c r="G15" i="22"/>
  <c r="G16" i="22"/>
  <c r="G17" i="22"/>
  <c r="G18" i="22"/>
  <c r="G19" i="22"/>
  <c r="G20" i="22"/>
  <c r="G21" i="22"/>
  <c r="G27" i="22"/>
  <c r="G5" i="22"/>
  <c r="G3" i="22"/>
  <c r="F119" i="23" l="1"/>
  <c r="F118" i="23"/>
  <c r="F117" i="23"/>
  <c r="F112" i="23"/>
  <c r="F113" i="23"/>
  <c r="F114" i="23"/>
  <c r="F115" i="23"/>
  <c r="F116" i="23"/>
  <c r="F111" i="23"/>
  <c r="F108" i="23"/>
  <c r="F107" i="23"/>
  <c r="F106" i="23"/>
  <c r="F105" i="23" l="1"/>
  <c r="F104" i="23"/>
  <c r="F103" i="23"/>
  <c r="F102" i="23"/>
  <c r="F101" i="23"/>
  <c r="F100" i="23"/>
  <c r="F99" i="23"/>
  <c r="F98" i="23"/>
  <c r="F97" i="23"/>
  <c r="F96" i="23"/>
  <c r="F95" i="23"/>
  <c r="F94" i="23"/>
  <c r="F93" i="23"/>
  <c r="F92" i="23"/>
  <c r="F91" i="23"/>
  <c r="F90" i="23"/>
  <c r="F89" i="23"/>
  <c r="F88" i="23"/>
  <c r="F87" i="23"/>
  <c r="F86" i="23"/>
  <c r="F85" i="23"/>
  <c r="F84" i="23"/>
  <c r="F83" i="23"/>
  <c r="F82" i="23"/>
  <c r="F81" i="23"/>
  <c r="F80" i="23"/>
  <c r="F79" i="23"/>
  <c r="F78" i="23"/>
  <c r="F77" i="23"/>
  <c r="F76" i="23"/>
  <c r="F75" i="23"/>
  <c r="F74" i="23"/>
  <c r="F73" i="23"/>
  <c r="F72" i="23"/>
  <c r="F71" i="23"/>
  <c r="F70" i="23"/>
  <c r="F69" i="23"/>
  <c r="F68" i="23"/>
  <c r="F67" i="23"/>
  <c r="F66" i="23"/>
  <c r="F65" i="23"/>
  <c r="F64" i="23"/>
  <c r="F63" i="23"/>
  <c r="F62" i="23"/>
  <c r="F61" i="23"/>
  <c r="F60" i="23"/>
  <c r="F59" i="23"/>
  <c r="F58" i="23"/>
  <c r="F57" i="23"/>
  <c r="F56" i="23"/>
  <c r="F55" i="23"/>
  <c r="F2" i="23"/>
  <c r="G28" i="22"/>
  <c r="G4" i="22"/>
  <c r="G2" i="22"/>
  <c r="F5" i="15" l="1"/>
  <c r="F2" i="15"/>
  <c r="F3" i="15"/>
  <c r="F4"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93" i="16"/>
  <c r="F10" i="16"/>
  <c r="F107" i="16"/>
  <c r="F5" i="16"/>
  <c r="F6" i="16"/>
  <c r="F7" i="16"/>
  <c r="F8" i="16"/>
  <c r="F9" i="16"/>
  <c r="F46" i="16"/>
  <c r="F11" i="16"/>
  <c r="F12" i="16"/>
  <c r="F13" i="16"/>
  <c r="F14" i="16"/>
  <c r="F15" i="16"/>
  <c r="F16" i="16"/>
  <c r="F17" i="16"/>
  <c r="F18" i="16"/>
  <c r="F19" i="16"/>
  <c r="F108" i="16"/>
  <c r="F109" i="16"/>
  <c r="F94" i="16"/>
  <c r="F102" i="16"/>
  <c r="F22" i="16"/>
  <c r="F32" i="16"/>
  <c r="F33" i="16"/>
  <c r="F128" i="16"/>
  <c r="F41" i="16"/>
  <c r="F126" i="16"/>
  <c r="F103" i="16"/>
  <c r="F104" i="16"/>
  <c r="F25" i="16"/>
  <c r="F127" i="16"/>
  <c r="F27" i="16"/>
  <c r="F28" i="16"/>
  <c r="F44" i="16"/>
  <c r="F96" i="16"/>
  <c r="F38" i="16"/>
  <c r="F47" i="16"/>
  <c r="F81" i="16"/>
  <c r="F85" i="16"/>
  <c r="F86" i="16"/>
  <c r="F87" i="16"/>
  <c r="F88" i="16"/>
  <c r="F89" i="16"/>
  <c r="F90" i="16"/>
  <c r="F91" i="16"/>
  <c r="F48" i="16"/>
  <c r="F49" i="16"/>
  <c r="F50" i="16"/>
  <c r="F51" i="16"/>
  <c r="F52" i="16"/>
  <c r="F53" i="16"/>
  <c r="F54" i="16"/>
  <c r="F55" i="16"/>
  <c r="F56" i="16"/>
  <c r="F57" i="16"/>
  <c r="F58" i="16"/>
  <c r="F3" i="16"/>
  <c r="F60" i="16"/>
  <c r="F61" i="16"/>
  <c r="F37" i="16"/>
  <c r="F63" i="16"/>
  <c r="F64" i="16"/>
  <c r="F65" i="16"/>
  <c r="F66" i="16"/>
  <c r="F67" i="16"/>
  <c r="F68" i="16"/>
  <c r="F69" i="16"/>
  <c r="F70" i="16"/>
  <c r="F71" i="16"/>
  <c r="F72" i="16"/>
  <c r="F73" i="16"/>
  <c r="F59" i="16"/>
  <c r="F75" i="16"/>
  <c r="F76" i="16"/>
  <c r="F77" i="16"/>
  <c r="F78" i="16"/>
  <c r="F79" i="16"/>
  <c r="F80" i="16"/>
  <c r="F40" i="16"/>
  <c r="F82" i="16"/>
  <c r="F83" i="16"/>
  <c r="F84" i="16"/>
  <c r="F39" i="16"/>
  <c r="F45" i="16"/>
  <c r="F24" i="16"/>
  <c r="F116" i="16"/>
  <c r="F118" i="16"/>
  <c r="F123" i="16"/>
  <c r="F34" i="16"/>
  <c r="F35" i="16"/>
  <c r="F74" i="16"/>
  <c r="F106" i="16"/>
  <c r="F4" i="16"/>
  <c r="F20" i="16"/>
  <c r="F21" i="16"/>
  <c r="F120" i="16"/>
  <c r="F2" i="16"/>
  <c r="F113" i="16"/>
  <c r="F114" i="16"/>
  <c r="F115" i="16"/>
  <c r="F101" i="16"/>
  <c r="F23" i="16"/>
  <c r="F42" i="16"/>
  <c r="F97" i="16"/>
  <c r="F98" i="16"/>
  <c r="F99" i="16"/>
  <c r="F100" i="16"/>
  <c r="F92" i="16"/>
  <c r="F105" i="16"/>
  <c r="F36" i="16"/>
  <c r="F112" i="16"/>
  <c r="F111" i="16"/>
  <c r="F110" i="16"/>
  <c r="F62" i="16"/>
  <c r="F119" i="16"/>
  <c r="F124" i="16"/>
  <c r="F121" i="16"/>
  <c r="F125" i="16"/>
  <c r="F122" i="16"/>
  <c r="F117" i="16"/>
  <c r="F26" i="16"/>
  <c r="F31" i="16"/>
  <c r="F30" i="16"/>
  <c r="F29" i="16"/>
  <c r="F43" i="16"/>
  <c r="F95"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BO78" i="6" l="1"/>
  <c r="BP78" i="6"/>
  <c r="BQ78" i="6"/>
  <c r="BR78" i="6"/>
  <c r="BS78" i="6"/>
  <c r="BT78" i="6"/>
  <c r="BU78" i="6"/>
  <c r="BV78" i="6"/>
  <c r="BW78" i="6"/>
  <c r="BX78" i="6"/>
  <c r="BY78" i="6"/>
  <c r="BZ78" i="6"/>
  <c r="CA78" i="6"/>
  <c r="CB78" i="6"/>
  <c r="CC78" i="6"/>
  <c r="CD78" i="6"/>
  <c r="CE78" i="6"/>
  <c r="CF78" i="6"/>
  <c r="F78" i="6" l="1"/>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BG78" i="6"/>
  <c r="BH78" i="6"/>
  <c r="BI78" i="6"/>
  <c r="BJ78" i="6"/>
  <c r="BK78" i="6"/>
  <c r="BL78" i="6"/>
  <c r="BM78" i="6"/>
  <c r="BN78" i="6"/>
  <c r="GU77" i="6"/>
  <c r="GV77" i="6"/>
  <c r="GW77" i="6"/>
  <c r="GX77" i="6"/>
  <c r="GY77" i="6"/>
  <c r="GZ77" i="6"/>
  <c r="HA77" i="6"/>
  <c r="HB77" i="6"/>
  <c r="HC77" i="6"/>
  <c r="HD77" i="6"/>
  <c r="HE77" i="6"/>
  <c r="HF77" i="6"/>
  <c r="HG77" i="6"/>
  <c r="HH77" i="6"/>
  <c r="HI77" i="6"/>
  <c r="HJ77" i="6"/>
  <c r="HK77" i="6"/>
  <c r="HL77" i="6"/>
  <c r="HM77" i="6"/>
  <c r="HN77" i="6"/>
  <c r="HO77" i="6"/>
  <c r="HP77" i="6"/>
  <c r="HQ77" i="6"/>
  <c r="HR77" i="6"/>
  <c r="HS77" i="6"/>
  <c r="HT77" i="6"/>
  <c r="HU77" i="6"/>
  <c r="HV77" i="6"/>
  <c r="HW77" i="6"/>
  <c r="HX77" i="6"/>
  <c r="HY77" i="6"/>
  <c r="HZ77" i="6"/>
  <c r="IA77" i="6"/>
  <c r="IB77" i="6"/>
  <c r="IC77" i="6"/>
  <c r="ID77" i="6"/>
  <c r="IE77" i="6"/>
  <c r="IF77" i="6"/>
  <c r="IG77" i="6"/>
  <c r="IH77" i="6"/>
  <c r="II77" i="6"/>
  <c r="IJ77" i="6"/>
  <c r="IK77" i="6"/>
  <c r="IL77" i="6"/>
  <c r="IM77" i="6"/>
  <c r="IN77" i="6"/>
  <c r="IO77" i="6"/>
  <c r="IP77" i="6"/>
  <c r="IQ77" i="6"/>
  <c r="IR77" i="6"/>
  <c r="IS77" i="6"/>
  <c r="IT77" i="6"/>
  <c r="IU77" i="6"/>
  <c r="IV77" i="6"/>
  <c r="F2" i="6" l="1"/>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AL2" i="6"/>
  <c r="AM2" i="6"/>
  <c r="AN2" i="6"/>
  <c r="AO2" i="6"/>
  <c r="AP2" i="6"/>
  <c r="AQ2" i="6"/>
  <c r="AR2" i="6"/>
  <c r="AS2" i="6"/>
  <c r="AT2" i="6"/>
  <c r="AU2" i="6"/>
  <c r="AV2" i="6"/>
  <c r="AW2" i="6"/>
  <c r="AX2" i="6"/>
  <c r="AY2" i="6"/>
  <c r="AZ2" i="6"/>
  <c r="BA2" i="6"/>
  <c r="BB2" i="6"/>
  <c r="BC2" i="6"/>
  <c r="BD2" i="6"/>
  <c r="BE2" i="6"/>
  <c r="BF2" i="6"/>
  <c r="BG2" i="6"/>
  <c r="BH2" i="6"/>
  <c r="BI2" i="6"/>
  <c r="BJ2" i="6"/>
  <c r="BK2" i="6"/>
  <c r="BL2" i="6"/>
  <c r="BM2" i="6"/>
  <c r="BN2" i="6"/>
  <c r="BO2" i="6"/>
  <c r="BP2" i="6"/>
  <c r="BQ2" i="6"/>
  <c r="BR2" i="6"/>
  <c r="BS2" i="6"/>
  <c r="BT2" i="6"/>
  <c r="BU2" i="6"/>
  <c r="BV2" i="6"/>
  <c r="BW2" i="6"/>
  <c r="BX2" i="6"/>
  <c r="BY2" i="6"/>
  <c r="BZ2" i="6"/>
  <c r="CA2" i="6"/>
  <c r="CB2" i="6"/>
  <c r="CC2" i="6"/>
  <c r="CD2" i="6"/>
  <c r="CE2" i="6"/>
  <c r="CF2" i="6"/>
  <c r="CG2" i="6"/>
  <c r="CH2" i="6"/>
  <c r="CI2" i="6"/>
  <c r="CJ2" i="6"/>
  <c r="CK2" i="6"/>
  <c r="CL2" i="6"/>
  <c r="CM2" i="6"/>
  <c r="CN2" i="6"/>
  <c r="CO2" i="6"/>
  <c r="CP2" i="6"/>
  <c r="CQ2" i="6"/>
  <c r="CR2" i="6"/>
  <c r="CS2" i="6"/>
  <c r="CT2" i="6"/>
  <c r="CU2" i="6"/>
  <c r="CV2" i="6"/>
  <c r="CW2" i="6"/>
  <c r="CX2" i="6"/>
  <c r="CY2" i="6"/>
  <c r="CZ2" i="6"/>
  <c r="DA2" i="6"/>
  <c r="DB2" i="6"/>
  <c r="DC2" i="6"/>
  <c r="DD2" i="6"/>
  <c r="DE2" i="6"/>
  <c r="DF2" i="6"/>
  <c r="DG2" i="6"/>
  <c r="DH2" i="6"/>
  <c r="DI2" i="6"/>
  <c r="DJ2" i="6"/>
  <c r="DK2" i="6"/>
  <c r="DL2" i="6"/>
  <c r="DM2" i="6"/>
  <c r="DN2" i="6"/>
  <c r="DO2" i="6"/>
  <c r="DP2" i="6"/>
  <c r="DQ2" i="6"/>
  <c r="DR2" i="6"/>
  <c r="DS2" i="6"/>
  <c r="DT2" i="6"/>
  <c r="DU2" i="6"/>
  <c r="DV2" i="6"/>
  <c r="DW2" i="6"/>
  <c r="DX2" i="6"/>
  <c r="DY2" i="6"/>
  <c r="DZ2" i="6"/>
  <c r="EA2" i="6"/>
  <c r="EB2" i="6"/>
  <c r="EC2" i="6"/>
  <c r="ED2" i="6"/>
  <c r="EE2" i="6"/>
  <c r="EF2" i="6"/>
  <c r="EG2" i="6"/>
  <c r="EH2" i="6"/>
  <c r="EI2" i="6"/>
  <c r="EJ2" i="6"/>
  <c r="EK2" i="6"/>
  <c r="EL2" i="6"/>
  <c r="EM2" i="6"/>
  <c r="EN2" i="6"/>
  <c r="EO2" i="6"/>
  <c r="EP2" i="6"/>
  <c r="EQ2" i="6"/>
  <c r="ER2" i="6"/>
  <c r="ES2" i="6"/>
  <c r="ET2" i="6"/>
  <c r="EU2" i="6"/>
  <c r="EV2" i="6"/>
  <c r="EW2" i="6"/>
  <c r="EX2" i="6"/>
  <c r="EY2" i="6"/>
  <c r="EZ2" i="6"/>
  <c r="FA2" i="6"/>
  <c r="FB2" i="6"/>
  <c r="FC2" i="6"/>
  <c r="FD2" i="6"/>
  <c r="FE2" i="6"/>
  <c r="FF2" i="6"/>
  <c r="FG2" i="6"/>
  <c r="FH2" i="6"/>
  <c r="FI2" i="6"/>
  <c r="FJ2" i="6"/>
  <c r="FK2" i="6"/>
  <c r="FL2" i="6"/>
  <c r="FM2" i="6"/>
  <c r="FN2" i="6"/>
  <c r="FO2" i="6"/>
  <c r="FP2" i="6"/>
  <c r="FQ2" i="6"/>
  <c r="FR2" i="6"/>
  <c r="FS2" i="6"/>
  <c r="FT2" i="6"/>
  <c r="FU2" i="6"/>
  <c r="FV2" i="6"/>
  <c r="FW2" i="6"/>
  <c r="FX2" i="6"/>
  <c r="FY2" i="6"/>
  <c r="FZ2" i="6"/>
  <c r="GA2" i="6"/>
  <c r="GB2" i="6"/>
  <c r="GC2" i="6"/>
  <c r="GD2" i="6"/>
  <c r="GE2" i="6"/>
  <c r="GF2" i="6"/>
  <c r="GG2" i="6"/>
  <c r="GH2" i="6"/>
  <c r="GI2" i="6"/>
  <c r="GJ2" i="6"/>
  <c r="GK2" i="6"/>
  <c r="GL2" i="6"/>
  <c r="GM2" i="6"/>
  <c r="GN2" i="6"/>
  <c r="GO2" i="6"/>
  <c r="GP2" i="6"/>
  <c r="GQ2" i="6"/>
  <c r="GR2" i="6"/>
  <c r="GS2" i="6"/>
  <c r="GT2" i="6"/>
  <c r="GU2" i="6"/>
  <c r="GV2" i="6"/>
  <c r="GW2" i="6"/>
  <c r="GX2" i="6"/>
  <c r="GY2" i="6"/>
  <c r="GZ2" i="6"/>
  <c r="HA2" i="6"/>
  <c r="HB2" i="6"/>
  <c r="HC2" i="6"/>
  <c r="HD2" i="6"/>
  <c r="HE2" i="6"/>
  <c r="HF2" i="6"/>
  <c r="HG2" i="6"/>
  <c r="HH2" i="6"/>
  <c r="HI2" i="6"/>
  <c r="HJ2" i="6"/>
  <c r="HK2" i="6"/>
  <c r="HL2" i="6"/>
  <c r="HM2" i="6"/>
  <c r="HN2" i="6"/>
  <c r="HO2" i="6"/>
  <c r="HP2" i="6"/>
  <c r="HQ2" i="6"/>
  <c r="HR2" i="6"/>
  <c r="HS2" i="6"/>
  <c r="HT2" i="6"/>
  <c r="HU2" i="6"/>
  <c r="HV2" i="6"/>
  <c r="HW2" i="6"/>
  <c r="HX2" i="6"/>
  <c r="HY2" i="6"/>
  <c r="HZ2" i="6"/>
  <c r="IA2" i="6"/>
  <c r="IB2" i="6"/>
  <c r="IC2" i="6"/>
  <c r="ID2" i="6"/>
  <c r="IE2" i="6"/>
  <c r="IF2" i="6"/>
  <c r="IG2" i="6"/>
  <c r="IH2" i="6"/>
  <c r="II2" i="6"/>
  <c r="IJ2" i="6"/>
  <c r="IK2" i="6"/>
  <c r="IL2" i="6"/>
  <c r="IM2" i="6"/>
  <c r="IN2" i="6"/>
  <c r="IO2" i="6"/>
  <c r="IP2" i="6"/>
  <c r="IQ2" i="6"/>
  <c r="IR2" i="6"/>
  <c r="IS2" i="6"/>
  <c r="IT2" i="6"/>
  <c r="IU2" i="6"/>
  <c r="IV2"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AK3" i="6"/>
  <c r="AL3" i="6"/>
  <c r="AM3" i="6"/>
  <c r="AN3" i="6"/>
  <c r="AO3" i="6"/>
  <c r="AP3" i="6"/>
  <c r="AQ3" i="6"/>
  <c r="AR3" i="6"/>
  <c r="AS3" i="6"/>
  <c r="AT3" i="6"/>
  <c r="AU3" i="6"/>
  <c r="AV3" i="6"/>
  <c r="AW3" i="6"/>
  <c r="AX3" i="6"/>
  <c r="AY3" i="6"/>
  <c r="AZ3" i="6"/>
  <c r="BA3" i="6"/>
  <c r="BB3" i="6"/>
  <c r="BC3" i="6"/>
  <c r="BD3" i="6"/>
  <c r="BE3" i="6"/>
  <c r="BF3" i="6"/>
  <c r="BG3" i="6"/>
  <c r="BH3" i="6"/>
  <c r="BI3" i="6"/>
  <c r="BJ3" i="6"/>
  <c r="BK3" i="6"/>
  <c r="BL3" i="6"/>
  <c r="BM3" i="6"/>
  <c r="BN3" i="6"/>
  <c r="BO3" i="6"/>
  <c r="BP3" i="6"/>
  <c r="BQ3" i="6"/>
  <c r="BR3" i="6"/>
  <c r="BS3" i="6"/>
  <c r="BT3" i="6"/>
  <c r="BU3" i="6"/>
  <c r="BV3" i="6"/>
  <c r="BW3" i="6"/>
  <c r="BX3" i="6"/>
  <c r="BY3" i="6"/>
  <c r="BZ3" i="6"/>
  <c r="CA3" i="6"/>
  <c r="CB3" i="6"/>
  <c r="CC3" i="6"/>
  <c r="CD3" i="6"/>
  <c r="CE3" i="6"/>
  <c r="CF3" i="6"/>
  <c r="CG3" i="6"/>
  <c r="CH3" i="6"/>
  <c r="CI3" i="6"/>
  <c r="CJ3" i="6"/>
  <c r="CK3" i="6"/>
  <c r="CL3" i="6"/>
  <c r="CM3" i="6"/>
  <c r="CN3" i="6"/>
  <c r="CO3" i="6"/>
  <c r="CP3" i="6"/>
  <c r="CQ3" i="6"/>
  <c r="CR3" i="6"/>
  <c r="CS3" i="6"/>
  <c r="CT3" i="6"/>
  <c r="CU3" i="6"/>
  <c r="CV3" i="6"/>
  <c r="CW3" i="6"/>
  <c r="CX3" i="6"/>
  <c r="CY3" i="6"/>
  <c r="CZ3" i="6"/>
  <c r="DA3" i="6"/>
  <c r="DB3" i="6"/>
  <c r="DC3" i="6"/>
  <c r="DD3" i="6"/>
  <c r="DE3" i="6"/>
  <c r="DF3" i="6"/>
  <c r="DG3" i="6"/>
  <c r="DH3" i="6"/>
  <c r="DI3" i="6"/>
  <c r="DJ3" i="6"/>
  <c r="DK3" i="6"/>
  <c r="DL3" i="6"/>
  <c r="DM3" i="6"/>
  <c r="DN3" i="6"/>
  <c r="DO3" i="6"/>
  <c r="DP3" i="6"/>
  <c r="DQ3" i="6"/>
  <c r="DR3" i="6"/>
  <c r="DS3" i="6"/>
  <c r="DT3" i="6"/>
  <c r="DU3" i="6"/>
  <c r="DV3" i="6"/>
  <c r="DW3" i="6"/>
  <c r="DX3" i="6"/>
  <c r="DY3" i="6"/>
  <c r="DZ3" i="6"/>
  <c r="EA3" i="6"/>
  <c r="EB3" i="6"/>
  <c r="EC3" i="6"/>
  <c r="ED3" i="6"/>
  <c r="EE3" i="6"/>
  <c r="EF3" i="6"/>
  <c r="EG3" i="6"/>
  <c r="EH3" i="6"/>
  <c r="EI3" i="6"/>
  <c r="EJ3" i="6"/>
  <c r="EK3" i="6"/>
  <c r="EL3" i="6"/>
  <c r="EM3" i="6"/>
  <c r="EN3" i="6"/>
  <c r="EO3" i="6"/>
  <c r="EP3" i="6"/>
  <c r="EQ3" i="6"/>
  <c r="ER3" i="6"/>
  <c r="ES3" i="6"/>
  <c r="ET3" i="6"/>
  <c r="EU3" i="6"/>
  <c r="EV3" i="6"/>
  <c r="EW3" i="6"/>
  <c r="EX3" i="6"/>
  <c r="EY3" i="6"/>
  <c r="EZ3" i="6"/>
  <c r="FA3" i="6"/>
  <c r="FB3" i="6"/>
  <c r="FC3" i="6"/>
  <c r="FD3" i="6"/>
  <c r="FE3" i="6"/>
  <c r="FF3" i="6"/>
  <c r="FG3" i="6"/>
  <c r="FH3" i="6"/>
  <c r="FI3" i="6"/>
  <c r="FJ3" i="6"/>
  <c r="FK3" i="6"/>
  <c r="FL3" i="6"/>
  <c r="FM3" i="6"/>
  <c r="FN3" i="6"/>
  <c r="FO3" i="6"/>
  <c r="FP3" i="6"/>
  <c r="FQ3" i="6"/>
  <c r="FR3" i="6"/>
  <c r="FS3" i="6"/>
  <c r="FT3" i="6"/>
  <c r="FU3" i="6"/>
  <c r="FV3" i="6"/>
  <c r="FW3" i="6"/>
  <c r="FX3" i="6"/>
  <c r="FY3" i="6"/>
  <c r="FZ3" i="6"/>
  <c r="GA3" i="6"/>
  <c r="GB3" i="6"/>
  <c r="GC3" i="6"/>
  <c r="GD3" i="6"/>
  <c r="GE3" i="6"/>
  <c r="GF3" i="6"/>
  <c r="GG3" i="6"/>
  <c r="GH3" i="6"/>
  <c r="GI3" i="6"/>
  <c r="GJ3" i="6"/>
  <c r="GK3" i="6"/>
  <c r="GL3" i="6"/>
  <c r="GM3" i="6"/>
  <c r="GN3" i="6"/>
  <c r="GO3" i="6"/>
  <c r="GP3" i="6"/>
  <c r="GQ3" i="6"/>
  <c r="GR3" i="6"/>
  <c r="GS3" i="6"/>
  <c r="GT3" i="6"/>
  <c r="GU3" i="6"/>
  <c r="GV3" i="6"/>
  <c r="GW3" i="6"/>
  <c r="GX3" i="6"/>
  <c r="GY3" i="6"/>
  <c r="GZ3" i="6"/>
  <c r="HA3" i="6"/>
  <c r="HB3" i="6"/>
  <c r="HC3" i="6"/>
  <c r="HD3" i="6"/>
  <c r="HE3" i="6"/>
  <c r="HF3" i="6"/>
  <c r="HG3" i="6"/>
  <c r="HH3" i="6"/>
  <c r="HI3" i="6"/>
  <c r="HJ3" i="6"/>
  <c r="HK3" i="6"/>
  <c r="HL3" i="6"/>
  <c r="HM3" i="6"/>
  <c r="HN3" i="6"/>
  <c r="HO3" i="6"/>
  <c r="HP3" i="6"/>
  <c r="HQ3" i="6"/>
  <c r="HR3" i="6"/>
  <c r="HS3" i="6"/>
  <c r="HT3" i="6"/>
  <c r="HU3" i="6"/>
  <c r="HV3" i="6"/>
  <c r="HW3" i="6"/>
  <c r="HX3" i="6"/>
  <c r="HY3" i="6"/>
  <c r="HZ3" i="6"/>
  <c r="IA3" i="6"/>
  <c r="IB3" i="6"/>
  <c r="IC3" i="6"/>
  <c r="ID3" i="6"/>
  <c r="IE3" i="6"/>
  <c r="IF3" i="6"/>
  <c r="IG3" i="6"/>
  <c r="IH3" i="6"/>
  <c r="II3" i="6"/>
  <c r="IJ3" i="6"/>
  <c r="IK3" i="6"/>
  <c r="IL3" i="6"/>
  <c r="IM3" i="6"/>
  <c r="IN3" i="6"/>
  <c r="IO3" i="6"/>
  <c r="IP3" i="6"/>
  <c r="IQ3" i="6"/>
  <c r="IR3" i="6"/>
  <c r="IS3" i="6"/>
  <c r="IT3" i="6"/>
  <c r="IU3" i="6"/>
  <c r="IV3"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AK4" i="6"/>
  <c r="AL4" i="6"/>
  <c r="AM4" i="6"/>
  <c r="AN4" i="6"/>
  <c r="AO4" i="6"/>
  <c r="AP4" i="6"/>
  <c r="AQ4" i="6"/>
  <c r="AR4" i="6"/>
  <c r="AS4" i="6"/>
  <c r="AT4" i="6"/>
  <c r="AU4" i="6"/>
  <c r="AV4" i="6"/>
  <c r="AW4" i="6"/>
  <c r="AX4" i="6"/>
  <c r="AY4" i="6"/>
  <c r="AZ4" i="6"/>
  <c r="BA4" i="6"/>
  <c r="BB4" i="6"/>
  <c r="BC4" i="6"/>
  <c r="BD4" i="6"/>
  <c r="BE4" i="6"/>
  <c r="BF4" i="6"/>
  <c r="BG4" i="6"/>
  <c r="BH4" i="6"/>
  <c r="BI4" i="6"/>
  <c r="BJ4" i="6"/>
  <c r="BK4" i="6"/>
  <c r="BL4" i="6"/>
  <c r="BM4" i="6"/>
  <c r="BN4" i="6"/>
  <c r="BO4" i="6"/>
  <c r="BP4" i="6"/>
  <c r="BQ4" i="6"/>
  <c r="BR4" i="6"/>
  <c r="BS4" i="6"/>
  <c r="BT4" i="6"/>
  <c r="BU4" i="6"/>
  <c r="BV4" i="6"/>
  <c r="BW4" i="6"/>
  <c r="BX4" i="6"/>
  <c r="BY4" i="6"/>
  <c r="BZ4" i="6"/>
  <c r="CA4" i="6"/>
  <c r="CB4" i="6"/>
  <c r="CC4" i="6"/>
  <c r="CD4" i="6"/>
  <c r="CE4" i="6"/>
  <c r="CF4" i="6"/>
  <c r="CG4" i="6"/>
  <c r="CH4" i="6"/>
  <c r="CI4" i="6"/>
  <c r="CJ4" i="6"/>
  <c r="CK4" i="6"/>
  <c r="CL4" i="6"/>
  <c r="CM4" i="6"/>
  <c r="CN4" i="6"/>
  <c r="CO4" i="6"/>
  <c r="CP4" i="6"/>
  <c r="CQ4" i="6"/>
  <c r="CR4" i="6"/>
  <c r="CS4" i="6"/>
  <c r="CT4" i="6"/>
  <c r="CU4" i="6"/>
  <c r="CV4" i="6"/>
  <c r="CW4" i="6"/>
  <c r="CX4" i="6"/>
  <c r="CY4" i="6"/>
  <c r="CZ4" i="6"/>
  <c r="DA4" i="6"/>
  <c r="DB4" i="6"/>
  <c r="DC4" i="6"/>
  <c r="DD4" i="6"/>
  <c r="DE4" i="6"/>
  <c r="DF4" i="6"/>
  <c r="DG4" i="6"/>
  <c r="DH4" i="6"/>
  <c r="DI4" i="6"/>
  <c r="DJ4" i="6"/>
  <c r="DK4" i="6"/>
  <c r="DL4" i="6"/>
  <c r="DM4" i="6"/>
  <c r="DN4" i="6"/>
  <c r="DO4" i="6"/>
  <c r="DP4" i="6"/>
  <c r="DQ4" i="6"/>
  <c r="DR4" i="6"/>
  <c r="DS4" i="6"/>
  <c r="DT4" i="6"/>
  <c r="DU4" i="6"/>
  <c r="DV4" i="6"/>
  <c r="DW4" i="6"/>
  <c r="DX4" i="6"/>
  <c r="DY4" i="6"/>
  <c r="DZ4" i="6"/>
  <c r="EA4" i="6"/>
  <c r="EB4" i="6"/>
  <c r="EC4" i="6"/>
  <c r="ED4" i="6"/>
  <c r="EE4" i="6"/>
  <c r="EF4" i="6"/>
  <c r="EG4" i="6"/>
  <c r="EH4" i="6"/>
  <c r="EI4" i="6"/>
  <c r="EJ4" i="6"/>
  <c r="EK4" i="6"/>
  <c r="EL4" i="6"/>
  <c r="EM4" i="6"/>
  <c r="EN4" i="6"/>
  <c r="EO4" i="6"/>
  <c r="EP4" i="6"/>
  <c r="EQ4" i="6"/>
  <c r="ER4" i="6"/>
  <c r="ES4" i="6"/>
  <c r="ET4" i="6"/>
  <c r="EU4" i="6"/>
  <c r="EV4" i="6"/>
  <c r="EW4" i="6"/>
  <c r="EX4" i="6"/>
  <c r="EY4" i="6"/>
  <c r="EZ4" i="6"/>
  <c r="FA4" i="6"/>
  <c r="FB4" i="6"/>
  <c r="FC4" i="6"/>
  <c r="FD4" i="6"/>
  <c r="FE4" i="6"/>
  <c r="FF4" i="6"/>
  <c r="FG4" i="6"/>
  <c r="FH4" i="6"/>
  <c r="FI4" i="6"/>
  <c r="FJ4" i="6"/>
  <c r="FK4" i="6"/>
  <c r="FL4" i="6"/>
  <c r="FM4" i="6"/>
  <c r="FN4" i="6"/>
  <c r="FO4" i="6"/>
  <c r="FP4" i="6"/>
  <c r="FQ4" i="6"/>
  <c r="FR4" i="6"/>
  <c r="FS4" i="6"/>
  <c r="FT4" i="6"/>
  <c r="FU4" i="6"/>
  <c r="FV4" i="6"/>
  <c r="FW4" i="6"/>
  <c r="FX4" i="6"/>
  <c r="FY4" i="6"/>
  <c r="FZ4" i="6"/>
  <c r="GA4" i="6"/>
  <c r="GB4" i="6"/>
  <c r="GC4" i="6"/>
  <c r="GD4" i="6"/>
  <c r="GE4" i="6"/>
  <c r="GF4" i="6"/>
  <c r="GG4" i="6"/>
  <c r="GH4" i="6"/>
  <c r="GI4" i="6"/>
  <c r="GJ4" i="6"/>
  <c r="GK4" i="6"/>
  <c r="GL4" i="6"/>
  <c r="GM4" i="6"/>
  <c r="GN4" i="6"/>
  <c r="GO4" i="6"/>
  <c r="GP4" i="6"/>
  <c r="GQ4" i="6"/>
  <c r="GR4" i="6"/>
  <c r="GS4" i="6"/>
  <c r="GT4" i="6"/>
  <c r="GU4" i="6"/>
  <c r="GV4" i="6"/>
  <c r="GW4" i="6"/>
  <c r="GX4" i="6"/>
  <c r="GY4" i="6"/>
  <c r="GZ4" i="6"/>
  <c r="HA4" i="6"/>
  <c r="HB4" i="6"/>
  <c r="HC4" i="6"/>
  <c r="HD4" i="6"/>
  <c r="HE4" i="6"/>
  <c r="HF4" i="6"/>
  <c r="HG4" i="6"/>
  <c r="HH4" i="6"/>
  <c r="HI4" i="6"/>
  <c r="HJ4" i="6"/>
  <c r="HK4" i="6"/>
  <c r="HL4" i="6"/>
  <c r="HM4" i="6"/>
  <c r="HN4" i="6"/>
  <c r="HO4" i="6"/>
  <c r="HP4" i="6"/>
  <c r="HQ4" i="6"/>
  <c r="HR4" i="6"/>
  <c r="HS4" i="6"/>
  <c r="HT4" i="6"/>
  <c r="HU4" i="6"/>
  <c r="HV4" i="6"/>
  <c r="HW4" i="6"/>
  <c r="HX4" i="6"/>
  <c r="HY4" i="6"/>
  <c r="HZ4" i="6"/>
  <c r="IA4" i="6"/>
  <c r="IB4" i="6"/>
  <c r="IC4" i="6"/>
  <c r="ID4" i="6"/>
  <c r="IE4" i="6"/>
  <c r="IF4" i="6"/>
  <c r="IG4" i="6"/>
  <c r="IH4" i="6"/>
  <c r="II4" i="6"/>
  <c r="IJ4" i="6"/>
  <c r="IK4" i="6"/>
  <c r="IL4" i="6"/>
  <c r="IM4" i="6"/>
  <c r="IN4" i="6"/>
  <c r="IO4" i="6"/>
  <c r="IP4" i="6"/>
  <c r="IQ4" i="6"/>
  <c r="IR4" i="6"/>
  <c r="IS4" i="6"/>
  <c r="IT4" i="6"/>
  <c r="IU4" i="6"/>
  <c r="IV4"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AL5" i="6"/>
  <c r="AM5" i="6"/>
  <c r="AN5" i="6"/>
  <c r="AO5" i="6"/>
  <c r="AP5" i="6"/>
  <c r="AQ5" i="6"/>
  <c r="AR5" i="6"/>
  <c r="AS5" i="6"/>
  <c r="AT5" i="6"/>
  <c r="AU5" i="6"/>
  <c r="AV5" i="6"/>
  <c r="AW5" i="6"/>
  <c r="AX5" i="6"/>
  <c r="AY5" i="6"/>
  <c r="AZ5" i="6"/>
  <c r="BA5" i="6"/>
  <c r="BB5" i="6"/>
  <c r="BC5" i="6"/>
  <c r="BD5" i="6"/>
  <c r="BE5" i="6"/>
  <c r="BF5" i="6"/>
  <c r="BG5" i="6"/>
  <c r="BH5" i="6"/>
  <c r="BI5" i="6"/>
  <c r="BJ5" i="6"/>
  <c r="BK5" i="6"/>
  <c r="BL5" i="6"/>
  <c r="BM5" i="6"/>
  <c r="BN5" i="6"/>
  <c r="BO5" i="6"/>
  <c r="BP5" i="6"/>
  <c r="BQ5" i="6"/>
  <c r="BR5" i="6"/>
  <c r="BS5" i="6"/>
  <c r="BT5" i="6"/>
  <c r="BU5" i="6"/>
  <c r="BV5" i="6"/>
  <c r="BW5" i="6"/>
  <c r="BX5" i="6"/>
  <c r="BY5" i="6"/>
  <c r="BZ5" i="6"/>
  <c r="CA5" i="6"/>
  <c r="CB5" i="6"/>
  <c r="CC5" i="6"/>
  <c r="CD5" i="6"/>
  <c r="CE5" i="6"/>
  <c r="CF5" i="6"/>
  <c r="CG5" i="6"/>
  <c r="CH5" i="6"/>
  <c r="CI5" i="6"/>
  <c r="CJ5" i="6"/>
  <c r="CK5" i="6"/>
  <c r="CL5" i="6"/>
  <c r="CM5" i="6"/>
  <c r="CN5" i="6"/>
  <c r="CO5" i="6"/>
  <c r="CP5" i="6"/>
  <c r="CQ5" i="6"/>
  <c r="CR5" i="6"/>
  <c r="CS5" i="6"/>
  <c r="CT5" i="6"/>
  <c r="CU5" i="6"/>
  <c r="CV5" i="6"/>
  <c r="CW5" i="6"/>
  <c r="CX5" i="6"/>
  <c r="CY5" i="6"/>
  <c r="CZ5" i="6"/>
  <c r="DA5" i="6"/>
  <c r="DB5" i="6"/>
  <c r="DC5" i="6"/>
  <c r="DD5" i="6"/>
  <c r="DE5" i="6"/>
  <c r="DF5" i="6"/>
  <c r="DG5" i="6"/>
  <c r="DH5" i="6"/>
  <c r="DI5" i="6"/>
  <c r="DJ5" i="6"/>
  <c r="DK5" i="6"/>
  <c r="DL5" i="6"/>
  <c r="DM5" i="6"/>
  <c r="DN5" i="6"/>
  <c r="DO5" i="6"/>
  <c r="DP5" i="6"/>
  <c r="DQ5" i="6"/>
  <c r="DR5" i="6"/>
  <c r="DS5" i="6"/>
  <c r="DT5" i="6"/>
  <c r="DU5" i="6"/>
  <c r="DV5" i="6"/>
  <c r="DW5" i="6"/>
  <c r="DX5" i="6"/>
  <c r="DY5" i="6"/>
  <c r="DZ5" i="6"/>
  <c r="EA5" i="6"/>
  <c r="EB5" i="6"/>
  <c r="EC5" i="6"/>
  <c r="ED5" i="6"/>
  <c r="EE5" i="6"/>
  <c r="EF5" i="6"/>
  <c r="EG5" i="6"/>
  <c r="EH5" i="6"/>
  <c r="EI5" i="6"/>
  <c r="EJ5" i="6"/>
  <c r="EK5" i="6"/>
  <c r="EL5" i="6"/>
  <c r="EM5" i="6"/>
  <c r="EN5" i="6"/>
  <c r="EO5" i="6"/>
  <c r="EP5" i="6"/>
  <c r="EQ5" i="6"/>
  <c r="ER5" i="6"/>
  <c r="ES5" i="6"/>
  <c r="ET5" i="6"/>
  <c r="EU5" i="6"/>
  <c r="EV5" i="6"/>
  <c r="EW5" i="6"/>
  <c r="EX5" i="6"/>
  <c r="EY5" i="6"/>
  <c r="EZ5" i="6"/>
  <c r="FA5" i="6"/>
  <c r="FB5" i="6"/>
  <c r="FC5" i="6"/>
  <c r="FD5" i="6"/>
  <c r="FE5" i="6"/>
  <c r="FF5" i="6"/>
  <c r="FG5" i="6"/>
  <c r="FH5" i="6"/>
  <c r="FI5" i="6"/>
  <c r="FJ5" i="6"/>
  <c r="FK5" i="6"/>
  <c r="FL5" i="6"/>
  <c r="FM5" i="6"/>
  <c r="FN5" i="6"/>
  <c r="FO5" i="6"/>
  <c r="FP5" i="6"/>
  <c r="FQ5" i="6"/>
  <c r="FR5" i="6"/>
  <c r="FS5" i="6"/>
  <c r="FT5" i="6"/>
  <c r="FU5" i="6"/>
  <c r="FV5" i="6"/>
  <c r="FW5" i="6"/>
  <c r="FX5" i="6"/>
  <c r="FY5" i="6"/>
  <c r="FZ5" i="6"/>
  <c r="GA5" i="6"/>
  <c r="GB5" i="6"/>
  <c r="GC5" i="6"/>
  <c r="GD5" i="6"/>
  <c r="GE5" i="6"/>
  <c r="GF5" i="6"/>
  <c r="GG5" i="6"/>
  <c r="GH5" i="6"/>
  <c r="GI5" i="6"/>
  <c r="GJ5" i="6"/>
  <c r="GK5" i="6"/>
  <c r="GL5" i="6"/>
  <c r="GM5" i="6"/>
  <c r="GN5" i="6"/>
  <c r="GO5" i="6"/>
  <c r="GP5" i="6"/>
  <c r="GQ5" i="6"/>
  <c r="GR5" i="6"/>
  <c r="GS5" i="6"/>
  <c r="GT5" i="6"/>
  <c r="GU5" i="6"/>
  <c r="GV5" i="6"/>
  <c r="GW5" i="6"/>
  <c r="GX5" i="6"/>
  <c r="GY5" i="6"/>
  <c r="GZ5" i="6"/>
  <c r="HA5" i="6"/>
  <c r="HB5" i="6"/>
  <c r="HC5" i="6"/>
  <c r="HD5" i="6"/>
  <c r="HE5" i="6"/>
  <c r="HF5" i="6"/>
  <c r="HG5" i="6"/>
  <c r="HH5" i="6"/>
  <c r="HI5" i="6"/>
  <c r="HJ5" i="6"/>
  <c r="HK5" i="6"/>
  <c r="HL5" i="6"/>
  <c r="HM5" i="6"/>
  <c r="HN5" i="6"/>
  <c r="HO5" i="6"/>
  <c r="HP5" i="6"/>
  <c r="HQ5" i="6"/>
  <c r="HR5" i="6"/>
  <c r="HS5" i="6"/>
  <c r="HT5" i="6"/>
  <c r="HU5" i="6"/>
  <c r="HV5" i="6"/>
  <c r="HW5" i="6"/>
  <c r="HX5" i="6"/>
  <c r="HY5" i="6"/>
  <c r="HZ5" i="6"/>
  <c r="IA5" i="6"/>
  <c r="IB5" i="6"/>
  <c r="IC5" i="6"/>
  <c r="ID5" i="6"/>
  <c r="IE5" i="6"/>
  <c r="IF5" i="6"/>
  <c r="IG5" i="6"/>
  <c r="IH5" i="6"/>
  <c r="II5" i="6"/>
  <c r="IJ5" i="6"/>
  <c r="IK5" i="6"/>
  <c r="IL5" i="6"/>
  <c r="IM5" i="6"/>
  <c r="IN5" i="6"/>
  <c r="IO5" i="6"/>
  <c r="IP5" i="6"/>
  <c r="IQ5" i="6"/>
  <c r="IR5" i="6"/>
  <c r="IS5" i="6"/>
  <c r="IT5" i="6"/>
  <c r="IU5" i="6"/>
  <c r="IV5"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M6" i="6"/>
  <c r="BN6" i="6"/>
  <c r="BO6" i="6"/>
  <c r="BP6" i="6"/>
  <c r="BQ6" i="6"/>
  <c r="BR6" i="6"/>
  <c r="BS6" i="6"/>
  <c r="BT6" i="6"/>
  <c r="BU6" i="6"/>
  <c r="BV6" i="6"/>
  <c r="BW6" i="6"/>
  <c r="BX6" i="6"/>
  <c r="BY6" i="6"/>
  <c r="BZ6" i="6"/>
  <c r="CA6" i="6"/>
  <c r="CB6" i="6"/>
  <c r="CC6" i="6"/>
  <c r="CD6" i="6"/>
  <c r="CE6" i="6"/>
  <c r="CF6" i="6"/>
  <c r="CG6" i="6"/>
  <c r="CH6" i="6"/>
  <c r="CI6" i="6"/>
  <c r="CJ6" i="6"/>
  <c r="CK6" i="6"/>
  <c r="CL6" i="6"/>
  <c r="CM6" i="6"/>
  <c r="CN6" i="6"/>
  <c r="CO6" i="6"/>
  <c r="CP6" i="6"/>
  <c r="CQ6" i="6"/>
  <c r="CR6" i="6"/>
  <c r="CS6" i="6"/>
  <c r="CT6" i="6"/>
  <c r="CU6" i="6"/>
  <c r="CV6" i="6"/>
  <c r="CW6" i="6"/>
  <c r="CX6" i="6"/>
  <c r="CY6" i="6"/>
  <c r="CZ6" i="6"/>
  <c r="DA6" i="6"/>
  <c r="DB6" i="6"/>
  <c r="DC6" i="6"/>
  <c r="DD6" i="6"/>
  <c r="DE6" i="6"/>
  <c r="DF6" i="6"/>
  <c r="DG6" i="6"/>
  <c r="DH6" i="6"/>
  <c r="DI6" i="6"/>
  <c r="DJ6" i="6"/>
  <c r="DK6" i="6"/>
  <c r="DL6" i="6"/>
  <c r="DM6" i="6"/>
  <c r="DN6" i="6"/>
  <c r="DO6" i="6"/>
  <c r="DP6" i="6"/>
  <c r="DQ6" i="6"/>
  <c r="DR6" i="6"/>
  <c r="DS6" i="6"/>
  <c r="DT6" i="6"/>
  <c r="DU6" i="6"/>
  <c r="DV6" i="6"/>
  <c r="DW6" i="6"/>
  <c r="DX6" i="6"/>
  <c r="DY6" i="6"/>
  <c r="DZ6" i="6"/>
  <c r="EA6" i="6"/>
  <c r="EB6" i="6"/>
  <c r="EC6" i="6"/>
  <c r="ED6" i="6"/>
  <c r="EE6" i="6"/>
  <c r="EF6" i="6"/>
  <c r="EG6" i="6"/>
  <c r="EH6" i="6"/>
  <c r="EI6" i="6"/>
  <c r="EJ6" i="6"/>
  <c r="EK6" i="6"/>
  <c r="EL6" i="6"/>
  <c r="EM6" i="6"/>
  <c r="EN6" i="6"/>
  <c r="EO6" i="6"/>
  <c r="EP6" i="6"/>
  <c r="EQ6" i="6"/>
  <c r="ER6" i="6"/>
  <c r="ES6" i="6"/>
  <c r="ET6" i="6"/>
  <c r="EU6" i="6"/>
  <c r="EV6" i="6"/>
  <c r="EW6" i="6"/>
  <c r="EX6" i="6"/>
  <c r="EY6" i="6"/>
  <c r="EZ6" i="6"/>
  <c r="FA6" i="6"/>
  <c r="FB6" i="6"/>
  <c r="FC6" i="6"/>
  <c r="FD6" i="6"/>
  <c r="FE6" i="6"/>
  <c r="FF6" i="6"/>
  <c r="FG6" i="6"/>
  <c r="FH6" i="6"/>
  <c r="FI6" i="6"/>
  <c r="FJ6" i="6"/>
  <c r="FK6" i="6"/>
  <c r="FL6" i="6"/>
  <c r="FM6" i="6"/>
  <c r="FN6" i="6"/>
  <c r="FO6" i="6"/>
  <c r="FP6" i="6"/>
  <c r="FQ6" i="6"/>
  <c r="FR6" i="6"/>
  <c r="FS6" i="6"/>
  <c r="FT6" i="6"/>
  <c r="FU6" i="6"/>
  <c r="FV6" i="6"/>
  <c r="FW6" i="6"/>
  <c r="FX6" i="6"/>
  <c r="FY6" i="6"/>
  <c r="FZ6" i="6"/>
  <c r="GA6" i="6"/>
  <c r="GB6" i="6"/>
  <c r="GC6" i="6"/>
  <c r="GD6" i="6"/>
  <c r="GE6" i="6"/>
  <c r="GF6" i="6"/>
  <c r="GG6" i="6"/>
  <c r="GH6" i="6"/>
  <c r="GI6" i="6"/>
  <c r="GJ6" i="6"/>
  <c r="GK6" i="6"/>
  <c r="GL6" i="6"/>
  <c r="GM6" i="6"/>
  <c r="GN6" i="6"/>
  <c r="GO6" i="6"/>
  <c r="GP6" i="6"/>
  <c r="GQ6" i="6"/>
  <c r="GR6" i="6"/>
  <c r="GS6" i="6"/>
  <c r="GT6" i="6"/>
  <c r="GU6" i="6"/>
  <c r="GV6" i="6"/>
  <c r="GW6" i="6"/>
  <c r="GX6" i="6"/>
  <c r="GY6" i="6"/>
  <c r="GZ6" i="6"/>
  <c r="HA6" i="6"/>
  <c r="HB6" i="6"/>
  <c r="HC6" i="6"/>
  <c r="HD6" i="6"/>
  <c r="HE6" i="6"/>
  <c r="HF6" i="6"/>
  <c r="HG6" i="6"/>
  <c r="HH6" i="6"/>
  <c r="HI6" i="6"/>
  <c r="HJ6" i="6"/>
  <c r="HK6" i="6"/>
  <c r="HL6" i="6"/>
  <c r="HM6" i="6"/>
  <c r="HN6" i="6"/>
  <c r="HO6" i="6"/>
  <c r="HP6" i="6"/>
  <c r="HQ6" i="6"/>
  <c r="HR6" i="6"/>
  <c r="HS6" i="6"/>
  <c r="HT6" i="6"/>
  <c r="HU6" i="6"/>
  <c r="HV6" i="6"/>
  <c r="HW6" i="6"/>
  <c r="HX6" i="6"/>
  <c r="HY6" i="6"/>
  <c r="HZ6" i="6"/>
  <c r="IA6" i="6"/>
  <c r="IB6" i="6"/>
  <c r="IC6" i="6"/>
  <c r="ID6" i="6"/>
  <c r="IE6" i="6"/>
  <c r="IF6" i="6"/>
  <c r="IG6" i="6"/>
  <c r="IH6" i="6"/>
  <c r="II6" i="6"/>
  <c r="IJ6" i="6"/>
  <c r="IK6" i="6"/>
  <c r="IL6" i="6"/>
  <c r="IM6" i="6"/>
  <c r="IN6" i="6"/>
  <c r="IO6" i="6"/>
  <c r="IP6" i="6"/>
  <c r="IQ6" i="6"/>
  <c r="IR6" i="6"/>
  <c r="IS6" i="6"/>
  <c r="IT6" i="6"/>
  <c r="IU6" i="6"/>
  <c r="IV6"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AL7" i="6"/>
  <c r="AM7" i="6"/>
  <c r="AN7" i="6"/>
  <c r="AO7" i="6"/>
  <c r="AP7" i="6"/>
  <c r="AQ7" i="6"/>
  <c r="AR7" i="6"/>
  <c r="AS7" i="6"/>
  <c r="AT7" i="6"/>
  <c r="AU7" i="6"/>
  <c r="AV7" i="6"/>
  <c r="AW7" i="6"/>
  <c r="AX7" i="6"/>
  <c r="AY7" i="6"/>
  <c r="AZ7" i="6"/>
  <c r="BA7" i="6"/>
  <c r="BB7" i="6"/>
  <c r="BC7" i="6"/>
  <c r="BD7" i="6"/>
  <c r="BE7" i="6"/>
  <c r="BF7" i="6"/>
  <c r="BG7" i="6"/>
  <c r="BH7" i="6"/>
  <c r="BI7" i="6"/>
  <c r="BJ7" i="6"/>
  <c r="BK7" i="6"/>
  <c r="BL7" i="6"/>
  <c r="BM7" i="6"/>
  <c r="BN7" i="6"/>
  <c r="BO7" i="6"/>
  <c r="BP7" i="6"/>
  <c r="BQ7" i="6"/>
  <c r="BR7" i="6"/>
  <c r="BS7" i="6"/>
  <c r="BT7" i="6"/>
  <c r="BU7" i="6"/>
  <c r="BV7" i="6"/>
  <c r="BW7" i="6"/>
  <c r="BX7" i="6"/>
  <c r="BY7" i="6"/>
  <c r="BZ7" i="6"/>
  <c r="CA7" i="6"/>
  <c r="CB7" i="6"/>
  <c r="CC7" i="6"/>
  <c r="CD7" i="6"/>
  <c r="CE7" i="6"/>
  <c r="CF7" i="6"/>
  <c r="CG7" i="6"/>
  <c r="CH7" i="6"/>
  <c r="CI7" i="6"/>
  <c r="CJ7" i="6"/>
  <c r="CK7" i="6"/>
  <c r="CL7" i="6"/>
  <c r="CM7" i="6"/>
  <c r="CN7" i="6"/>
  <c r="CO7" i="6"/>
  <c r="CP7" i="6"/>
  <c r="CQ7" i="6"/>
  <c r="CR7" i="6"/>
  <c r="CS7" i="6"/>
  <c r="CT7" i="6"/>
  <c r="CU7" i="6"/>
  <c r="CV7" i="6"/>
  <c r="CW7" i="6"/>
  <c r="CX7" i="6"/>
  <c r="CY7" i="6"/>
  <c r="CZ7" i="6"/>
  <c r="DA7" i="6"/>
  <c r="DB7" i="6"/>
  <c r="DC7" i="6"/>
  <c r="DD7" i="6"/>
  <c r="DE7" i="6"/>
  <c r="DF7" i="6"/>
  <c r="DG7" i="6"/>
  <c r="DH7" i="6"/>
  <c r="DI7" i="6"/>
  <c r="DJ7" i="6"/>
  <c r="DK7" i="6"/>
  <c r="DL7" i="6"/>
  <c r="DM7" i="6"/>
  <c r="DN7" i="6"/>
  <c r="DO7" i="6"/>
  <c r="DP7" i="6"/>
  <c r="DQ7" i="6"/>
  <c r="DR7" i="6"/>
  <c r="DS7" i="6"/>
  <c r="DT7" i="6"/>
  <c r="DU7" i="6"/>
  <c r="DV7" i="6"/>
  <c r="DW7" i="6"/>
  <c r="DX7" i="6"/>
  <c r="DY7" i="6"/>
  <c r="DZ7" i="6"/>
  <c r="EA7" i="6"/>
  <c r="EB7" i="6"/>
  <c r="EC7" i="6"/>
  <c r="ED7" i="6"/>
  <c r="EE7" i="6"/>
  <c r="EF7" i="6"/>
  <c r="EG7" i="6"/>
  <c r="EH7" i="6"/>
  <c r="EI7" i="6"/>
  <c r="EJ7" i="6"/>
  <c r="EK7" i="6"/>
  <c r="EL7" i="6"/>
  <c r="EM7" i="6"/>
  <c r="EN7" i="6"/>
  <c r="EO7" i="6"/>
  <c r="EP7" i="6"/>
  <c r="EQ7" i="6"/>
  <c r="ER7" i="6"/>
  <c r="ES7" i="6"/>
  <c r="ET7" i="6"/>
  <c r="EU7" i="6"/>
  <c r="EV7" i="6"/>
  <c r="EW7" i="6"/>
  <c r="EX7" i="6"/>
  <c r="EY7" i="6"/>
  <c r="EZ7" i="6"/>
  <c r="FA7" i="6"/>
  <c r="FB7" i="6"/>
  <c r="FC7" i="6"/>
  <c r="FD7" i="6"/>
  <c r="FE7" i="6"/>
  <c r="FF7" i="6"/>
  <c r="FG7" i="6"/>
  <c r="FH7" i="6"/>
  <c r="FI7" i="6"/>
  <c r="FJ7" i="6"/>
  <c r="FK7" i="6"/>
  <c r="FL7" i="6"/>
  <c r="FM7" i="6"/>
  <c r="FN7" i="6"/>
  <c r="FO7" i="6"/>
  <c r="FP7" i="6"/>
  <c r="FQ7" i="6"/>
  <c r="FR7" i="6"/>
  <c r="FS7" i="6"/>
  <c r="FT7" i="6"/>
  <c r="FU7" i="6"/>
  <c r="FV7" i="6"/>
  <c r="FW7" i="6"/>
  <c r="FX7" i="6"/>
  <c r="FY7" i="6"/>
  <c r="FZ7" i="6"/>
  <c r="GA7" i="6"/>
  <c r="GB7" i="6"/>
  <c r="GC7" i="6"/>
  <c r="GD7" i="6"/>
  <c r="GE7" i="6"/>
  <c r="GF7" i="6"/>
  <c r="GG7" i="6"/>
  <c r="GH7" i="6"/>
  <c r="GI7" i="6"/>
  <c r="GJ7" i="6"/>
  <c r="GK7" i="6"/>
  <c r="GL7" i="6"/>
  <c r="GM7" i="6"/>
  <c r="GN7" i="6"/>
  <c r="GO7" i="6"/>
  <c r="GP7" i="6"/>
  <c r="GQ7" i="6"/>
  <c r="GR7" i="6"/>
  <c r="GS7" i="6"/>
  <c r="GT7" i="6"/>
  <c r="GU7" i="6"/>
  <c r="GV7" i="6"/>
  <c r="GW7" i="6"/>
  <c r="GX7" i="6"/>
  <c r="GY7" i="6"/>
  <c r="GZ7" i="6"/>
  <c r="HA7" i="6"/>
  <c r="HB7" i="6"/>
  <c r="HC7" i="6"/>
  <c r="HD7" i="6"/>
  <c r="HE7" i="6"/>
  <c r="HF7" i="6"/>
  <c r="HG7" i="6"/>
  <c r="HH7" i="6"/>
  <c r="HI7" i="6"/>
  <c r="HJ7" i="6"/>
  <c r="HK7" i="6"/>
  <c r="HL7" i="6"/>
  <c r="HM7" i="6"/>
  <c r="HN7" i="6"/>
  <c r="HO7" i="6"/>
  <c r="HP7" i="6"/>
  <c r="HQ7" i="6"/>
  <c r="HR7" i="6"/>
  <c r="HS7" i="6"/>
  <c r="HT7" i="6"/>
  <c r="HU7" i="6"/>
  <c r="HV7" i="6"/>
  <c r="HW7" i="6"/>
  <c r="HX7" i="6"/>
  <c r="HY7" i="6"/>
  <c r="HZ7" i="6"/>
  <c r="IA7" i="6"/>
  <c r="IB7" i="6"/>
  <c r="IC7" i="6"/>
  <c r="ID7" i="6"/>
  <c r="IE7" i="6"/>
  <c r="IF7" i="6"/>
  <c r="IG7" i="6"/>
  <c r="IH7" i="6"/>
  <c r="II7" i="6"/>
  <c r="IJ7" i="6"/>
  <c r="IK7" i="6"/>
  <c r="IL7" i="6"/>
  <c r="IM7" i="6"/>
  <c r="IN7" i="6"/>
  <c r="IO7" i="6"/>
  <c r="IP7" i="6"/>
  <c r="IQ7" i="6"/>
  <c r="IR7" i="6"/>
  <c r="IS7" i="6"/>
  <c r="IT7" i="6"/>
  <c r="IU7" i="6"/>
  <c r="IV7"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M8" i="6"/>
  <c r="AN8" i="6"/>
  <c r="AO8" i="6"/>
  <c r="AP8" i="6"/>
  <c r="AQ8" i="6"/>
  <c r="AR8" i="6"/>
  <c r="AS8" i="6"/>
  <c r="AT8" i="6"/>
  <c r="AU8" i="6"/>
  <c r="AV8" i="6"/>
  <c r="AW8" i="6"/>
  <c r="AX8" i="6"/>
  <c r="AY8" i="6"/>
  <c r="AZ8" i="6"/>
  <c r="BA8" i="6"/>
  <c r="BB8" i="6"/>
  <c r="BC8" i="6"/>
  <c r="BD8" i="6"/>
  <c r="BE8" i="6"/>
  <c r="BF8" i="6"/>
  <c r="BG8" i="6"/>
  <c r="BH8" i="6"/>
  <c r="BI8" i="6"/>
  <c r="BJ8" i="6"/>
  <c r="BK8" i="6"/>
  <c r="BL8" i="6"/>
  <c r="BM8" i="6"/>
  <c r="BN8" i="6"/>
  <c r="BO8" i="6"/>
  <c r="BP8" i="6"/>
  <c r="BQ8" i="6"/>
  <c r="BR8" i="6"/>
  <c r="BS8" i="6"/>
  <c r="BT8" i="6"/>
  <c r="BU8" i="6"/>
  <c r="BV8" i="6"/>
  <c r="BW8" i="6"/>
  <c r="BX8" i="6"/>
  <c r="BY8" i="6"/>
  <c r="BZ8" i="6"/>
  <c r="CA8" i="6"/>
  <c r="CB8" i="6"/>
  <c r="CC8" i="6"/>
  <c r="CD8" i="6"/>
  <c r="CE8" i="6"/>
  <c r="CF8" i="6"/>
  <c r="CG8" i="6"/>
  <c r="CH8" i="6"/>
  <c r="CI8" i="6"/>
  <c r="CJ8" i="6"/>
  <c r="CK8" i="6"/>
  <c r="CL8" i="6"/>
  <c r="CM8" i="6"/>
  <c r="CN8" i="6"/>
  <c r="CO8" i="6"/>
  <c r="CP8" i="6"/>
  <c r="CQ8" i="6"/>
  <c r="CR8" i="6"/>
  <c r="CS8" i="6"/>
  <c r="CT8" i="6"/>
  <c r="CU8" i="6"/>
  <c r="CV8" i="6"/>
  <c r="CW8" i="6"/>
  <c r="CX8" i="6"/>
  <c r="CY8" i="6"/>
  <c r="CZ8" i="6"/>
  <c r="DA8" i="6"/>
  <c r="DB8" i="6"/>
  <c r="DC8" i="6"/>
  <c r="DD8" i="6"/>
  <c r="DE8" i="6"/>
  <c r="DF8" i="6"/>
  <c r="DG8" i="6"/>
  <c r="DH8" i="6"/>
  <c r="DI8" i="6"/>
  <c r="DJ8" i="6"/>
  <c r="DK8" i="6"/>
  <c r="DL8" i="6"/>
  <c r="DM8" i="6"/>
  <c r="DN8" i="6"/>
  <c r="DO8" i="6"/>
  <c r="DP8" i="6"/>
  <c r="DQ8" i="6"/>
  <c r="DR8" i="6"/>
  <c r="DS8" i="6"/>
  <c r="DT8" i="6"/>
  <c r="DU8" i="6"/>
  <c r="DV8" i="6"/>
  <c r="DW8" i="6"/>
  <c r="DX8" i="6"/>
  <c r="DY8" i="6"/>
  <c r="DZ8" i="6"/>
  <c r="EA8" i="6"/>
  <c r="EB8" i="6"/>
  <c r="EC8" i="6"/>
  <c r="ED8" i="6"/>
  <c r="EE8" i="6"/>
  <c r="EF8" i="6"/>
  <c r="EG8" i="6"/>
  <c r="EH8" i="6"/>
  <c r="EI8" i="6"/>
  <c r="EJ8" i="6"/>
  <c r="EK8" i="6"/>
  <c r="EL8" i="6"/>
  <c r="EM8" i="6"/>
  <c r="EN8" i="6"/>
  <c r="EO8" i="6"/>
  <c r="EP8" i="6"/>
  <c r="EQ8" i="6"/>
  <c r="ER8" i="6"/>
  <c r="ES8" i="6"/>
  <c r="ET8" i="6"/>
  <c r="EU8" i="6"/>
  <c r="EV8" i="6"/>
  <c r="EW8" i="6"/>
  <c r="EX8" i="6"/>
  <c r="EY8" i="6"/>
  <c r="EZ8" i="6"/>
  <c r="FA8" i="6"/>
  <c r="FB8" i="6"/>
  <c r="FC8" i="6"/>
  <c r="FD8" i="6"/>
  <c r="FE8" i="6"/>
  <c r="FF8" i="6"/>
  <c r="FG8" i="6"/>
  <c r="FH8" i="6"/>
  <c r="FI8" i="6"/>
  <c r="FJ8" i="6"/>
  <c r="FK8" i="6"/>
  <c r="FL8" i="6"/>
  <c r="FM8" i="6"/>
  <c r="FN8" i="6"/>
  <c r="FO8" i="6"/>
  <c r="FP8" i="6"/>
  <c r="FQ8" i="6"/>
  <c r="FR8" i="6"/>
  <c r="FS8" i="6"/>
  <c r="FT8" i="6"/>
  <c r="FU8" i="6"/>
  <c r="FV8" i="6"/>
  <c r="FW8" i="6"/>
  <c r="FX8" i="6"/>
  <c r="FY8" i="6"/>
  <c r="FZ8" i="6"/>
  <c r="GA8" i="6"/>
  <c r="GB8" i="6"/>
  <c r="GC8" i="6"/>
  <c r="GD8" i="6"/>
  <c r="GE8" i="6"/>
  <c r="GF8" i="6"/>
  <c r="GG8" i="6"/>
  <c r="GH8" i="6"/>
  <c r="GI8" i="6"/>
  <c r="GJ8" i="6"/>
  <c r="GK8" i="6"/>
  <c r="GL8" i="6"/>
  <c r="GM8" i="6"/>
  <c r="GN8" i="6"/>
  <c r="GO8" i="6"/>
  <c r="GP8" i="6"/>
  <c r="GQ8" i="6"/>
  <c r="GR8" i="6"/>
  <c r="GS8" i="6"/>
  <c r="GT8" i="6"/>
  <c r="GU8" i="6"/>
  <c r="GV8" i="6"/>
  <c r="GW8" i="6"/>
  <c r="GX8" i="6"/>
  <c r="GY8" i="6"/>
  <c r="GZ8" i="6"/>
  <c r="HA8" i="6"/>
  <c r="HB8" i="6"/>
  <c r="HC8" i="6"/>
  <c r="HD8" i="6"/>
  <c r="HE8" i="6"/>
  <c r="HF8" i="6"/>
  <c r="HG8" i="6"/>
  <c r="HH8" i="6"/>
  <c r="HI8" i="6"/>
  <c r="HJ8" i="6"/>
  <c r="HK8" i="6"/>
  <c r="HL8" i="6"/>
  <c r="HM8" i="6"/>
  <c r="HN8" i="6"/>
  <c r="HO8" i="6"/>
  <c r="HP8" i="6"/>
  <c r="HQ8" i="6"/>
  <c r="HR8" i="6"/>
  <c r="HS8" i="6"/>
  <c r="HT8" i="6"/>
  <c r="HU8" i="6"/>
  <c r="HV8" i="6"/>
  <c r="HW8" i="6"/>
  <c r="HX8" i="6"/>
  <c r="HY8" i="6"/>
  <c r="HZ8" i="6"/>
  <c r="IA8" i="6"/>
  <c r="IB8" i="6"/>
  <c r="IC8" i="6"/>
  <c r="ID8" i="6"/>
  <c r="IE8" i="6"/>
  <c r="IF8" i="6"/>
  <c r="IG8" i="6"/>
  <c r="IH8" i="6"/>
  <c r="II8" i="6"/>
  <c r="IJ8" i="6"/>
  <c r="IK8" i="6"/>
  <c r="IL8" i="6"/>
  <c r="IM8" i="6"/>
  <c r="IN8" i="6"/>
  <c r="IO8" i="6"/>
  <c r="IP8" i="6"/>
  <c r="IQ8" i="6"/>
  <c r="IR8" i="6"/>
  <c r="IS8" i="6"/>
  <c r="IT8" i="6"/>
  <c r="IU8" i="6"/>
  <c r="IV8"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AM9" i="6"/>
  <c r="AN9" i="6"/>
  <c r="AO9" i="6"/>
  <c r="AP9" i="6"/>
  <c r="AQ9" i="6"/>
  <c r="AR9" i="6"/>
  <c r="AS9" i="6"/>
  <c r="AT9" i="6"/>
  <c r="AU9" i="6"/>
  <c r="AV9" i="6"/>
  <c r="AW9" i="6"/>
  <c r="AX9" i="6"/>
  <c r="AY9" i="6"/>
  <c r="AZ9" i="6"/>
  <c r="BA9" i="6"/>
  <c r="BB9" i="6"/>
  <c r="BC9" i="6"/>
  <c r="BD9" i="6"/>
  <c r="BE9" i="6"/>
  <c r="BF9" i="6"/>
  <c r="BG9" i="6"/>
  <c r="BH9" i="6"/>
  <c r="BI9" i="6"/>
  <c r="BJ9" i="6"/>
  <c r="BK9" i="6"/>
  <c r="BL9" i="6"/>
  <c r="BM9" i="6"/>
  <c r="BN9" i="6"/>
  <c r="BO9" i="6"/>
  <c r="BP9" i="6"/>
  <c r="BQ9" i="6"/>
  <c r="BR9" i="6"/>
  <c r="BS9" i="6"/>
  <c r="BT9" i="6"/>
  <c r="BU9" i="6"/>
  <c r="BV9" i="6"/>
  <c r="BW9" i="6"/>
  <c r="BX9" i="6"/>
  <c r="BY9" i="6"/>
  <c r="BZ9" i="6"/>
  <c r="CA9" i="6"/>
  <c r="CB9" i="6"/>
  <c r="CC9" i="6"/>
  <c r="CD9" i="6"/>
  <c r="CE9" i="6"/>
  <c r="CF9" i="6"/>
  <c r="CG9" i="6"/>
  <c r="CH9" i="6"/>
  <c r="CI9" i="6"/>
  <c r="CJ9" i="6"/>
  <c r="CK9" i="6"/>
  <c r="CL9" i="6"/>
  <c r="CM9" i="6"/>
  <c r="CN9" i="6"/>
  <c r="CO9" i="6"/>
  <c r="CP9" i="6"/>
  <c r="CQ9" i="6"/>
  <c r="CR9" i="6"/>
  <c r="CS9" i="6"/>
  <c r="CT9" i="6"/>
  <c r="CU9" i="6"/>
  <c r="CV9" i="6"/>
  <c r="CW9" i="6"/>
  <c r="CX9" i="6"/>
  <c r="CY9" i="6"/>
  <c r="CZ9" i="6"/>
  <c r="DA9" i="6"/>
  <c r="DB9" i="6"/>
  <c r="DC9" i="6"/>
  <c r="DD9" i="6"/>
  <c r="DE9" i="6"/>
  <c r="DF9" i="6"/>
  <c r="DG9" i="6"/>
  <c r="DH9" i="6"/>
  <c r="DI9" i="6"/>
  <c r="DJ9" i="6"/>
  <c r="DK9" i="6"/>
  <c r="DL9" i="6"/>
  <c r="DM9" i="6"/>
  <c r="DN9" i="6"/>
  <c r="DO9" i="6"/>
  <c r="DP9" i="6"/>
  <c r="DQ9" i="6"/>
  <c r="DR9" i="6"/>
  <c r="DS9" i="6"/>
  <c r="DT9" i="6"/>
  <c r="DU9" i="6"/>
  <c r="DV9" i="6"/>
  <c r="DW9" i="6"/>
  <c r="DX9" i="6"/>
  <c r="DY9" i="6"/>
  <c r="DZ9" i="6"/>
  <c r="EA9" i="6"/>
  <c r="EB9" i="6"/>
  <c r="EC9" i="6"/>
  <c r="ED9" i="6"/>
  <c r="EE9" i="6"/>
  <c r="EF9" i="6"/>
  <c r="EG9" i="6"/>
  <c r="EH9" i="6"/>
  <c r="EI9" i="6"/>
  <c r="EJ9" i="6"/>
  <c r="EK9" i="6"/>
  <c r="EL9" i="6"/>
  <c r="EM9" i="6"/>
  <c r="EN9" i="6"/>
  <c r="EO9" i="6"/>
  <c r="EP9" i="6"/>
  <c r="EQ9" i="6"/>
  <c r="ER9" i="6"/>
  <c r="ES9" i="6"/>
  <c r="ET9" i="6"/>
  <c r="EU9" i="6"/>
  <c r="EV9" i="6"/>
  <c r="EW9" i="6"/>
  <c r="EX9" i="6"/>
  <c r="EY9" i="6"/>
  <c r="EZ9" i="6"/>
  <c r="FA9" i="6"/>
  <c r="FB9" i="6"/>
  <c r="FC9" i="6"/>
  <c r="FD9" i="6"/>
  <c r="FE9" i="6"/>
  <c r="FF9" i="6"/>
  <c r="FG9" i="6"/>
  <c r="FH9" i="6"/>
  <c r="FI9" i="6"/>
  <c r="FJ9" i="6"/>
  <c r="FK9" i="6"/>
  <c r="FL9" i="6"/>
  <c r="FM9" i="6"/>
  <c r="FN9" i="6"/>
  <c r="FO9" i="6"/>
  <c r="FP9" i="6"/>
  <c r="FQ9" i="6"/>
  <c r="FR9" i="6"/>
  <c r="FS9" i="6"/>
  <c r="FT9" i="6"/>
  <c r="FU9" i="6"/>
  <c r="FV9" i="6"/>
  <c r="FW9" i="6"/>
  <c r="FX9" i="6"/>
  <c r="FY9" i="6"/>
  <c r="FZ9" i="6"/>
  <c r="GA9" i="6"/>
  <c r="GB9" i="6"/>
  <c r="GC9" i="6"/>
  <c r="GD9" i="6"/>
  <c r="GE9" i="6"/>
  <c r="GF9" i="6"/>
  <c r="GG9" i="6"/>
  <c r="GH9" i="6"/>
  <c r="GI9" i="6"/>
  <c r="GJ9" i="6"/>
  <c r="GK9" i="6"/>
  <c r="GL9" i="6"/>
  <c r="GM9" i="6"/>
  <c r="GN9" i="6"/>
  <c r="GO9" i="6"/>
  <c r="GP9" i="6"/>
  <c r="GQ9" i="6"/>
  <c r="GR9" i="6"/>
  <c r="GS9" i="6"/>
  <c r="GT9" i="6"/>
  <c r="GU9" i="6"/>
  <c r="GV9" i="6"/>
  <c r="GW9" i="6"/>
  <c r="GX9" i="6"/>
  <c r="GY9" i="6"/>
  <c r="GZ9" i="6"/>
  <c r="HA9" i="6"/>
  <c r="HB9" i="6"/>
  <c r="HC9" i="6"/>
  <c r="HD9" i="6"/>
  <c r="HE9" i="6"/>
  <c r="HF9" i="6"/>
  <c r="HG9" i="6"/>
  <c r="HH9" i="6"/>
  <c r="HI9" i="6"/>
  <c r="HJ9" i="6"/>
  <c r="HK9" i="6"/>
  <c r="HL9" i="6"/>
  <c r="HM9" i="6"/>
  <c r="HN9" i="6"/>
  <c r="HO9" i="6"/>
  <c r="HP9" i="6"/>
  <c r="HQ9" i="6"/>
  <c r="HR9" i="6"/>
  <c r="HS9" i="6"/>
  <c r="HT9" i="6"/>
  <c r="HU9" i="6"/>
  <c r="HV9" i="6"/>
  <c r="HW9" i="6"/>
  <c r="HX9" i="6"/>
  <c r="HY9" i="6"/>
  <c r="HZ9" i="6"/>
  <c r="IA9" i="6"/>
  <c r="IB9" i="6"/>
  <c r="IC9" i="6"/>
  <c r="ID9" i="6"/>
  <c r="IE9" i="6"/>
  <c r="IF9" i="6"/>
  <c r="IG9" i="6"/>
  <c r="IH9" i="6"/>
  <c r="II9" i="6"/>
  <c r="IJ9" i="6"/>
  <c r="IK9" i="6"/>
  <c r="IL9" i="6"/>
  <c r="IM9" i="6"/>
  <c r="IN9" i="6"/>
  <c r="IO9" i="6"/>
  <c r="IP9" i="6"/>
  <c r="IQ9" i="6"/>
  <c r="IR9" i="6"/>
  <c r="IS9" i="6"/>
  <c r="IT9" i="6"/>
  <c r="IU9" i="6"/>
  <c r="IV9"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M10" i="6"/>
  <c r="BN10" i="6"/>
  <c r="BO10" i="6"/>
  <c r="BP10" i="6"/>
  <c r="BQ10" i="6"/>
  <c r="BR10" i="6"/>
  <c r="BS10" i="6"/>
  <c r="BT10" i="6"/>
  <c r="BU10" i="6"/>
  <c r="BV10" i="6"/>
  <c r="BW10" i="6"/>
  <c r="BX10" i="6"/>
  <c r="BY10" i="6"/>
  <c r="BZ10" i="6"/>
  <c r="CA10" i="6"/>
  <c r="CB10" i="6"/>
  <c r="CC10" i="6"/>
  <c r="CD10" i="6"/>
  <c r="CE10" i="6"/>
  <c r="CF10" i="6"/>
  <c r="CG10" i="6"/>
  <c r="CH10" i="6"/>
  <c r="CI10" i="6"/>
  <c r="CJ10" i="6"/>
  <c r="CK10" i="6"/>
  <c r="CL10" i="6"/>
  <c r="CM10" i="6"/>
  <c r="CN10" i="6"/>
  <c r="CO10" i="6"/>
  <c r="CP10" i="6"/>
  <c r="CQ10" i="6"/>
  <c r="CR10" i="6"/>
  <c r="CS10" i="6"/>
  <c r="CT10" i="6"/>
  <c r="CU10" i="6"/>
  <c r="CV10" i="6"/>
  <c r="CW10" i="6"/>
  <c r="CX10" i="6"/>
  <c r="CY10" i="6"/>
  <c r="CZ10" i="6"/>
  <c r="DA10" i="6"/>
  <c r="DB10" i="6"/>
  <c r="DC10" i="6"/>
  <c r="DD10" i="6"/>
  <c r="DE10" i="6"/>
  <c r="DF10" i="6"/>
  <c r="DG10" i="6"/>
  <c r="DH10" i="6"/>
  <c r="DI10" i="6"/>
  <c r="DJ10" i="6"/>
  <c r="DK10" i="6"/>
  <c r="DL10" i="6"/>
  <c r="DM10" i="6"/>
  <c r="DN10" i="6"/>
  <c r="DO10" i="6"/>
  <c r="DP10" i="6"/>
  <c r="DQ10" i="6"/>
  <c r="DR10" i="6"/>
  <c r="DS10" i="6"/>
  <c r="DT10" i="6"/>
  <c r="DU10" i="6"/>
  <c r="DV10" i="6"/>
  <c r="DW10" i="6"/>
  <c r="DX10" i="6"/>
  <c r="DY10" i="6"/>
  <c r="DZ10" i="6"/>
  <c r="EA10" i="6"/>
  <c r="EB10" i="6"/>
  <c r="EC10" i="6"/>
  <c r="ED10" i="6"/>
  <c r="EE10" i="6"/>
  <c r="EF10" i="6"/>
  <c r="EG10" i="6"/>
  <c r="EH10" i="6"/>
  <c r="EI10" i="6"/>
  <c r="EJ10" i="6"/>
  <c r="EK10" i="6"/>
  <c r="EL10" i="6"/>
  <c r="EM10" i="6"/>
  <c r="EN10" i="6"/>
  <c r="EO10" i="6"/>
  <c r="EP10" i="6"/>
  <c r="EQ10" i="6"/>
  <c r="ER10" i="6"/>
  <c r="ES10" i="6"/>
  <c r="ET10" i="6"/>
  <c r="EU10" i="6"/>
  <c r="EV10" i="6"/>
  <c r="EW10" i="6"/>
  <c r="EX10" i="6"/>
  <c r="EY10" i="6"/>
  <c r="EZ10" i="6"/>
  <c r="FA10" i="6"/>
  <c r="FB10" i="6"/>
  <c r="FC10" i="6"/>
  <c r="FD10" i="6"/>
  <c r="FE10" i="6"/>
  <c r="FF10" i="6"/>
  <c r="FG10" i="6"/>
  <c r="FH10" i="6"/>
  <c r="FI10" i="6"/>
  <c r="FJ10" i="6"/>
  <c r="FK10" i="6"/>
  <c r="FL10" i="6"/>
  <c r="FM10" i="6"/>
  <c r="FN10" i="6"/>
  <c r="FO10" i="6"/>
  <c r="FP10" i="6"/>
  <c r="FQ10" i="6"/>
  <c r="FR10" i="6"/>
  <c r="FS10" i="6"/>
  <c r="FT10" i="6"/>
  <c r="FU10" i="6"/>
  <c r="FV10" i="6"/>
  <c r="FW10" i="6"/>
  <c r="FX10" i="6"/>
  <c r="FY10" i="6"/>
  <c r="FZ10" i="6"/>
  <c r="GA10" i="6"/>
  <c r="GB10" i="6"/>
  <c r="GC10" i="6"/>
  <c r="GD10" i="6"/>
  <c r="GE10" i="6"/>
  <c r="GF10" i="6"/>
  <c r="GG10" i="6"/>
  <c r="GH10" i="6"/>
  <c r="GI10" i="6"/>
  <c r="GJ10" i="6"/>
  <c r="GK10" i="6"/>
  <c r="GL10" i="6"/>
  <c r="GM10" i="6"/>
  <c r="GN10" i="6"/>
  <c r="GO10" i="6"/>
  <c r="GP10" i="6"/>
  <c r="GQ10" i="6"/>
  <c r="GR10" i="6"/>
  <c r="GS10" i="6"/>
  <c r="GT10" i="6"/>
  <c r="GU10" i="6"/>
  <c r="GV10" i="6"/>
  <c r="GW10" i="6"/>
  <c r="GX10" i="6"/>
  <c r="GY10" i="6"/>
  <c r="GZ10" i="6"/>
  <c r="HA10" i="6"/>
  <c r="HB10" i="6"/>
  <c r="HC10" i="6"/>
  <c r="HD10" i="6"/>
  <c r="HE10" i="6"/>
  <c r="HF10" i="6"/>
  <c r="HG10" i="6"/>
  <c r="HH10" i="6"/>
  <c r="HI10" i="6"/>
  <c r="HJ10" i="6"/>
  <c r="HK10" i="6"/>
  <c r="HL10" i="6"/>
  <c r="HM10" i="6"/>
  <c r="HN10" i="6"/>
  <c r="HO10" i="6"/>
  <c r="HP10" i="6"/>
  <c r="HQ10" i="6"/>
  <c r="HR10" i="6"/>
  <c r="HS10" i="6"/>
  <c r="HT10" i="6"/>
  <c r="HU10" i="6"/>
  <c r="HV10" i="6"/>
  <c r="HW10" i="6"/>
  <c r="HX10" i="6"/>
  <c r="HY10" i="6"/>
  <c r="HZ10" i="6"/>
  <c r="IA10" i="6"/>
  <c r="IB10" i="6"/>
  <c r="IC10" i="6"/>
  <c r="ID10" i="6"/>
  <c r="IE10" i="6"/>
  <c r="IF10" i="6"/>
  <c r="IG10" i="6"/>
  <c r="IH10" i="6"/>
  <c r="II10" i="6"/>
  <c r="IJ10" i="6"/>
  <c r="IK10" i="6"/>
  <c r="IL10" i="6"/>
  <c r="IM10" i="6"/>
  <c r="IN10" i="6"/>
  <c r="IO10" i="6"/>
  <c r="IP10" i="6"/>
  <c r="IQ10" i="6"/>
  <c r="IR10" i="6"/>
  <c r="IS10" i="6"/>
  <c r="IT10" i="6"/>
  <c r="IU10" i="6"/>
  <c r="IV10"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M11" i="6"/>
  <c r="BN11" i="6"/>
  <c r="BO11" i="6"/>
  <c r="BP11" i="6"/>
  <c r="BQ11" i="6"/>
  <c r="BR11" i="6"/>
  <c r="BS11" i="6"/>
  <c r="BT11" i="6"/>
  <c r="BU11" i="6"/>
  <c r="BV11" i="6"/>
  <c r="BW11" i="6"/>
  <c r="BX11" i="6"/>
  <c r="BY11" i="6"/>
  <c r="BZ11" i="6"/>
  <c r="CA11" i="6"/>
  <c r="CB11" i="6"/>
  <c r="CC11" i="6"/>
  <c r="CD11" i="6"/>
  <c r="CE11" i="6"/>
  <c r="CF11" i="6"/>
  <c r="CG11" i="6"/>
  <c r="CH11" i="6"/>
  <c r="CI11" i="6"/>
  <c r="CJ11" i="6"/>
  <c r="CK11" i="6"/>
  <c r="CL11" i="6"/>
  <c r="CM11" i="6"/>
  <c r="CN11" i="6"/>
  <c r="CO11" i="6"/>
  <c r="CP11" i="6"/>
  <c r="CQ11" i="6"/>
  <c r="CR11" i="6"/>
  <c r="CS11" i="6"/>
  <c r="CT11" i="6"/>
  <c r="CU11" i="6"/>
  <c r="CV11" i="6"/>
  <c r="CW11" i="6"/>
  <c r="CX11" i="6"/>
  <c r="CY11" i="6"/>
  <c r="CZ11" i="6"/>
  <c r="DA11" i="6"/>
  <c r="DB11" i="6"/>
  <c r="DC11" i="6"/>
  <c r="DD11" i="6"/>
  <c r="DE11" i="6"/>
  <c r="DF11" i="6"/>
  <c r="DG11" i="6"/>
  <c r="DH11" i="6"/>
  <c r="DI11" i="6"/>
  <c r="DJ11" i="6"/>
  <c r="DK11" i="6"/>
  <c r="DL11" i="6"/>
  <c r="DM11" i="6"/>
  <c r="DN11" i="6"/>
  <c r="DO11" i="6"/>
  <c r="DP11" i="6"/>
  <c r="DQ11" i="6"/>
  <c r="DR11" i="6"/>
  <c r="DS11" i="6"/>
  <c r="DT11" i="6"/>
  <c r="DU11" i="6"/>
  <c r="DV11" i="6"/>
  <c r="DW11" i="6"/>
  <c r="DX11" i="6"/>
  <c r="DY11" i="6"/>
  <c r="DZ11" i="6"/>
  <c r="EA11" i="6"/>
  <c r="EB11" i="6"/>
  <c r="EC11" i="6"/>
  <c r="ED11" i="6"/>
  <c r="EE11" i="6"/>
  <c r="EF11" i="6"/>
  <c r="EG11" i="6"/>
  <c r="EH11" i="6"/>
  <c r="EI11" i="6"/>
  <c r="EJ11" i="6"/>
  <c r="EK11" i="6"/>
  <c r="EL11" i="6"/>
  <c r="EM11" i="6"/>
  <c r="EN11" i="6"/>
  <c r="EO11" i="6"/>
  <c r="EP11" i="6"/>
  <c r="EQ11" i="6"/>
  <c r="ER11" i="6"/>
  <c r="ES11" i="6"/>
  <c r="ET11" i="6"/>
  <c r="EU11" i="6"/>
  <c r="EV11" i="6"/>
  <c r="EW11" i="6"/>
  <c r="EX11" i="6"/>
  <c r="EY11" i="6"/>
  <c r="EZ11" i="6"/>
  <c r="FA11" i="6"/>
  <c r="FB11" i="6"/>
  <c r="FC11" i="6"/>
  <c r="FD11" i="6"/>
  <c r="FE11" i="6"/>
  <c r="FF11" i="6"/>
  <c r="FG11" i="6"/>
  <c r="FH11" i="6"/>
  <c r="FI11" i="6"/>
  <c r="FJ11" i="6"/>
  <c r="FK11" i="6"/>
  <c r="FL11" i="6"/>
  <c r="FM11" i="6"/>
  <c r="FN11" i="6"/>
  <c r="FO11" i="6"/>
  <c r="FP11" i="6"/>
  <c r="FQ11" i="6"/>
  <c r="FR11" i="6"/>
  <c r="FS11" i="6"/>
  <c r="FT11" i="6"/>
  <c r="FU11" i="6"/>
  <c r="FV11" i="6"/>
  <c r="FW11" i="6"/>
  <c r="FX11" i="6"/>
  <c r="FY11" i="6"/>
  <c r="FZ11" i="6"/>
  <c r="GA11" i="6"/>
  <c r="GB11" i="6"/>
  <c r="GC11" i="6"/>
  <c r="GD11" i="6"/>
  <c r="GE11" i="6"/>
  <c r="GF11" i="6"/>
  <c r="GG11" i="6"/>
  <c r="GH11" i="6"/>
  <c r="GI11" i="6"/>
  <c r="GJ11" i="6"/>
  <c r="GK11" i="6"/>
  <c r="GL11" i="6"/>
  <c r="GM11" i="6"/>
  <c r="GN11" i="6"/>
  <c r="GO11" i="6"/>
  <c r="GP11" i="6"/>
  <c r="GQ11" i="6"/>
  <c r="GR11" i="6"/>
  <c r="GS11" i="6"/>
  <c r="GT11" i="6"/>
  <c r="GU11" i="6"/>
  <c r="GV11" i="6"/>
  <c r="GW11" i="6"/>
  <c r="GX11" i="6"/>
  <c r="GY11" i="6"/>
  <c r="GZ11" i="6"/>
  <c r="HA11" i="6"/>
  <c r="HB11" i="6"/>
  <c r="HC11" i="6"/>
  <c r="HD11" i="6"/>
  <c r="HE11" i="6"/>
  <c r="HF11" i="6"/>
  <c r="HG11" i="6"/>
  <c r="HH11" i="6"/>
  <c r="HI11" i="6"/>
  <c r="HJ11" i="6"/>
  <c r="HK11" i="6"/>
  <c r="HL11" i="6"/>
  <c r="HM11" i="6"/>
  <c r="HN11" i="6"/>
  <c r="HO11" i="6"/>
  <c r="HP11" i="6"/>
  <c r="HQ11" i="6"/>
  <c r="HR11" i="6"/>
  <c r="HS11" i="6"/>
  <c r="HT11" i="6"/>
  <c r="HU11" i="6"/>
  <c r="HV11" i="6"/>
  <c r="HW11" i="6"/>
  <c r="HX11" i="6"/>
  <c r="HY11" i="6"/>
  <c r="HZ11" i="6"/>
  <c r="IA11" i="6"/>
  <c r="IB11" i="6"/>
  <c r="IC11" i="6"/>
  <c r="ID11" i="6"/>
  <c r="IE11" i="6"/>
  <c r="IF11" i="6"/>
  <c r="IG11" i="6"/>
  <c r="IH11" i="6"/>
  <c r="II11" i="6"/>
  <c r="IJ11" i="6"/>
  <c r="IK11" i="6"/>
  <c r="IL11" i="6"/>
  <c r="IM11" i="6"/>
  <c r="IN11" i="6"/>
  <c r="IO11" i="6"/>
  <c r="IP11" i="6"/>
  <c r="IQ11" i="6"/>
  <c r="IR11" i="6"/>
  <c r="IS11" i="6"/>
  <c r="IT11" i="6"/>
  <c r="IU11" i="6"/>
  <c r="IV11"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CG12" i="6"/>
  <c r="CH12" i="6"/>
  <c r="CI12" i="6"/>
  <c r="CJ12" i="6"/>
  <c r="CK12" i="6"/>
  <c r="CL12" i="6"/>
  <c r="CM12" i="6"/>
  <c r="CN12" i="6"/>
  <c r="CO12" i="6"/>
  <c r="CP12" i="6"/>
  <c r="CQ12" i="6"/>
  <c r="CR12" i="6"/>
  <c r="CS12" i="6"/>
  <c r="CT12" i="6"/>
  <c r="CU12" i="6"/>
  <c r="CV12" i="6"/>
  <c r="CW12" i="6"/>
  <c r="CX12" i="6"/>
  <c r="CY12" i="6"/>
  <c r="CZ12" i="6"/>
  <c r="DA12" i="6"/>
  <c r="DB12" i="6"/>
  <c r="DC12" i="6"/>
  <c r="DD12" i="6"/>
  <c r="DE12" i="6"/>
  <c r="DF12" i="6"/>
  <c r="DG12" i="6"/>
  <c r="DH12" i="6"/>
  <c r="DI12" i="6"/>
  <c r="DJ12" i="6"/>
  <c r="DK12" i="6"/>
  <c r="DL12" i="6"/>
  <c r="DM12" i="6"/>
  <c r="DN12" i="6"/>
  <c r="DO12" i="6"/>
  <c r="DP12" i="6"/>
  <c r="DQ12" i="6"/>
  <c r="DR12" i="6"/>
  <c r="DS12" i="6"/>
  <c r="DT12" i="6"/>
  <c r="DU12" i="6"/>
  <c r="DV12" i="6"/>
  <c r="DW12" i="6"/>
  <c r="DX12" i="6"/>
  <c r="DY12" i="6"/>
  <c r="DZ12" i="6"/>
  <c r="EA12" i="6"/>
  <c r="EB12" i="6"/>
  <c r="EC12" i="6"/>
  <c r="ED12" i="6"/>
  <c r="EE12" i="6"/>
  <c r="EF12" i="6"/>
  <c r="EG12" i="6"/>
  <c r="EH12" i="6"/>
  <c r="EI12" i="6"/>
  <c r="EJ12" i="6"/>
  <c r="EK12" i="6"/>
  <c r="EL12" i="6"/>
  <c r="EM12" i="6"/>
  <c r="EN12" i="6"/>
  <c r="EO12" i="6"/>
  <c r="EP12" i="6"/>
  <c r="EQ12" i="6"/>
  <c r="ER12" i="6"/>
  <c r="ES12" i="6"/>
  <c r="ET12" i="6"/>
  <c r="EU12" i="6"/>
  <c r="EV12" i="6"/>
  <c r="EW12" i="6"/>
  <c r="EX12" i="6"/>
  <c r="EY12" i="6"/>
  <c r="EZ12" i="6"/>
  <c r="FA12" i="6"/>
  <c r="FB12" i="6"/>
  <c r="FC12" i="6"/>
  <c r="FD12" i="6"/>
  <c r="FE12" i="6"/>
  <c r="FF12" i="6"/>
  <c r="FG12" i="6"/>
  <c r="FH12" i="6"/>
  <c r="FI12" i="6"/>
  <c r="FJ12" i="6"/>
  <c r="FK12" i="6"/>
  <c r="FL12" i="6"/>
  <c r="FM12" i="6"/>
  <c r="FN12" i="6"/>
  <c r="FO12" i="6"/>
  <c r="FP12" i="6"/>
  <c r="FQ12" i="6"/>
  <c r="FR12" i="6"/>
  <c r="FS12" i="6"/>
  <c r="FT12" i="6"/>
  <c r="FU12" i="6"/>
  <c r="FV12" i="6"/>
  <c r="FW12" i="6"/>
  <c r="FX12" i="6"/>
  <c r="FY12" i="6"/>
  <c r="FZ12" i="6"/>
  <c r="GA12" i="6"/>
  <c r="GB12" i="6"/>
  <c r="GC12" i="6"/>
  <c r="GD12" i="6"/>
  <c r="GE12" i="6"/>
  <c r="GF12" i="6"/>
  <c r="GG12" i="6"/>
  <c r="GH12" i="6"/>
  <c r="GI12" i="6"/>
  <c r="GJ12" i="6"/>
  <c r="GK12" i="6"/>
  <c r="GL12" i="6"/>
  <c r="GM12" i="6"/>
  <c r="GN12" i="6"/>
  <c r="GO12" i="6"/>
  <c r="GP12" i="6"/>
  <c r="GQ12" i="6"/>
  <c r="GR12" i="6"/>
  <c r="GS12" i="6"/>
  <c r="GT12" i="6"/>
  <c r="GU12" i="6"/>
  <c r="GV12" i="6"/>
  <c r="GW12" i="6"/>
  <c r="GX12" i="6"/>
  <c r="GY12" i="6"/>
  <c r="GZ12" i="6"/>
  <c r="HA12" i="6"/>
  <c r="HB12" i="6"/>
  <c r="HC12" i="6"/>
  <c r="HD12" i="6"/>
  <c r="HE12" i="6"/>
  <c r="HF12" i="6"/>
  <c r="HG12" i="6"/>
  <c r="HH12" i="6"/>
  <c r="HI12" i="6"/>
  <c r="HJ12" i="6"/>
  <c r="HK12" i="6"/>
  <c r="HL12" i="6"/>
  <c r="HM12" i="6"/>
  <c r="HN12" i="6"/>
  <c r="HO12" i="6"/>
  <c r="HP12" i="6"/>
  <c r="HQ12" i="6"/>
  <c r="HR12" i="6"/>
  <c r="HS12" i="6"/>
  <c r="HT12" i="6"/>
  <c r="HU12" i="6"/>
  <c r="HV12" i="6"/>
  <c r="HW12" i="6"/>
  <c r="HX12" i="6"/>
  <c r="HY12" i="6"/>
  <c r="HZ12" i="6"/>
  <c r="IA12" i="6"/>
  <c r="IB12" i="6"/>
  <c r="IC12" i="6"/>
  <c r="ID12" i="6"/>
  <c r="IE12" i="6"/>
  <c r="IF12" i="6"/>
  <c r="IG12" i="6"/>
  <c r="IH12" i="6"/>
  <c r="II12" i="6"/>
  <c r="IJ12" i="6"/>
  <c r="IK12" i="6"/>
  <c r="IL12" i="6"/>
  <c r="IM12" i="6"/>
  <c r="IN12" i="6"/>
  <c r="IO12" i="6"/>
  <c r="IP12" i="6"/>
  <c r="IQ12" i="6"/>
  <c r="IR12" i="6"/>
  <c r="IS12" i="6"/>
  <c r="IT12" i="6"/>
  <c r="IU12" i="6"/>
  <c r="IV12"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CG13" i="6"/>
  <c r="CH13" i="6"/>
  <c r="CI13" i="6"/>
  <c r="CJ13" i="6"/>
  <c r="CK13" i="6"/>
  <c r="CL13" i="6"/>
  <c r="CM13" i="6"/>
  <c r="CN13" i="6"/>
  <c r="CO13" i="6"/>
  <c r="CP13" i="6"/>
  <c r="CQ13" i="6"/>
  <c r="CR13" i="6"/>
  <c r="CS13" i="6"/>
  <c r="CT13" i="6"/>
  <c r="CU13" i="6"/>
  <c r="CV13" i="6"/>
  <c r="CW13" i="6"/>
  <c r="CX13" i="6"/>
  <c r="CY13" i="6"/>
  <c r="CZ13" i="6"/>
  <c r="DA13" i="6"/>
  <c r="DB13" i="6"/>
  <c r="DC13" i="6"/>
  <c r="DD13" i="6"/>
  <c r="DE13" i="6"/>
  <c r="DF13" i="6"/>
  <c r="DG13" i="6"/>
  <c r="DH13" i="6"/>
  <c r="DI13" i="6"/>
  <c r="DJ13" i="6"/>
  <c r="DK13" i="6"/>
  <c r="DL13" i="6"/>
  <c r="DM13" i="6"/>
  <c r="DN13" i="6"/>
  <c r="DO13" i="6"/>
  <c r="DP13" i="6"/>
  <c r="DQ13" i="6"/>
  <c r="DR13" i="6"/>
  <c r="DS13" i="6"/>
  <c r="DT13" i="6"/>
  <c r="DU13" i="6"/>
  <c r="DV13" i="6"/>
  <c r="DW13" i="6"/>
  <c r="DX13" i="6"/>
  <c r="DY13" i="6"/>
  <c r="DZ13" i="6"/>
  <c r="EA13" i="6"/>
  <c r="EB13" i="6"/>
  <c r="EC13" i="6"/>
  <c r="ED13" i="6"/>
  <c r="EE13" i="6"/>
  <c r="EF13" i="6"/>
  <c r="EG13" i="6"/>
  <c r="EH13" i="6"/>
  <c r="EI13" i="6"/>
  <c r="EJ13" i="6"/>
  <c r="EK13" i="6"/>
  <c r="EL13" i="6"/>
  <c r="EM13" i="6"/>
  <c r="EN13" i="6"/>
  <c r="EO13" i="6"/>
  <c r="EP13" i="6"/>
  <c r="EQ13" i="6"/>
  <c r="ER13" i="6"/>
  <c r="ES13" i="6"/>
  <c r="ET13" i="6"/>
  <c r="EU13" i="6"/>
  <c r="EV13" i="6"/>
  <c r="EW13" i="6"/>
  <c r="EX13" i="6"/>
  <c r="EY13" i="6"/>
  <c r="EZ13" i="6"/>
  <c r="FA13" i="6"/>
  <c r="FB13" i="6"/>
  <c r="FC13" i="6"/>
  <c r="FD13" i="6"/>
  <c r="FE13" i="6"/>
  <c r="FF13" i="6"/>
  <c r="FG13" i="6"/>
  <c r="FH13" i="6"/>
  <c r="FI13" i="6"/>
  <c r="FJ13" i="6"/>
  <c r="FK13" i="6"/>
  <c r="FL13" i="6"/>
  <c r="FM13" i="6"/>
  <c r="FN13" i="6"/>
  <c r="FO13" i="6"/>
  <c r="FP13" i="6"/>
  <c r="FQ13" i="6"/>
  <c r="FR13" i="6"/>
  <c r="FS13" i="6"/>
  <c r="FT13" i="6"/>
  <c r="FU13" i="6"/>
  <c r="FV13" i="6"/>
  <c r="FW13" i="6"/>
  <c r="FX13" i="6"/>
  <c r="FY13" i="6"/>
  <c r="FZ13" i="6"/>
  <c r="GA13" i="6"/>
  <c r="GB13" i="6"/>
  <c r="GC13" i="6"/>
  <c r="GD13" i="6"/>
  <c r="GE13" i="6"/>
  <c r="GF13" i="6"/>
  <c r="GG13" i="6"/>
  <c r="GH13" i="6"/>
  <c r="GI13" i="6"/>
  <c r="GJ13" i="6"/>
  <c r="GK13" i="6"/>
  <c r="GL13" i="6"/>
  <c r="GM13" i="6"/>
  <c r="GN13" i="6"/>
  <c r="GO13" i="6"/>
  <c r="GP13" i="6"/>
  <c r="GQ13" i="6"/>
  <c r="GR13" i="6"/>
  <c r="GS13" i="6"/>
  <c r="GT13" i="6"/>
  <c r="GU13" i="6"/>
  <c r="GV13" i="6"/>
  <c r="GW13" i="6"/>
  <c r="GX13" i="6"/>
  <c r="GY13" i="6"/>
  <c r="GZ13" i="6"/>
  <c r="HA13" i="6"/>
  <c r="HB13" i="6"/>
  <c r="HC13" i="6"/>
  <c r="HD13" i="6"/>
  <c r="HE13" i="6"/>
  <c r="HF13" i="6"/>
  <c r="HG13" i="6"/>
  <c r="HH13" i="6"/>
  <c r="HI13" i="6"/>
  <c r="HJ13" i="6"/>
  <c r="HK13" i="6"/>
  <c r="HL13" i="6"/>
  <c r="HM13" i="6"/>
  <c r="HN13" i="6"/>
  <c r="HO13" i="6"/>
  <c r="HP13" i="6"/>
  <c r="HQ13" i="6"/>
  <c r="HR13" i="6"/>
  <c r="HS13" i="6"/>
  <c r="HT13" i="6"/>
  <c r="HU13" i="6"/>
  <c r="HV13" i="6"/>
  <c r="HW13" i="6"/>
  <c r="HX13" i="6"/>
  <c r="HY13" i="6"/>
  <c r="HZ13" i="6"/>
  <c r="IA13" i="6"/>
  <c r="IB13" i="6"/>
  <c r="IC13" i="6"/>
  <c r="ID13" i="6"/>
  <c r="IE13" i="6"/>
  <c r="IF13" i="6"/>
  <c r="IG13" i="6"/>
  <c r="IH13" i="6"/>
  <c r="II13" i="6"/>
  <c r="IJ13" i="6"/>
  <c r="IK13" i="6"/>
  <c r="IL13" i="6"/>
  <c r="IM13" i="6"/>
  <c r="IN13" i="6"/>
  <c r="IO13" i="6"/>
  <c r="IP13" i="6"/>
  <c r="IQ13" i="6"/>
  <c r="IR13" i="6"/>
  <c r="IS13" i="6"/>
  <c r="IT13" i="6"/>
  <c r="IU13" i="6"/>
  <c r="IV13"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CC14" i="6"/>
  <c r="CD14" i="6"/>
  <c r="CE14" i="6"/>
  <c r="CF14" i="6"/>
  <c r="CG14" i="6"/>
  <c r="CH14" i="6"/>
  <c r="CI14" i="6"/>
  <c r="CJ14" i="6"/>
  <c r="CK14" i="6"/>
  <c r="CL14" i="6"/>
  <c r="CM14" i="6"/>
  <c r="CN14" i="6"/>
  <c r="CO14" i="6"/>
  <c r="CP14" i="6"/>
  <c r="CQ14" i="6"/>
  <c r="CR14" i="6"/>
  <c r="CS14" i="6"/>
  <c r="CT14" i="6"/>
  <c r="CU14" i="6"/>
  <c r="CV14" i="6"/>
  <c r="CW14" i="6"/>
  <c r="CX14" i="6"/>
  <c r="CY14" i="6"/>
  <c r="CZ14" i="6"/>
  <c r="DA14" i="6"/>
  <c r="DB14" i="6"/>
  <c r="DC14" i="6"/>
  <c r="DD14" i="6"/>
  <c r="DE14" i="6"/>
  <c r="DF14" i="6"/>
  <c r="DG14" i="6"/>
  <c r="DH14" i="6"/>
  <c r="DI14" i="6"/>
  <c r="DJ14" i="6"/>
  <c r="DK14" i="6"/>
  <c r="DL14" i="6"/>
  <c r="DM14" i="6"/>
  <c r="DN14" i="6"/>
  <c r="DO14" i="6"/>
  <c r="DP14" i="6"/>
  <c r="DQ14" i="6"/>
  <c r="DR14" i="6"/>
  <c r="DS14" i="6"/>
  <c r="DT14" i="6"/>
  <c r="DU14" i="6"/>
  <c r="DV14" i="6"/>
  <c r="DW14" i="6"/>
  <c r="DX14" i="6"/>
  <c r="DY14" i="6"/>
  <c r="DZ14" i="6"/>
  <c r="EA14" i="6"/>
  <c r="EB14" i="6"/>
  <c r="EC14" i="6"/>
  <c r="ED14" i="6"/>
  <c r="EE14" i="6"/>
  <c r="EF14" i="6"/>
  <c r="EG14" i="6"/>
  <c r="EH14" i="6"/>
  <c r="EI14" i="6"/>
  <c r="EJ14" i="6"/>
  <c r="EK14" i="6"/>
  <c r="EL14" i="6"/>
  <c r="EM14" i="6"/>
  <c r="EN14" i="6"/>
  <c r="EO14" i="6"/>
  <c r="EP14" i="6"/>
  <c r="EQ14" i="6"/>
  <c r="ER14" i="6"/>
  <c r="ES14" i="6"/>
  <c r="ET14" i="6"/>
  <c r="EU14" i="6"/>
  <c r="EV14" i="6"/>
  <c r="EW14" i="6"/>
  <c r="EX14" i="6"/>
  <c r="EY14" i="6"/>
  <c r="EZ14" i="6"/>
  <c r="FA14" i="6"/>
  <c r="FB14" i="6"/>
  <c r="FC14" i="6"/>
  <c r="FD14" i="6"/>
  <c r="FE14" i="6"/>
  <c r="FF14" i="6"/>
  <c r="FG14" i="6"/>
  <c r="FH14" i="6"/>
  <c r="FI14" i="6"/>
  <c r="FJ14" i="6"/>
  <c r="FK14" i="6"/>
  <c r="FL14" i="6"/>
  <c r="FM14" i="6"/>
  <c r="FN14" i="6"/>
  <c r="FO14" i="6"/>
  <c r="FP14" i="6"/>
  <c r="FQ14" i="6"/>
  <c r="FR14" i="6"/>
  <c r="FS14" i="6"/>
  <c r="FT14" i="6"/>
  <c r="FU14" i="6"/>
  <c r="FV14" i="6"/>
  <c r="FW14" i="6"/>
  <c r="FX14" i="6"/>
  <c r="FY14" i="6"/>
  <c r="FZ14" i="6"/>
  <c r="GA14" i="6"/>
  <c r="GB14" i="6"/>
  <c r="GC14" i="6"/>
  <c r="GD14" i="6"/>
  <c r="GE14" i="6"/>
  <c r="GF14" i="6"/>
  <c r="GG14" i="6"/>
  <c r="GH14" i="6"/>
  <c r="GI14" i="6"/>
  <c r="GJ14" i="6"/>
  <c r="GK14" i="6"/>
  <c r="GL14" i="6"/>
  <c r="GM14" i="6"/>
  <c r="GN14" i="6"/>
  <c r="GO14" i="6"/>
  <c r="GP14" i="6"/>
  <c r="GQ14" i="6"/>
  <c r="GR14" i="6"/>
  <c r="GS14" i="6"/>
  <c r="GT14" i="6"/>
  <c r="GU14" i="6"/>
  <c r="GV14" i="6"/>
  <c r="GW14" i="6"/>
  <c r="GX14" i="6"/>
  <c r="GY14" i="6"/>
  <c r="GZ14" i="6"/>
  <c r="HA14" i="6"/>
  <c r="HB14" i="6"/>
  <c r="HC14" i="6"/>
  <c r="HD14" i="6"/>
  <c r="HE14" i="6"/>
  <c r="HF14" i="6"/>
  <c r="HG14" i="6"/>
  <c r="HH14" i="6"/>
  <c r="HI14" i="6"/>
  <c r="HJ14" i="6"/>
  <c r="HK14" i="6"/>
  <c r="HL14" i="6"/>
  <c r="HM14" i="6"/>
  <c r="HN14" i="6"/>
  <c r="HO14" i="6"/>
  <c r="HP14" i="6"/>
  <c r="HQ14" i="6"/>
  <c r="HR14" i="6"/>
  <c r="HS14" i="6"/>
  <c r="HT14" i="6"/>
  <c r="HU14" i="6"/>
  <c r="HV14" i="6"/>
  <c r="HW14" i="6"/>
  <c r="HX14" i="6"/>
  <c r="HY14" i="6"/>
  <c r="HZ14" i="6"/>
  <c r="IA14" i="6"/>
  <c r="IB14" i="6"/>
  <c r="IC14" i="6"/>
  <c r="ID14" i="6"/>
  <c r="IE14" i="6"/>
  <c r="IF14" i="6"/>
  <c r="IG14" i="6"/>
  <c r="IH14" i="6"/>
  <c r="II14" i="6"/>
  <c r="IJ14" i="6"/>
  <c r="IK14" i="6"/>
  <c r="IL14" i="6"/>
  <c r="IM14" i="6"/>
  <c r="IN14" i="6"/>
  <c r="IO14" i="6"/>
  <c r="IP14" i="6"/>
  <c r="IQ14" i="6"/>
  <c r="IR14" i="6"/>
  <c r="IS14" i="6"/>
  <c r="IT14" i="6"/>
  <c r="IU14" i="6"/>
  <c r="IV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CC15" i="6"/>
  <c r="CD15" i="6"/>
  <c r="CE15" i="6"/>
  <c r="CF15" i="6"/>
  <c r="CG15" i="6"/>
  <c r="CH15" i="6"/>
  <c r="CI15" i="6"/>
  <c r="CJ15" i="6"/>
  <c r="CK15" i="6"/>
  <c r="CL15" i="6"/>
  <c r="CM15" i="6"/>
  <c r="CN15" i="6"/>
  <c r="CO15" i="6"/>
  <c r="CP15" i="6"/>
  <c r="CQ15" i="6"/>
  <c r="CR15" i="6"/>
  <c r="CS15" i="6"/>
  <c r="CT15" i="6"/>
  <c r="CU15" i="6"/>
  <c r="CV15" i="6"/>
  <c r="CW15" i="6"/>
  <c r="CX15" i="6"/>
  <c r="CY15" i="6"/>
  <c r="CZ15" i="6"/>
  <c r="DA15" i="6"/>
  <c r="DB15" i="6"/>
  <c r="DC15" i="6"/>
  <c r="DD15" i="6"/>
  <c r="DE15" i="6"/>
  <c r="DF15" i="6"/>
  <c r="DG15" i="6"/>
  <c r="DH15" i="6"/>
  <c r="DI15" i="6"/>
  <c r="DJ15" i="6"/>
  <c r="DK15" i="6"/>
  <c r="DL15" i="6"/>
  <c r="DM15" i="6"/>
  <c r="DN15" i="6"/>
  <c r="DO15" i="6"/>
  <c r="DP15" i="6"/>
  <c r="DQ15" i="6"/>
  <c r="DR15" i="6"/>
  <c r="DS15" i="6"/>
  <c r="DT15" i="6"/>
  <c r="DU15" i="6"/>
  <c r="DV15" i="6"/>
  <c r="DW15" i="6"/>
  <c r="DX15" i="6"/>
  <c r="DY15" i="6"/>
  <c r="DZ15" i="6"/>
  <c r="EA15" i="6"/>
  <c r="EB15" i="6"/>
  <c r="EC15" i="6"/>
  <c r="ED15" i="6"/>
  <c r="EE15" i="6"/>
  <c r="EF15" i="6"/>
  <c r="EG15" i="6"/>
  <c r="EH15" i="6"/>
  <c r="EI15" i="6"/>
  <c r="EJ15" i="6"/>
  <c r="EK15" i="6"/>
  <c r="EL15" i="6"/>
  <c r="EM15" i="6"/>
  <c r="EN15" i="6"/>
  <c r="EO15" i="6"/>
  <c r="EP15" i="6"/>
  <c r="EQ15" i="6"/>
  <c r="ER15" i="6"/>
  <c r="ES15" i="6"/>
  <c r="ET15" i="6"/>
  <c r="EU15" i="6"/>
  <c r="EV15" i="6"/>
  <c r="EW15" i="6"/>
  <c r="EX15" i="6"/>
  <c r="EY15" i="6"/>
  <c r="EZ15" i="6"/>
  <c r="FA15" i="6"/>
  <c r="FB15" i="6"/>
  <c r="FC15" i="6"/>
  <c r="FD15" i="6"/>
  <c r="FE15" i="6"/>
  <c r="FF15" i="6"/>
  <c r="FG15" i="6"/>
  <c r="FH15" i="6"/>
  <c r="FI15" i="6"/>
  <c r="FJ15" i="6"/>
  <c r="FK15" i="6"/>
  <c r="FL15" i="6"/>
  <c r="FM15" i="6"/>
  <c r="FN15" i="6"/>
  <c r="FO15" i="6"/>
  <c r="FP15" i="6"/>
  <c r="FQ15" i="6"/>
  <c r="FR15" i="6"/>
  <c r="FS15" i="6"/>
  <c r="FT15" i="6"/>
  <c r="FU15" i="6"/>
  <c r="FV15" i="6"/>
  <c r="FW15" i="6"/>
  <c r="FX15" i="6"/>
  <c r="FY15" i="6"/>
  <c r="FZ15" i="6"/>
  <c r="GA15" i="6"/>
  <c r="GB15" i="6"/>
  <c r="GC15" i="6"/>
  <c r="GD15" i="6"/>
  <c r="GE15" i="6"/>
  <c r="GF15" i="6"/>
  <c r="GG15" i="6"/>
  <c r="GH15" i="6"/>
  <c r="GI15" i="6"/>
  <c r="GJ15" i="6"/>
  <c r="GK15" i="6"/>
  <c r="GL15" i="6"/>
  <c r="GM15" i="6"/>
  <c r="GN15" i="6"/>
  <c r="GO15" i="6"/>
  <c r="GP15" i="6"/>
  <c r="GQ15" i="6"/>
  <c r="GR15" i="6"/>
  <c r="GS15" i="6"/>
  <c r="GT15" i="6"/>
  <c r="GU15" i="6"/>
  <c r="GV15" i="6"/>
  <c r="GW15" i="6"/>
  <c r="GX15" i="6"/>
  <c r="GY15" i="6"/>
  <c r="GZ15" i="6"/>
  <c r="HA15" i="6"/>
  <c r="HB15" i="6"/>
  <c r="HC15" i="6"/>
  <c r="HD15" i="6"/>
  <c r="HE15" i="6"/>
  <c r="HF15" i="6"/>
  <c r="HG15" i="6"/>
  <c r="HH15" i="6"/>
  <c r="HI15" i="6"/>
  <c r="HJ15" i="6"/>
  <c r="HK15" i="6"/>
  <c r="HL15" i="6"/>
  <c r="HM15" i="6"/>
  <c r="HN15" i="6"/>
  <c r="HO15" i="6"/>
  <c r="HP15" i="6"/>
  <c r="HQ15" i="6"/>
  <c r="HR15" i="6"/>
  <c r="HS15" i="6"/>
  <c r="HT15" i="6"/>
  <c r="HU15" i="6"/>
  <c r="HV15" i="6"/>
  <c r="HW15" i="6"/>
  <c r="HX15" i="6"/>
  <c r="HY15" i="6"/>
  <c r="HZ15" i="6"/>
  <c r="IA15" i="6"/>
  <c r="IB15" i="6"/>
  <c r="IC15" i="6"/>
  <c r="ID15" i="6"/>
  <c r="IE15" i="6"/>
  <c r="IF15" i="6"/>
  <c r="IG15" i="6"/>
  <c r="IH15" i="6"/>
  <c r="II15" i="6"/>
  <c r="IJ15" i="6"/>
  <c r="IK15" i="6"/>
  <c r="IL15" i="6"/>
  <c r="IM15" i="6"/>
  <c r="IN15" i="6"/>
  <c r="IO15" i="6"/>
  <c r="IP15" i="6"/>
  <c r="IQ15" i="6"/>
  <c r="IR15" i="6"/>
  <c r="IS15" i="6"/>
  <c r="IT15" i="6"/>
  <c r="IU15" i="6"/>
  <c r="IV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CC16" i="6"/>
  <c r="CD16" i="6"/>
  <c r="CE16" i="6"/>
  <c r="CF16" i="6"/>
  <c r="CG16" i="6"/>
  <c r="CH16" i="6"/>
  <c r="CI16" i="6"/>
  <c r="CJ16" i="6"/>
  <c r="CK16" i="6"/>
  <c r="CL16" i="6"/>
  <c r="CM16" i="6"/>
  <c r="CN16" i="6"/>
  <c r="CO16" i="6"/>
  <c r="CP16" i="6"/>
  <c r="CQ16" i="6"/>
  <c r="CR16" i="6"/>
  <c r="CS16" i="6"/>
  <c r="CT16" i="6"/>
  <c r="CU16" i="6"/>
  <c r="CV16" i="6"/>
  <c r="CW16" i="6"/>
  <c r="CX16" i="6"/>
  <c r="CY16" i="6"/>
  <c r="CZ16" i="6"/>
  <c r="DA16" i="6"/>
  <c r="DB16" i="6"/>
  <c r="DC16" i="6"/>
  <c r="DD16" i="6"/>
  <c r="DE16" i="6"/>
  <c r="DF16" i="6"/>
  <c r="DG16" i="6"/>
  <c r="DH16" i="6"/>
  <c r="DI16" i="6"/>
  <c r="DJ16" i="6"/>
  <c r="DK16" i="6"/>
  <c r="DL16" i="6"/>
  <c r="DM16" i="6"/>
  <c r="DN16" i="6"/>
  <c r="DO16" i="6"/>
  <c r="DP16" i="6"/>
  <c r="DQ16" i="6"/>
  <c r="DR16" i="6"/>
  <c r="DS16" i="6"/>
  <c r="DT16" i="6"/>
  <c r="DU16" i="6"/>
  <c r="DV16" i="6"/>
  <c r="DW16" i="6"/>
  <c r="DX16" i="6"/>
  <c r="DY16" i="6"/>
  <c r="DZ16" i="6"/>
  <c r="EA16" i="6"/>
  <c r="EB16" i="6"/>
  <c r="EC16" i="6"/>
  <c r="ED16" i="6"/>
  <c r="EE16" i="6"/>
  <c r="EF16" i="6"/>
  <c r="EG16" i="6"/>
  <c r="EH16" i="6"/>
  <c r="EI16" i="6"/>
  <c r="EJ16" i="6"/>
  <c r="EK16" i="6"/>
  <c r="EL16" i="6"/>
  <c r="EM16" i="6"/>
  <c r="EN16" i="6"/>
  <c r="EO16" i="6"/>
  <c r="EP16" i="6"/>
  <c r="EQ16" i="6"/>
  <c r="ER16" i="6"/>
  <c r="ES16" i="6"/>
  <c r="ET16" i="6"/>
  <c r="EU16" i="6"/>
  <c r="EV16" i="6"/>
  <c r="EW16" i="6"/>
  <c r="EX16" i="6"/>
  <c r="EY16" i="6"/>
  <c r="EZ16" i="6"/>
  <c r="FA16" i="6"/>
  <c r="FB16" i="6"/>
  <c r="FC16" i="6"/>
  <c r="FD16" i="6"/>
  <c r="FE16" i="6"/>
  <c r="FF16" i="6"/>
  <c r="FG16" i="6"/>
  <c r="FH16" i="6"/>
  <c r="FI16" i="6"/>
  <c r="FJ16" i="6"/>
  <c r="FK16" i="6"/>
  <c r="FL16" i="6"/>
  <c r="FM16" i="6"/>
  <c r="FN16" i="6"/>
  <c r="FO16" i="6"/>
  <c r="FP16" i="6"/>
  <c r="FQ16" i="6"/>
  <c r="FR16" i="6"/>
  <c r="FS16" i="6"/>
  <c r="FT16" i="6"/>
  <c r="FU16" i="6"/>
  <c r="FV16" i="6"/>
  <c r="FW16" i="6"/>
  <c r="FX16" i="6"/>
  <c r="FY16" i="6"/>
  <c r="FZ16" i="6"/>
  <c r="GA16" i="6"/>
  <c r="GB16" i="6"/>
  <c r="GC16" i="6"/>
  <c r="GD16" i="6"/>
  <c r="GE16" i="6"/>
  <c r="GF16" i="6"/>
  <c r="GG16" i="6"/>
  <c r="GH16" i="6"/>
  <c r="GI16" i="6"/>
  <c r="GJ16" i="6"/>
  <c r="GK16" i="6"/>
  <c r="GL16" i="6"/>
  <c r="GM16" i="6"/>
  <c r="GN16" i="6"/>
  <c r="GO16" i="6"/>
  <c r="GP16" i="6"/>
  <c r="GQ16" i="6"/>
  <c r="GR16" i="6"/>
  <c r="GS16" i="6"/>
  <c r="GT16" i="6"/>
  <c r="GU16" i="6"/>
  <c r="GV16" i="6"/>
  <c r="GW16" i="6"/>
  <c r="GX16" i="6"/>
  <c r="GY16" i="6"/>
  <c r="GZ16" i="6"/>
  <c r="HA16" i="6"/>
  <c r="HB16" i="6"/>
  <c r="HC16" i="6"/>
  <c r="HD16" i="6"/>
  <c r="HE16" i="6"/>
  <c r="HF16" i="6"/>
  <c r="HG16" i="6"/>
  <c r="HH16" i="6"/>
  <c r="HI16" i="6"/>
  <c r="HJ16" i="6"/>
  <c r="HK16" i="6"/>
  <c r="HL16" i="6"/>
  <c r="HM16" i="6"/>
  <c r="HN16" i="6"/>
  <c r="HO16" i="6"/>
  <c r="HP16" i="6"/>
  <c r="HQ16" i="6"/>
  <c r="HR16" i="6"/>
  <c r="HS16" i="6"/>
  <c r="HT16" i="6"/>
  <c r="HU16" i="6"/>
  <c r="HV16" i="6"/>
  <c r="HW16" i="6"/>
  <c r="HX16" i="6"/>
  <c r="HY16" i="6"/>
  <c r="HZ16" i="6"/>
  <c r="IA16" i="6"/>
  <c r="IB16" i="6"/>
  <c r="IC16" i="6"/>
  <c r="ID16" i="6"/>
  <c r="IE16" i="6"/>
  <c r="IF16" i="6"/>
  <c r="IG16" i="6"/>
  <c r="IH16" i="6"/>
  <c r="II16" i="6"/>
  <c r="IJ16" i="6"/>
  <c r="IK16" i="6"/>
  <c r="IL16" i="6"/>
  <c r="IM16" i="6"/>
  <c r="IN16" i="6"/>
  <c r="IO16" i="6"/>
  <c r="IP16" i="6"/>
  <c r="IQ16" i="6"/>
  <c r="IR16" i="6"/>
  <c r="IS16" i="6"/>
  <c r="IT16" i="6"/>
  <c r="IU16" i="6"/>
  <c r="IV16"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CC17" i="6"/>
  <c r="CD17" i="6"/>
  <c r="CE17" i="6"/>
  <c r="CF17" i="6"/>
  <c r="CG17" i="6"/>
  <c r="CH17" i="6"/>
  <c r="CI17" i="6"/>
  <c r="CJ17" i="6"/>
  <c r="CK17" i="6"/>
  <c r="CL17" i="6"/>
  <c r="CM17" i="6"/>
  <c r="CN17" i="6"/>
  <c r="CO17" i="6"/>
  <c r="CP17" i="6"/>
  <c r="CQ17" i="6"/>
  <c r="CR17" i="6"/>
  <c r="CS17" i="6"/>
  <c r="CT17" i="6"/>
  <c r="CU17" i="6"/>
  <c r="CV17" i="6"/>
  <c r="CW17" i="6"/>
  <c r="CX17" i="6"/>
  <c r="CY17" i="6"/>
  <c r="CZ17" i="6"/>
  <c r="DA17" i="6"/>
  <c r="DB17" i="6"/>
  <c r="DC17" i="6"/>
  <c r="DD17" i="6"/>
  <c r="DE17" i="6"/>
  <c r="DF17" i="6"/>
  <c r="DG17" i="6"/>
  <c r="DH17" i="6"/>
  <c r="DI17" i="6"/>
  <c r="DJ17" i="6"/>
  <c r="DK17" i="6"/>
  <c r="DL17" i="6"/>
  <c r="DM17" i="6"/>
  <c r="DN17" i="6"/>
  <c r="DO17" i="6"/>
  <c r="DP17" i="6"/>
  <c r="DQ17" i="6"/>
  <c r="DR17" i="6"/>
  <c r="DS17" i="6"/>
  <c r="DT17" i="6"/>
  <c r="DU17" i="6"/>
  <c r="DV17" i="6"/>
  <c r="DW17" i="6"/>
  <c r="DX17" i="6"/>
  <c r="DY17" i="6"/>
  <c r="DZ17" i="6"/>
  <c r="EA17" i="6"/>
  <c r="EB17" i="6"/>
  <c r="EC17" i="6"/>
  <c r="ED17" i="6"/>
  <c r="EE17" i="6"/>
  <c r="EF17" i="6"/>
  <c r="EG17" i="6"/>
  <c r="EH17" i="6"/>
  <c r="EI17" i="6"/>
  <c r="EJ17" i="6"/>
  <c r="EK17" i="6"/>
  <c r="EL17" i="6"/>
  <c r="EM17" i="6"/>
  <c r="EN17" i="6"/>
  <c r="EO17" i="6"/>
  <c r="EP17" i="6"/>
  <c r="EQ17" i="6"/>
  <c r="ER17" i="6"/>
  <c r="ES17" i="6"/>
  <c r="ET17" i="6"/>
  <c r="EU17" i="6"/>
  <c r="EV17" i="6"/>
  <c r="EW17" i="6"/>
  <c r="EX17" i="6"/>
  <c r="EY17" i="6"/>
  <c r="EZ17" i="6"/>
  <c r="FA17" i="6"/>
  <c r="FB17" i="6"/>
  <c r="FC17" i="6"/>
  <c r="FD17" i="6"/>
  <c r="FE17" i="6"/>
  <c r="FF17" i="6"/>
  <c r="FG17" i="6"/>
  <c r="FH17" i="6"/>
  <c r="FI17" i="6"/>
  <c r="FJ17" i="6"/>
  <c r="FK17" i="6"/>
  <c r="FL17" i="6"/>
  <c r="FM17" i="6"/>
  <c r="FN17" i="6"/>
  <c r="FO17" i="6"/>
  <c r="FP17" i="6"/>
  <c r="FQ17" i="6"/>
  <c r="FR17" i="6"/>
  <c r="FS17" i="6"/>
  <c r="FT17" i="6"/>
  <c r="FU17" i="6"/>
  <c r="FV17" i="6"/>
  <c r="FW17" i="6"/>
  <c r="FX17" i="6"/>
  <c r="FY17" i="6"/>
  <c r="FZ17" i="6"/>
  <c r="GA17" i="6"/>
  <c r="GB17" i="6"/>
  <c r="GC17" i="6"/>
  <c r="GD17" i="6"/>
  <c r="GE17" i="6"/>
  <c r="GF17" i="6"/>
  <c r="GG17" i="6"/>
  <c r="GH17" i="6"/>
  <c r="GI17" i="6"/>
  <c r="GJ17" i="6"/>
  <c r="GK17" i="6"/>
  <c r="GL17" i="6"/>
  <c r="GM17" i="6"/>
  <c r="GN17" i="6"/>
  <c r="GO17" i="6"/>
  <c r="GP17" i="6"/>
  <c r="GQ17" i="6"/>
  <c r="GR17" i="6"/>
  <c r="GS17" i="6"/>
  <c r="GT17" i="6"/>
  <c r="GU17" i="6"/>
  <c r="GV17" i="6"/>
  <c r="GW17" i="6"/>
  <c r="GX17" i="6"/>
  <c r="GY17" i="6"/>
  <c r="GZ17" i="6"/>
  <c r="HA17" i="6"/>
  <c r="HB17" i="6"/>
  <c r="HC17" i="6"/>
  <c r="HD17" i="6"/>
  <c r="HE17" i="6"/>
  <c r="HF17" i="6"/>
  <c r="HG17" i="6"/>
  <c r="HH17" i="6"/>
  <c r="HI17" i="6"/>
  <c r="HJ17" i="6"/>
  <c r="HK17" i="6"/>
  <c r="HL17" i="6"/>
  <c r="HM17" i="6"/>
  <c r="HN17" i="6"/>
  <c r="HO17" i="6"/>
  <c r="HP17" i="6"/>
  <c r="HQ17" i="6"/>
  <c r="HR17" i="6"/>
  <c r="HS17" i="6"/>
  <c r="HT17" i="6"/>
  <c r="HU17" i="6"/>
  <c r="HV17" i="6"/>
  <c r="HW17" i="6"/>
  <c r="HX17" i="6"/>
  <c r="HY17" i="6"/>
  <c r="HZ17" i="6"/>
  <c r="IA17" i="6"/>
  <c r="IB17" i="6"/>
  <c r="IC17" i="6"/>
  <c r="ID17" i="6"/>
  <c r="IE17" i="6"/>
  <c r="IF17" i="6"/>
  <c r="IG17" i="6"/>
  <c r="IH17" i="6"/>
  <c r="II17" i="6"/>
  <c r="IJ17" i="6"/>
  <c r="IK17" i="6"/>
  <c r="IL17" i="6"/>
  <c r="IM17" i="6"/>
  <c r="IN17" i="6"/>
  <c r="IO17" i="6"/>
  <c r="IP17" i="6"/>
  <c r="IQ17" i="6"/>
  <c r="IR17" i="6"/>
  <c r="IS17" i="6"/>
  <c r="IT17" i="6"/>
  <c r="IU17" i="6"/>
  <c r="IV17"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CC18" i="6"/>
  <c r="CD18" i="6"/>
  <c r="CE18" i="6"/>
  <c r="CF18" i="6"/>
  <c r="CG18" i="6"/>
  <c r="CH18" i="6"/>
  <c r="CI18" i="6"/>
  <c r="CJ18" i="6"/>
  <c r="CK18" i="6"/>
  <c r="CL18" i="6"/>
  <c r="CM18" i="6"/>
  <c r="CN18" i="6"/>
  <c r="CO18" i="6"/>
  <c r="CP18" i="6"/>
  <c r="CQ18" i="6"/>
  <c r="CR18" i="6"/>
  <c r="CS18" i="6"/>
  <c r="CT18" i="6"/>
  <c r="CU18" i="6"/>
  <c r="CV18" i="6"/>
  <c r="CW18" i="6"/>
  <c r="CX18" i="6"/>
  <c r="CY18" i="6"/>
  <c r="CZ18" i="6"/>
  <c r="DA18" i="6"/>
  <c r="DB18" i="6"/>
  <c r="DC18" i="6"/>
  <c r="DD18" i="6"/>
  <c r="DE18" i="6"/>
  <c r="DF18" i="6"/>
  <c r="DG18" i="6"/>
  <c r="DH18" i="6"/>
  <c r="DI18" i="6"/>
  <c r="DJ18" i="6"/>
  <c r="DK18" i="6"/>
  <c r="DL18" i="6"/>
  <c r="DM18" i="6"/>
  <c r="DN18" i="6"/>
  <c r="DO18" i="6"/>
  <c r="DP18" i="6"/>
  <c r="DQ18" i="6"/>
  <c r="DR18" i="6"/>
  <c r="DS18" i="6"/>
  <c r="DT18" i="6"/>
  <c r="DU18" i="6"/>
  <c r="DV18" i="6"/>
  <c r="DW18" i="6"/>
  <c r="DX18" i="6"/>
  <c r="DY18" i="6"/>
  <c r="DZ18" i="6"/>
  <c r="EA18" i="6"/>
  <c r="EB18" i="6"/>
  <c r="EC18" i="6"/>
  <c r="ED18" i="6"/>
  <c r="EE18" i="6"/>
  <c r="EF18" i="6"/>
  <c r="EG18" i="6"/>
  <c r="EH18" i="6"/>
  <c r="EI18" i="6"/>
  <c r="EJ18" i="6"/>
  <c r="EK18" i="6"/>
  <c r="EL18" i="6"/>
  <c r="EM18" i="6"/>
  <c r="EN18" i="6"/>
  <c r="EO18" i="6"/>
  <c r="EP18" i="6"/>
  <c r="EQ18" i="6"/>
  <c r="ER18" i="6"/>
  <c r="ES18" i="6"/>
  <c r="ET18" i="6"/>
  <c r="EU18" i="6"/>
  <c r="EV18" i="6"/>
  <c r="EW18" i="6"/>
  <c r="EX18" i="6"/>
  <c r="EY18" i="6"/>
  <c r="EZ18" i="6"/>
  <c r="FA18" i="6"/>
  <c r="FB18" i="6"/>
  <c r="FC18" i="6"/>
  <c r="FD18" i="6"/>
  <c r="FE18" i="6"/>
  <c r="FF18" i="6"/>
  <c r="FG18" i="6"/>
  <c r="FH18" i="6"/>
  <c r="FI18" i="6"/>
  <c r="FJ18" i="6"/>
  <c r="FK18" i="6"/>
  <c r="FL18" i="6"/>
  <c r="FM18" i="6"/>
  <c r="FN18" i="6"/>
  <c r="FO18" i="6"/>
  <c r="FP18" i="6"/>
  <c r="FQ18" i="6"/>
  <c r="FR18" i="6"/>
  <c r="FS18" i="6"/>
  <c r="FT18" i="6"/>
  <c r="FU18" i="6"/>
  <c r="FV18" i="6"/>
  <c r="FW18" i="6"/>
  <c r="FX18" i="6"/>
  <c r="FY18" i="6"/>
  <c r="FZ18" i="6"/>
  <c r="GA18" i="6"/>
  <c r="GB18" i="6"/>
  <c r="GC18" i="6"/>
  <c r="GD18" i="6"/>
  <c r="GE18" i="6"/>
  <c r="GF18" i="6"/>
  <c r="GG18" i="6"/>
  <c r="GH18" i="6"/>
  <c r="GI18" i="6"/>
  <c r="GJ18" i="6"/>
  <c r="GK18" i="6"/>
  <c r="GL18" i="6"/>
  <c r="GM18" i="6"/>
  <c r="GN18" i="6"/>
  <c r="GO18" i="6"/>
  <c r="GP18" i="6"/>
  <c r="GQ18" i="6"/>
  <c r="GR18" i="6"/>
  <c r="GS18" i="6"/>
  <c r="GT18" i="6"/>
  <c r="GU18" i="6"/>
  <c r="GV18" i="6"/>
  <c r="GW18" i="6"/>
  <c r="GX18" i="6"/>
  <c r="GY18" i="6"/>
  <c r="GZ18" i="6"/>
  <c r="HA18" i="6"/>
  <c r="HB18" i="6"/>
  <c r="HC18" i="6"/>
  <c r="HD18" i="6"/>
  <c r="HE18" i="6"/>
  <c r="HF18" i="6"/>
  <c r="HG18" i="6"/>
  <c r="HH18" i="6"/>
  <c r="HI18" i="6"/>
  <c r="HJ18" i="6"/>
  <c r="HK18" i="6"/>
  <c r="HL18" i="6"/>
  <c r="HM18" i="6"/>
  <c r="HN18" i="6"/>
  <c r="HO18" i="6"/>
  <c r="HP18" i="6"/>
  <c r="HQ18" i="6"/>
  <c r="HR18" i="6"/>
  <c r="HS18" i="6"/>
  <c r="HT18" i="6"/>
  <c r="HU18" i="6"/>
  <c r="HV18" i="6"/>
  <c r="HW18" i="6"/>
  <c r="HX18" i="6"/>
  <c r="HY18" i="6"/>
  <c r="HZ18" i="6"/>
  <c r="IA18" i="6"/>
  <c r="IB18" i="6"/>
  <c r="IC18" i="6"/>
  <c r="ID18" i="6"/>
  <c r="IE18" i="6"/>
  <c r="IF18" i="6"/>
  <c r="IG18" i="6"/>
  <c r="IH18" i="6"/>
  <c r="II18" i="6"/>
  <c r="IJ18" i="6"/>
  <c r="IK18" i="6"/>
  <c r="IL18" i="6"/>
  <c r="IM18" i="6"/>
  <c r="IN18" i="6"/>
  <c r="IO18" i="6"/>
  <c r="IP18" i="6"/>
  <c r="IQ18" i="6"/>
  <c r="IR18" i="6"/>
  <c r="IS18" i="6"/>
  <c r="IT18" i="6"/>
  <c r="IU18" i="6"/>
  <c r="IV18"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P19" i="6"/>
  <c r="CQ19" i="6"/>
  <c r="CR19" i="6"/>
  <c r="CS19" i="6"/>
  <c r="CT19" i="6"/>
  <c r="CU19" i="6"/>
  <c r="CV19" i="6"/>
  <c r="CW19" i="6"/>
  <c r="CX19" i="6"/>
  <c r="CY19" i="6"/>
  <c r="CZ19" i="6"/>
  <c r="DA19" i="6"/>
  <c r="DB19" i="6"/>
  <c r="DC19" i="6"/>
  <c r="DD19" i="6"/>
  <c r="DE19" i="6"/>
  <c r="DF19" i="6"/>
  <c r="DG19" i="6"/>
  <c r="DH19" i="6"/>
  <c r="DI19" i="6"/>
  <c r="DJ19" i="6"/>
  <c r="DK19" i="6"/>
  <c r="DL19" i="6"/>
  <c r="DM19" i="6"/>
  <c r="DN19" i="6"/>
  <c r="DO19" i="6"/>
  <c r="DP19" i="6"/>
  <c r="DQ19" i="6"/>
  <c r="DR19" i="6"/>
  <c r="DS19" i="6"/>
  <c r="DT19" i="6"/>
  <c r="DU19" i="6"/>
  <c r="DV19" i="6"/>
  <c r="DW19" i="6"/>
  <c r="DX19" i="6"/>
  <c r="DY19" i="6"/>
  <c r="DZ19" i="6"/>
  <c r="EA19" i="6"/>
  <c r="EB19" i="6"/>
  <c r="EC19" i="6"/>
  <c r="ED19" i="6"/>
  <c r="EE19" i="6"/>
  <c r="EF19" i="6"/>
  <c r="EG19" i="6"/>
  <c r="EH19" i="6"/>
  <c r="EI19" i="6"/>
  <c r="EJ19" i="6"/>
  <c r="EK19" i="6"/>
  <c r="EL19" i="6"/>
  <c r="EM19" i="6"/>
  <c r="EN19" i="6"/>
  <c r="EO19" i="6"/>
  <c r="EP19" i="6"/>
  <c r="EQ19" i="6"/>
  <c r="ER19" i="6"/>
  <c r="ES19" i="6"/>
  <c r="ET19" i="6"/>
  <c r="EU19" i="6"/>
  <c r="EV19" i="6"/>
  <c r="EW19" i="6"/>
  <c r="EX19" i="6"/>
  <c r="EY19" i="6"/>
  <c r="EZ19" i="6"/>
  <c r="FA19" i="6"/>
  <c r="FB19" i="6"/>
  <c r="FC19" i="6"/>
  <c r="FD19" i="6"/>
  <c r="FE19" i="6"/>
  <c r="FF19" i="6"/>
  <c r="FG19" i="6"/>
  <c r="FH19" i="6"/>
  <c r="FI19" i="6"/>
  <c r="FJ19" i="6"/>
  <c r="FK19" i="6"/>
  <c r="FL19" i="6"/>
  <c r="FM19" i="6"/>
  <c r="FN19" i="6"/>
  <c r="FO19" i="6"/>
  <c r="FP19" i="6"/>
  <c r="FQ19" i="6"/>
  <c r="FR19" i="6"/>
  <c r="FS19" i="6"/>
  <c r="FT19" i="6"/>
  <c r="FU19" i="6"/>
  <c r="FV19" i="6"/>
  <c r="FW19" i="6"/>
  <c r="FX19" i="6"/>
  <c r="FY19" i="6"/>
  <c r="FZ19" i="6"/>
  <c r="GA19" i="6"/>
  <c r="GB19" i="6"/>
  <c r="GC19" i="6"/>
  <c r="GD19" i="6"/>
  <c r="GE19" i="6"/>
  <c r="GF19" i="6"/>
  <c r="GG19" i="6"/>
  <c r="GH19" i="6"/>
  <c r="GI19" i="6"/>
  <c r="GJ19" i="6"/>
  <c r="GK19" i="6"/>
  <c r="GL19" i="6"/>
  <c r="GM19" i="6"/>
  <c r="GN19" i="6"/>
  <c r="GO19" i="6"/>
  <c r="GP19" i="6"/>
  <c r="GQ19" i="6"/>
  <c r="GR19" i="6"/>
  <c r="GS19" i="6"/>
  <c r="GT19" i="6"/>
  <c r="GU19" i="6"/>
  <c r="GV19" i="6"/>
  <c r="GW19" i="6"/>
  <c r="GX19" i="6"/>
  <c r="GY19" i="6"/>
  <c r="GZ19" i="6"/>
  <c r="HA19" i="6"/>
  <c r="HB19" i="6"/>
  <c r="HC19" i="6"/>
  <c r="HD19" i="6"/>
  <c r="HE19" i="6"/>
  <c r="HF19" i="6"/>
  <c r="HG19" i="6"/>
  <c r="HH19" i="6"/>
  <c r="HI19" i="6"/>
  <c r="HJ19" i="6"/>
  <c r="HK19" i="6"/>
  <c r="HL19" i="6"/>
  <c r="HM19" i="6"/>
  <c r="HN19" i="6"/>
  <c r="HO19" i="6"/>
  <c r="HP19" i="6"/>
  <c r="HQ19" i="6"/>
  <c r="HR19" i="6"/>
  <c r="HS19" i="6"/>
  <c r="HT19" i="6"/>
  <c r="HU19" i="6"/>
  <c r="HV19" i="6"/>
  <c r="HW19" i="6"/>
  <c r="HX19" i="6"/>
  <c r="HY19" i="6"/>
  <c r="HZ19" i="6"/>
  <c r="IA19" i="6"/>
  <c r="IB19" i="6"/>
  <c r="IC19" i="6"/>
  <c r="ID19" i="6"/>
  <c r="IE19" i="6"/>
  <c r="IF19" i="6"/>
  <c r="IG19" i="6"/>
  <c r="IH19" i="6"/>
  <c r="II19" i="6"/>
  <c r="IJ19" i="6"/>
  <c r="IK19" i="6"/>
  <c r="IL19" i="6"/>
  <c r="IM19" i="6"/>
  <c r="IN19" i="6"/>
  <c r="IO19" i="6"/>
  <c r="IP19" i="6"/>
  <c r="IQ19" i="6"/>
  <c r="IR19" i="6"/>
  <c r="IS19" i="6"/>
  <c r="IT19" i="6"/>
  <c r="IU19" i="6"/>
  <c r="IV19"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A20" i="6"/>
  <c r="CB20" i="6"/>
  <c r="CC20" i="6"/>
  <c r="CD20" i="6"/>
  <c r="CE20" i="6"/>
  <c r="CF20" i="6"/>
  <c r="CG20" i="6"/>
  <c r="CH20" i="6"/>
  <c r="CI20" i="6"/>
  <c r="CJ20" i="6"/>
  <c r="CK20" i="6"/>
  <c r="CL20" i="6"/>
  <c r="CM20" i="6"/>
  <c r="CN20" i="6"/>
  <c r="CO20" i="6"/>
  <c r="CP20" i="6"/>
  <c r="CQ20" i="6"/>
  <c r="CR20" i="6"/>
  <c r="CS20" i="6"/>
  <c r="CT20" i="6"/>
  <c r="CU20" i="6"/>
  <c r="CV20" i="6"/>
  <c r="CW20" i="6"/>
  <c r="CX20" i="6"/>
  <c r="CY20" i="6"/>
  <c r="CZ20" i="6"/>
  <c r="DA20" i="6"/>
  <c r="DB20" i="6"/>
  <c r="DC20" i="6"/>
  <c r="DD20" i="6"/>
  <c r="DE20" i="6"/>
  <c r="DF20" i="6"/>
  <c r="DG20" i="6"/>
  <c r="DH20" i="6"/>
  <c r="DI20" i="6"/>
  <c r="DJ20" i="6"/>
  <c r="DK20" i="6"/>
  <c r="DL20" i="6"/>
  <c r="DM20" i="6"/>
  <c r="DN20" i="6"/>
  <c r="DO20" i="6"/>
  <c r="DP20" i="6"/>
  <c r="DQ20" i="6"/>
  <c r="DR20" i="6"/>
  <c r="DS20" i="6"/>
  <c r="DT20" i="6"/>
  <c r="DU20" i="6"/>
  <c r="DV20" i="6"/>
  <c r="DW20" i="6"/>
  <c r="DX20" i="6"/>
  <c r="DY20" i="6"/>
  <c r="DZ20" i="6"/>
  <c r="EA20" i="6"/>
  <c r="EB20" i="6"/>
  <c r="EC20" i="6"/>
  <c r="ED20" i="6"/>
  <c r="EE20" i="6"/>
  <c r="EF20" i="6"/>
  <c r="EG20" i="6"/>
  <c r="EH20" i="6"/>
  <c r="EI20" i="6"/>
  <c r="EJ20" i="6"/>
  <c r="EK20" i="6"/>
  <c r="EL20" i="6"/>
  <c r="EM20" i="6"/>
  <c r="EN20" i="6"/>
  <c r="EO20" i="6"/>
  <c r="EP20" i="6"/>
  <c r="EQ20" i="6"/>
  <c r="ER20" i="6"/>
  <c r="ES20" i="6"/>
  <c r="ET20" i="6"/>
  <c r="EU20" i="6"/>
  <c r="EV20" i="6"/>
  <c r="EW20" i="6"/>
  <c r="EX20" i="6"/>
  <c r="EY20" i="6"/>
  <c r="EZ20" i="6"/>
  <c r="FA20" i="6"/>
  <c r="FB20" i="6"/>
  <c r="FC20" i="6"/>
  <c r="FD20" i="6"/>
  <c r="FE20" i="6"/>
  <c r="FF20" i="6"/>
  <c r="FG20" i="6"/>
  <c r="FH20" i="6"/>
  <c r="FI20" i="6"/>
  <c r="FJ20" i="6"/>
  <c r="FK20" i="6"/>
  <c r="FL20" i="6"/>
  <c r="FM20" i="6"/>
  <c r="FN20" i="6"/>
  <c r="FO20" i="6"/>
  <c r="FP20" i="6"/>
  <c r="FQ20" i="6"/>
  <c r="FR20" i="6"/>
  <c r="FS20" i="6"/>
  <c r="FT20" i="6"/>
  <c r="FU20" i="6"/>
  <c r="FV20" i="6"/>
  <c r="FW20" i="6"/>
  <c r="FX20" i="6"/>
  <c r="FY20" i="6"/>
  <c r="FZ20" i="6"/>
  <c r="GA20" i="6"/>
  <c r="GB20" i="6"/>
  <c r="GC20" i="6"/>
  <c r="GD20" i="6"/>
  <c r="GE20" i="6"/>
  <c r="GF20" i="6"/>
  <c r="GG20" i="6"/>
  <c r="GH20" i="6"/>
  <c r="GI20" i="6"/>
  <c r="GJ20" i="6"/>
  <c r="GK20" i="6"/>
  <c r="GL20" i="6"/>
  <c r="GM20" i="6"/>
  <c r="GN20" i="6"/>
  <c r="GO20" i="6"/>
  <c r="GP20" i="6"/>
  <c r="GQ20" i="6"/>
  <c r="GR20" i="6"/>
  <c r="GS20" i="6"/>
  <c r="GT20" i="6"/>
  <c r="GU20" i="6"/>
  <c r="GV20" i="6"/>
  <c r="GW20" i="6"/>
  <c r="GX20" i="6"/>
  <c r="GY20" i="6"/>
  <c r="GZ20" i="6"/>
  <c r="HA20" i="6"/>
  <c r="HB20" i="6"/>
  <c r="HC20" i="6"/>
  <c r="HD20" i="6"/>
  <c r="HE20" i="6"/>
  <c r="HF20" i="6"/>
  <c r="HG20" i="6"/>
  <c r="HH20" i="6"/>
  <c r="HI20" i="6"/>
  <c r="HJ20" i="6"/>
  <c r="HK20" i="6"/>
  <c r="HL20" i="6"/>
  <c r="HM20" i="6"/>
  <c r="HN20" i="6"/>
  <c r="HO20" i="6"/>
  <c r="HP20" i="6"/>
  <c r="HQ20" i="6"/>
  <c r="HR20" i="6"/>
  <c r="HS20" i="6"/>
  <c r="HT20" i="6"/>
  <c r="HU20" i="6"/>
  <c r="HV20" i="6"/>
  <c r="HW20" i="6"/>
  <c r="HX20" i="6"/>
  <c r="HY20" i="6"/>
  <c r="HZ20" i="6"/>
  <c r="IA20" i="6"/>
  <c r="IB20" i="6"/>
  <c r="IC20" i="6"/>
  <c r="ID20" i="6"/>
  <c r="IE20" i="6"/>
  <c r="IF20" i="6"/>
  <c r="IG20" i="6"/>
  <c r="IH20" i="6"/>
  <c r="II20" i="6"/>
  <c r="IJ20" i="6"/>
  <c r="IK20" i="6"/>
  <c r="IL20" i="6"/>
  <c r="IM20" i="6"/>
  <c r="IN20" i="6"/>
  <c r="IO20" i="6"/>
  <c r="IP20" i="6"/>
  <c r="IQ20" i="6"/>
  <c r="IR20" i="6"/>
  <c r="IS20" i="6"/>
  <c r="IT20" i="6"/>
  <c r="IU20" i="6"/>
  <c r="IV20"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CC21" i="6"/>
  <c r="CD21" i="6"/>
  <c r="CE21" i="6"/>
  <c r="CF21" i="6"/>
  <c r="CG21" i="6"/>
  <c r="CH21" i="6"/>
  <c r="CI21" i="6"/>
  <c r="CJ21" i="6"/>
  <c r="CK21" i="6"/>
  <c r="CL21" i="6"/>
  <c r="CM21" i="6"/>
  <c r="CN21" i="6"/>
  <c r="CO21" i="6"/>
  <c r="CP21" i="6"/>
  <c r="CQ21" i="6"/>
  <c r="CR21" i="6"/>
  <c r="CS21" i="6"/>
  <c r="CT21" i="6"/>
  <c r="CU21" i="6"/>
  <c r="CV21" i="6"/>
  <c r="CW21" i="6"/>
  <c r="CX21" i="6"/>
  <c r="CY21" i="6"/>
  <c r="CZ21" i="6"/>
  <c r="DA21" i="6"/>
  <c r="DB21" i="6"/>
  <c r="DC21" i="6"/>
  <c r="DD21" i="6"/>
  <c r="DE21" i="6"/>
  <c r="DF21" i="6"/>
  <c r="DG21" i="6"/>
  <c r="DH21" i="6"/>
  <c r="DI21" i="6"/>
  <c r="DJ21" i="6"/>
  <c r="DK21" i="6"/>
  <c r="DL21" i="6"/>
  <c r="DM21" i="6"/>
  <c r="DN21" i="6"/>
  <c r="DO21" i="6"/>
  <c r="DP21" i="6"/>
  <c r="DQ21" i="6"/>
  <c r="DR21" i="6"/>
  <c r="DS21" i="6"/>
  <c r="DT21" i="6"/>
  <c r="DU21" i="6"/>
  <c r="DV21" i="6"/>
  <c r="DW21" i="6"/>
  <c r="DX21" i="6"/>
  <c r="DY21" i="6"/>
  <c r="DZ21" i="6"/>
  <c r="EA21" i="6"/>
  <c r="EB21" i="6"/>
  <c r="EC21" i="6"/>
  <c r="ED21" i="6"/>
  <c r="EE21" i="6"/>
  <c r="EF21" i="6"/>
  <c r="EG21" i="6"/>
  <c r="EH21" i="6"/>
  <c r="EI21" i="6"/>
  <c r="EJ21" i="6"/>
  <c r="EK21" i="6"/>
  <c r="EL21" i="6"/>
  <c r="EM21" i="6"/>
  <c r="EN21" i="6"/>
  <c r="EO21" i="6"/>
  <c r="EP21" i="6"/>
  <c r="EQ21" i="6"/>
  <c r="ER21" i="6"/>
  <c r="ES21" i="6"/>
  <c r="ET21" i="6"/>
  <c r="EU21" i="6"/>
  <c r="EV21" i="6"/>
  <c r="EW21" i="6"/>
  <c r="EX21" i="6"/>
  <c r="EY21" i="6"/>
  <c r="EZ21" i="6"/>
  <c r="FA21" i="6"/>
  <c r="FB21" i="6"/>
  <c r="FC21" i="6"/>
  <c r="FD21" i="6"/>
  <c r="FE21" i="6"/>
  <c r="FF21" i="6"/>
  <c r="FG21" i="6"/>
  <c r="FH21" i="6"/>
  <c r="FI21" i="6"/>
  <c r="FJ21" i="6"/>
  <c r="FK21" i="6"/>
  <c r="FL21" i="6"/>
  <c r="FM21" i="6"/>
  <c r="FN21" i="6"/>
  <c r="FO21" i="6"/>
  <c r="FP21" i="6"/>
  <c r="FQ21" i="6"/>
  <c r="FR21" i="6"/>
  <c r="FS21" i="6"/>
  <c r="FT21" i="6"/>
  <c r="FU21" i="6"/>
  <c r="FV21" i="6"/>
  <c r="FW21" i="6"/>
  <c r="FX21" i="6"/>
  <c r="FY21" i="6"/>
  <c r="FZ21" i="6"/>
  <c r="GA21" i="6"/>
  <c r="GB21" i="6"/>
  <c r="GC21" i="6"/>
  <c r="GD21" i="6"/>
  <c r="GE21" i="6"/>
  <c r="GF21" i="6"/>
  <c r="GG21" i="6"/>
  <c r="GH21" i="6"/>
  <c r="GI21" i="6"/>
  <c r="GJ21" i="6"/>
  <c r="GK21" i="6"/>
  <c r="GL21" i="6"/>
  <c r="GM21" i="6"/>
  <c r="GN21" i="6"/>
  <c r="GO21" i="6"/>
  <c r="GP21" i="6"/>
  <c r="GQ21" i="6"/>
  <c r="GR21" i="6"/>
  <c r="GS21" i="6"/>
  <c r="GT21" i="6"/>
  <c r="GU21" i="6"/>
  <c r="GV21" i="6"/>
  <c r="GW21" i="6"/>
  <c r="GX21" i="6"/>
  <c r="GY21" i="6"/>
  <c r="GZ21" i="6"/>
  <c r="HA21" i="6"/>
  <c r="HB21" i="6"/>
  <c r="HC21" i="6"/>
  <c r="HD21" i="6"/>
  <c r="HE21" i="6"/>
  <c r="HF21" i="6"/>
  <c r="HG21" i="6"/>
  <c r="HH21" i="6"/>
  <c r="HI21" i="6"/>
  <c r="HJ21" i="6"/>
  <c r="HK21" i="6"/>
  <c r="HL21" i="6"/>
  <c r="HM21" i="6"/>
  <c r="HN21" i="6"/>
  <c r="HO21" i="6"/>
  <c r="HP21" i="6"/>
  <c r="HQ21" i="6"/>
  <c r="HR21" i="6"/>
  <c r="HS21" i="6"/>
  <c r="HT21" i="6"/>
  <c r="HU21" i="6"/>
  <c r="HV21" i="6"/>
  <c r="HW21" i="6"/>
  <c r="HX21" i="6"/>
  <c r="HY21" i="6"/>
  <c r="HZ21" i="6"/>
  <c r="IA21" i="6"/>
  <c r="IB21" i="6"/>
  <c r="IC21" i="6"/>
  <c r="ID21" i="6"/>
  <c r="IE21" i="6"/>
  <c r="IF21" i="6"/>
  <c r="IG21" i="6"/>
  <c r="IH21" i="6"/>
  <c r="II21" i="6"/>
  <c r="IJ21" i="6"/>
  <c r="IK21" i="6"/>
  <c r="IL21" i="6"/>
  <c r="IM21" i="6"/>
  <c r="IN21" i="6"/>
  <c r="IO21" i="6"/>
  <c r="IP21" i="6"/>
  <c r="IQ21" i="6"/>
  <c r="IR21" i="6"/>
  <c r="IS21" i="6"/>
  <c r="IT21" i="6"/>
  <c r="IU21" i="6"/>
  <c r="IV21"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A22" i="6"/>
  <c r="CB22" i="6"/>
  <c r="CC22" i="6"/>
  <c r="CD22" i="6"/>
  <c r="CE22" i="6"/>
  <c r="CF22" i="6"/>
  <c r="CG22" i="6"/>
  <c r="CH22" i="6"/>
  <c r="CI22" i="6"/>
  <c r="CJ22" i="6"/>
  <c r="CK22" i="6"/>
  <c r="CL22" i="6"/>
  <c r="CM22" i="6"/>
  <c r="CN22" i="6"/>
  <c r="CO22" i="6"/>
  <c r="CP22" i="6"/>
  <c r="CQ22" i="6"/>
  <c r="CR22" i="6"/>
  <c r="CS22" i="6"/>
  <c r="CT22" i="6"/>
  <c r="CU22" i="6"/>
  <c r="CV22" i="6"/>
  <c r="CW22" i="6"/>
  <c r="CX22" i="6"/>
  <c r="CY22" i="6"/>
  <c r="CZ22" i="6"/>
  <c r="DA22" i="6"/>
  <c r="DB22" i="6"/>
  <c r="DC22" i="6"/>
  <c r="DD22" i="6"/>
  <c r="DE22" i="6"/>
  <c r="DF22" i="6"/>
  <c r="DG22" i="6"/>
  <c r="DH22" i="6"/>
  <c r="DI22" i="6"/>
  <c r="DJ22" i="6"/>
  <c r="DK22" i="6"/>
  <c r="DL22" i="6"/>
  <c r="DM22" i="6"/>
  <c r="DN22" i="6"/>
  <c r="DO22" i="6"/>
  <c r="DP22" i="6"/>
  <c r="DQ22" i="6"/>
  <c r="DR22" i="6"/>
  <c r="DS22" i="6"/>
  <c r="DT22" i="6"/>
  <c r="DU22" i="6"/>
  <c r="DV22" i="6"/>
  <c r="DW22" i="6"/>
  <c r="DX22" i="6"/>
  <c r="DY22" i="6"/>
  <c r="DZ22" i="6"/>
  <c r="EA22" i="6"/>
  <c r="EB22" i="6"/>
  <c r="EC22" i="6"/>
  <c r="ED22" i="6"/>
  <c r="EE22" i="6"/>
  <c r="EF22" i="6"/>
  <c r="EG22" i="6"/>
  <c r="EH22" i="6"/>
  <c r="EI22" i="6"/>
  <c r="EJ22" i="6"/>
  <c r="EK22" i="6"/>
  <c r="EL22" i="6"/>
  <c r="EM22" i="6"/>
  <c r="EN22" i="6"/>
  <c r="EO22" i="6"/>
  <c r="EP22" i="6"/>
  <c r="EQ22" i="6"/>
  <c r="ER22" i="6"/>
  <c r="ES22" i="6"/>
  <c r="ET22" i="6"/>
  <c r="EU22" i="6"/>
  <c r="EV22" i="6"/>
  <c r="EW22" i="6"/>
  <c r="EX22" i="6"/>
  <c r="EY22" i="6"/>
  <c r="EZ22" i="6"/>
  <c r="FA22" i="6"/>
  <c r="FB22" i="6"/>
  <c r="FC22" i="6"/>
  <c r="FD22" i="6"/>
  <c r="FE22" i="6"/>
  <c r="FF22" i="6"/>
  <c r="FG22" i="6"/>
  <c r="FH22" i="6"/>
  <c r="FI22" i="6"/>
  <c r="FJ22" i="6"/>
  <c r="FK22" i="6"/>
  <c r="FL22" i="6"/>
  <c r="FM22" i="6"/>
  <c r="FN22" i="6"/>
  <c r="FO22" i="6"/>
  <c r="FP22" i="6"/>
  <c r="FQ22" i="6"/>
  <c r="FR22" i="6"/>
  <c r="FS22" i="6"/>
  <c r="FT22" i="6"/>
  <c r="FU22" i="6"/>
  <c r="FV22" i="6"/>
  <c r="FW22" i="6"/>
  <c r="FX22" i="6"/>
  <c r="FY22" i="6"/>
  <c r="FZ22" i="6"/>
  <c r="GA22" i="6"/>
  <c r="GB22" i="6"/>
  <c r="GC22" i="6"/>
  <c r="GD22" i="6"/>
  <c r="GE22" i="6"/>
  <c r="GF22" i="6"/>
  <c r="GG22" i="6"/>
  <c r="GH22" i="6"/>
  <c r="GI22" i="6"/>
  <c r="GJ22" i="6"/>
  <c r="GK22" i="6"/>
  <c r="GL22" i="6"/>
  <c r="GM22" i="6"/>
  <c r="GN22" i="6"/>
  <c r="GO22" i="6"/>
  <c r="GP22" i="6"/>
  <c r="GQ22" i="6"/>
  <c r="GR22" i="6"/>
  <c r="GS22" i="6"/>
  <c r="GT22" i="6"/>
  <c r="GU22" i="6"/>
  <c r="GV22" i="6"/>
  <c r="GW22" i="6"/>
  <c r="GX22" i="6"/>
  <c r="GY22" i="6"/>
  <c r="GZ22" i="6"/>
  <c r="HA22" i="6"/>
  <c r="HB22" i="6"/>
  <c r="HC22" i="6"/>
  <c r="HD22" i="6"/>
  <c r="HE22" i="6"/>
  <c r="HF22" i="6"/>
  <c r="HG22" i="6"/>
  <c r="HH22" i="6"/>
  <c r="HI22" i="6"/>
  <c r="HJ22" i="6"/>
  <c r="HK22" i="6"/>
  <c r="HL22" i="6"/>
  <c r="HM22" i="6"/>
  <c r="HN22" i="6"/>
  <c r="HO22" i="6"/>
  <c r="HP22" i="6"/>
  <c r="HQ22" i="6"/>
  <c r="HR22" i="6"/>
  <c r="HS22" i="6"/>
  <c r="HT22" i="6"/>
  <c r="HU22" i="6"/>
  <c r="HV22" i="6"/>
  <c r="HW22" i="6"/>
  <c r="HX22" i="6"/>
  <c r="HY22" i="6"/>
  <c r="HZ22" i="6"/>
  <c r="IA22" i="6"/>
  <c r="IB22" i="6"/>
  <c r="IC22" i="6"/>
  <c r="ID22" i="6"/>
  <c r="IE22" i="6"/>
  <c r="IF22" i="6"/>
  <c r="IG22" i="6"/>
  <c r="IH22" i="6"/>
  <c r="II22" i="6"/>
  <c r="IJ22" i="6"/>
  <c r="IK22" i="6"/>
  <c r="IL22" i="6"/>
  <c r="IM22" i="6"/>
  <c r="IN22" i="6"/>
  <c r="IO22" i="6"/>
  <c r="IP22" i="6"/>
  <c r="IQ22" i="6"/>
  <c r="IR22" i="6"/>
  <c r="IS22" i="6"/>
  <c r="IT22" i="6"/>
  <c r="IU22" i="6"/>
  <c r="IV22"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A23" i="6"/>
  <c r="CB23" i="6"/>
  <c r="CC23" i="6"/>
  <c r="CD23" i="6"/>
  <c r="CE23" i="6"/>
  <c r="CF23" i="6"/>
  <c r="CG23" i="6"/>
  <c r="CH23" i="6"/>
  <c r="CI23" i="6"/>
  <c r="CJ23" i="6"/>
  <c r="CK23" i="6"/>
  <c r="CL23" i="6"/>
  <c r="CM23" i="6"/>
  <c r="CN23" i="6"/>
  <c r="CO23" i="6"/>
  <c r="CP23" i="6"/>
  <c r="CQ23" i="6"/>
  <c r="CR23" i="6"/>
  <c r="CS23" i="6"/>
  <c r="CT23" i="6"/>
  <c r="CU23" i="6"/>
  <c r="CV23" i="6"/>
  <c r="CW23" i="6"/>
  <c r="CX23" i="6"/>
  <c r="CY23" i="6"/>
  <c r="CZ23" i="6"/>
  <c r="DA23" i="6"/>
  <c r="DB23" i="6"/>
  <c r="DC23" i="6"/>
  <c r="DD23" i="6"/>
  <c r="DE23" i="6"/>
  <c r="DF23" i="6"/>
  <c r="DG23" i="6"/>
  <c r="DH23" i="6"/>
  <c r="DI23" i="6"/>
  <c r="DJ23" i="6"/>
  <c r="DK23" i="6"/>
  <c r="DL23" i="6"/>
  <c r="DM23" i="6"/>
  <c r="DN23" i="6"/>
  <c r="DO23" i="6"/>
  <c r="DP23" i="6"/>
  <c r="DQ23" i="6"/>
  <c r="DR23" i="6"/>
  <c r="DS23" i="6"/>
  <c r="DT23" i="6"/>
  <c r="DU23" i="6"/>
  <c r="DV23" i="6"/>
  <c r="DW23" i="6"/>
  <c r="DX23" i="6"/>
  <c r="DY23" i="6"/>
  <c r="DZ23" i="6"/>
  <c r="EA23" i="6"/>
  <c r="EB23" i="6"/>
  <c r="EC23" i="6"/>
  <c r="ED23" i="6"/>
  <c r="EE23" i="6"/>
  <c r="EF23" i="6"/>
  <c r="EG23" i="6"/>
  <c r="EH23" i="6"/>
  <c r="EI23" i="6"/>
  <c r="EJ23" i="6"/>
  <c r="EK23" i="6"/>
  <c r="EL23" i="6"/>
  <c r="EM23" i="6"/>
  <c r="EN23" i="6"/>
  <c r="EO23" i="6"/>
  <c r="EP23" i="6"/>
  <c r="EQ23" i="6"/>
  <c r="ER23" i="6"/>
  <c r="ES23" i="6"/>
  <c r="ET23" i="6"/>
  <c r="EU23" i="6"/>
  <c r="EV23" i="6"/>
  <c r="EW23" i="6"/>
  <c r="EX23" i="6"/>
  <c r="EY23" i="6"/>
  <c r="EZ23" i="6"/>
  <c r="FA23" i="6"/>
  <c r="FB23" i="6"/>
  <c r="FC23" i="6"/>
  <c r="FD23" i="6"/>
  <c r="FE23" i="6"/>
  <c r="FF23" i="6"/>
  <c r="FG23" i="6"/>
  <c r="FH23" i="6"/>
  <c r="FI23" i="6"/>
  <c r="FJ23" i="6"/>
  <c r="FK23" i="6"/>
  <c r="FL23" i="6"/>
  <c r="FM23" i="6"/>
  <c r="FN23" i="6"/>
  <c r="FO23" i="6"/>
  <c r="FP23" i="6"/>
  <c r="FQ23" i="6"/>
  <c r="FR23" i="6"/>
  <c r="FS23" i="6"/>
  <c r="FT23" i="6"/>
  <c r="FU23" i="6"/>
  <c r="FV23" i="6"/>
  <c r="FW23" i="6"/>
  <c r="FX23" i="6"/>
  <c r="FY23" i="6"/>
  <c r="FZ23" i="6"/>
  <c r="GA23" i="6"/>
  <c r="GB23" i="6"/>
  <c r="GC23" i="6"/>
  <c r="GD23" i="6"/>
  <c r="GE23" i="6"/>
  <c r="GF23" i="6"/>
  <c r="GG23" i="6"/>
  <c r="GH23" i="6"/>
  <c r="GI23" i="6"/>
  <c r="GJ23" i="6"/>
  <c r="GK23" i="6"/>
  <c r="GL23" i="6"/>
  <c r="GM23" i="6"/>
  <c r="GN23" i="6"/>
  <c r="GO23" i="6"/>
  <c r="GP23" i="6"/>
  <c r="GQ23" i="6"/>
  <c r="GR23" i="6"/>
  <c r="GS23" i="6"/>
  <c r="GT23" i="6"/>
  <c r="GU23" i="6"/>
  <c r="GV23" i="6"/>
  <c r="GW23" i="6"/>
  <c r="GX23" i="6"/>
  <c r="GY23" i="6"/>
  <c r="GZ23" i="6"/>
  <c r="HA23" i="6"/>
  <c r="HB23" i="6"/>
  <c r="HC23" i="6"/>
  <c r="HD23" i="6"/>
  <c r="HE23" i="6"/>
  <c r="HF23" i="6"/>
  <c r="HG23" i="6"/>
  <c r="HH23" i="6"/>
  <c r="HI23" i="6"/>
  <c r="HJ23" i="6"/>
  <c r="HK23" i="6"/>
  <c r="HL23" i="6"/>
  <c r="HM23" i="6"/>
  <c r="HN23" i="6"/>
  <c r="HO23" i="6"/>
  <c r="HP23" i="6"/>
  <c r="HQ23" i="6"/>
  <c r="HR23" i="6"/>
  <c r="HS23" i="6"/>
  <c r="HT23" i="6"/>
  <c r="HU23" i="6"/>
  <c r="HV23" i="6"/>
  <c r="HW23" i="6"/>
  <c r="HX23" i="6"/>
  <c r="HY23" i="6"/>
  <c r="HZ23" i="6"/>
  <c r="IA23" i="6"/>
  <c r="IB23" i="6"/>
  <c r="IC23" i="6"/>
  <c r="ID23" i="6"/>
  <c r="IE23" i="6"/>
  <c r="IF23" i="6"/>
  <c r="IG23" i="6"/>
  <c r="IH23" i="6"/>
  <c r="II23" i="6"/>
  <c r="IJ23" i="6"/>
  <c r="IK23" i="6"/>
  <c r="IL23" i="6"/>
  <c r="IM23" i="6"/>
  <c r="IN23" i="6"/>
  <c r="IO23" i="6"/>
  <c r="IP23" i="6"/>
  <c r="IQ23" i="6"/>
  <c r="IR23" i="6"/>
  <c r="IS23" i="6"/>
  <c r="IT23" i="6"/>
  <c r="IU23" i="6"/>
  <c r="IV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A24" i="6"/>
  <c r="CB24" i="6"/>
  <c r="CC24" i="6"/>
  <c r="CD24" i="6"/>
  <c r="CE24" i="6"/>
  <c r="CF24" i="6"/>
  <c r="CG24" i="6"/>
  <c r="CH24" i="6"/>
  <c r="CI24" i="6"/>
  <c r="CJ24" i="6"/>
  <c r="CK24" i="6"/>
  <c r="CL24" i="6"/>
  <c r="CM24" i="6"/>
  <c r="CN24" i="6"/>
  <c r="CO24" i="6"/>
  <c r="CP24" i="6"/>
  <c r="CQ24" i="6"/>
  <c r="CR24" i="6"/>
  <c r="CS24" i="6"/>
  <c r="CT24" i="6"/>
  <c r="CU24" i="6"/>
  <c r="CV24" i="6"/>
  <c r="CW24" i="6"/>
  <c r="CX24" i="6"/>
  <c r="CY24" i="6"/>
  <c r="CZ24" i="6"/>
  <c r="DA24" i="6"/>
  <c r="DB24" i="6"/>
  <c r="DC24" i="6"/>
  <c r="DD24" i="6"/>
  <c r="DE24" i="6"/>
  <c r="DF24" i="6"/>
  <c r="DG24" i="6"/>
  <c r="DH24" i="6"/>
  <c r="DI24" i="6"/>
  <c r="DJ24" i="6"/>
  <c r="DK24" i="6"/>
  <c r="DL24" i="6"/>
  <c r="DM24" i="6"/>
  <c r="DN24" i="6"/>
  <c r="DO24" i="6"/>
  <c r="DP24" i="6"/>
  <c r="DQ24" i="6"/>
  <c r="DR24" i="6"/>
  <c r="DS24" i="6"/>
  <c r="DT24" i="6"/>
  <c r="DU24" i="6"/>
  <c r="DV24" i="6"/>
  <c r="DW24" i="6"/>
  <c r="DX24" i="6"/>
  <c r="DY24" i="6"/>
  <c r="DZ24" i="6"/>
  <c r="EA24" i="6"/>
  <c r="EB24" i="6"/>
  <c r="EC24" i="6"/>
  <c r="ED24" i="6"/>
  <c r="EE24" i="6"/>
  <c r="EF24" i="6"/>
  <c r="EG24" i="6"/>
  <c r="EH24" i="6"/>
  <c r="EI24" i="6"/>
  <c r="EJ24" i="6"/>
  <c r="EK24" i="6"/>
  <c r="EL24" i="6"/>
  <c r="EM24" i="6"/>
  <c r="EN24" i="6"/>
  <c r="EO24" i="6"/>
  <c r="EP24" i="6"/>
  <c r="EQ24" i="6"/>
  <c r="ER24" i="6"/>
  <c r="ES24" i="6"/>
  <c r="ET24" i="6"/>
  <c r="EU24" i="6"/>
  <c r="EV24" i="6"/>
  <c r="EW24" i="6"/>
  <c r="EX24" i="6"/>
  <c r="EY24" i="6"/>
  <c r="EZ24" i="6"/>
  <c r="FA24" i="6"/>
  <c r="FB24" i="6"/>
  <c r="FC24" i="6"/>
  <c r="FD24" i="6"/>
  <c r="FE24" i="6"/>
  <c r="FF24" i="6"/>
  <c r="FG24" i="6"/>
  <c r="FH24" i="6"/>
  <c r="FI24" i="6"/>
  <c r="FJ24" i="6"/>
  <c r="FK24" i="6"/>
  <c r="FL24" i="6"/>
  <c r="FM24" i="6"/>
  <c r="FN24" i="6"/>
  <c r="FO24" i="6"/>
  <c r="FP24" i="6"/>
  <c r="FQ24" i="6"/>
  <c r="FR24" i="6"/>
  <c r="FS24" i="6"/>
  <c r="FT24" i="6"/>
  <c r="FU24" i="6"/>
  <c r="FV24" i="6"/>
  <c r="FW24" i="6"/>
  <c r="FX24" i="6"/>
  <c r="FY24" i="6"/>
  <c r="FZ24" i="6"/>
  <c r="GA24" i="6"/>
  <c r="GB24" i="6"/>
  <c r="GC24" i="6"/>
  <c r="GD24" i="6"/>
  <c r="GE24" i="6"/>
  <c r="GF24" i="6"/>
  <c r="GG24" i="6"/>
  <c r="GH24" i="6"/>
  <c r="GI24" i="6"/>
  <c r="GJ24" i="6"/>
  <c r="GK24" i="6"/>
  <c r="GL24" i="6"/>
  <c r="GM24" i="6"/>
  <c r="GN24" i="6"/>
  <c r="GO24" i="6"/>
  <c r="GP24" i="6"/>
  <c r="GQ24" i="6"/>
  <c r="GR24" i="6"/>
  <c r="GS24" i="6"/>
  <c r="GT24" i="6"/>
  <c r="GU24" i="6"/>
  <c r="GV24" i="6"/>
  <c r="GW24" i="6"/>
  <c r="GX24" i="6"/>
  <c r="GY24" i="6"/>
  <c r="GZ24" i="6"/>
  <c r="HA24" i="6"/>
  <c r="HB24" i="6"/>
  <c r="HC24" i="6"/>
  <c r="HD24" i="6"/>
  <c r="HE24" i="6"/>
  <c r="HF24" i="6"/>
  <c r="HG24" i="6"/>
  <c r="HH24" i="6"/>
  <c r="HI24" i="6"/>
  <c r="HJ24" i="6"/>
  <c r="HK24" i="6"/>
  <c r="HL24" i="6"/>
  <c r="HM24" i="6"/>
  <c r="HN24" i="6"/>
  <c r="HO24" i="6"/>
  <c r="HP24" i="6"/>
  <c r="HQ24" i="6"/>
  <c r="HR24" i="6"/>
  <c r="HS24" i="6"/>
  <c r="HT24" i="6"/>
  <c r="HU24" i="6"/>
  <c r="HV24" i="6"/>
  <c r="HW24" i="6"/>
  <c r="HX24" i="6"/>
  <c r="HY24" i="6"/>
  <c r="HZ24" i="6"/>
  <c r="IA24" i="6"/>
  <c r="IB24" i="6"/>
  <c r="IC24" i="6"/>
  <c r="ID24" i="6"/>
  <c r="IE24" i="6"/>
  <c r="IF24" i="6"/>
  <c r="IG24" i="6"/>
  <c r="IH24" i="6"/>
  <c r="II24" i="6"/>
  <c r="IJ24" i="6"/>
  <c r="IK24" i="6"/>
  <c r="IL24" i="6"/>
  <c r="IM24" i="6"/>
  <c r="IN24" i="6"/>
  <c r="IO24" i="6"/>
  <c r="IP24" i="6"/>
  <c r="IQ24" i="6"/>
  <c r="IR24" i="6"/>
  <c r="IS24" i="6"/>
  <c r="IT24" i="6"/>
  <c r="IU24" i="6"/>
  <c r="IV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A25" i="6"/>
  <c r="CB25" i="6"/>
  <c r="CC25" i="6"/>
  <c r="CD25" i="6"/>
  <c r="CE25" i="6"/>
  <c r="CF25" i="6"/>
  <c r="CG25" i="6"/>
  <c r="CH25" i="6"/>
  <c r="CI25" i="6"/>
  <c r="CJ25" i="6"/>
  <c r="CK25" i="6"/>
  <c r="CL25" i="6"/>
  <c r="CM25" i="6"/>
  <c r="CN25" i="6"/>
  <c r="CO25" i="6"/>
  <c r="CP25" i="6"/>
  <c r="CQ25" i="6"/>
  <c r="CR25" i="6"/>
  <c r="CS25" i="6"/>
  <c r="CT25" i="6"/>
  <c r="CU25" i="6"/>
  <c r="CV25" i="6"/>
  <c r="CW25" i="6"/>
  <c r="CX25" i="6"/>
  <c r="CY25" i="6"/>
  <c r="CZ25" i="6"/>
  <c r="DA25" i="6"/>
  <c r="DB25" i="6"/>
  <c r="DC25" i="6"/>
  <c r="DD25" i="6"/>
  <c r="DE25" i="6"/>
  <c r="DF25" i="6"/>
  <c r="DG25" i="6"/>
  <c r="DH25" i="6"/>
  <c r="DI25" i="6"/>
  <c r="DJ25" i="6"/>
  <c r="DK25" i="6"/>
  <c r="DL25" i="6"/>
  <c r="DM25" i="6"/>
  <c r="DN25" i="6"/>
  <c r="DO25" i="6"/>
  <c r="DP25" i="6"/>
  <c r="DQ25" i="6"/>
  <c r="DR25" i="6"/>
  <c r="DS25" i="6"/>
  <c r="DT25" i="6"/>
  <c r="DU25" i="6"/>
  <c r="DV25" i="6"/>
  <c r="DW25" i="6"/>
  <c r="DX25" i="6"/>
  <c r="DY25" i="6"/>
  <c r="DZ25" i="6"/>
  <c r="EA25" i="6"/>
  <c r="EB25" i="6"/>
  <c r="EC25" i="6"/>
  <c r="ED25" i="6"/>
  <c r="EE25" i="6"/>
  <c r="EF25" i="6"/>
  <c r="EG25" i="6"/>
  <c r="EH25" i="6"/>
  <c r="EI25" i="6"/>
  <c r="EJ25" i="6"/>
  <c r="EK25" i="6"/>
  <c r="EL25" i="6"/>
  <c r="EM25" i="6"/>
  <c r="EN25" i="6"/>
  <c r="EO25" i="6"/>
  <c r="EP25" i="6"/>
  <c r="EQ25" i="6"/>
  <c r="ER25" i="6"/>
  <c r="ES25" i="6"/>
  <c r="ET25" i="6"/>
  <c r="EU25" i="6"/>
  <c r="EV25" i="6"/>
  <c r="EW25" i="6"/>
  <c r="EX25" i="6"/>
  <c r="EY25" i="6"/>
  <c r="EZ25" i="6"/>
  <c r="FA25" i="6"/>
  <c r="FB25" i="6"/>
  <c r="FC25" i="6"/>
  <c r="FD25" i="6"/>
  <c r="FE25" i="6"/>
  <c r="FF25" i="6"/>
  <c r="FG25" i="6"/>
  <c r="FH25" i="6"/>
  <c r="FI25" i="6"/>
  <c r="FJ25" i="6"/>
  <c r="FK25" i="6"/>
  <c r="FL25" i="6"/>
  <c r="FM25" i="6"/>
  <c r="FN25" i="6"/>
  <c r="FO25" i="6"/>
  <c r="FP25" i="6"/>
  <c r="FQ25" i="6"/>
  <c r="FR25" i="6"/>
  <c r="FS25" i="6"/>
  <c r="FT25" i="6"/>
  <c r="FU25" i="6"/>
  <c r="FV25" i="6"/>
  <c r="FW25" i="6"/>
  <c r="FX25" i="6"/>
  <c r="FY25" i="6"/>
  <c r="FZ25" i="6"/>
  <c r="GA25" i="6"/>
  <c r="GB25" i="6"/>
  <c r="GC25" i="6"/>
  <c r="GD25" i="6"/>
  <c r="GE25" i="6"/>
  <c r="GF25" i="6"/>
  <c r="GG25" i="6"/>
  <c r="GH25" i="6"/>
  <c r="GI25" i="6"/>
  <c r="GJ25" i="6"/>
  <c r="GK25" i="6"/>
  <c r="GL25" i="6"/>
  <c r="GM25" i="6"/>
  <c r="GN25" i="6"/>
  <c r="GO25" i="6"/>
  <c r="GP25" i="6"/>
  <c r="GQ25" i="6"/>
  <c r="GR25" i="6"/>
  <c r="GS25" i="6"/>
  <c r="GT25" i="6"/>
  <c r="GU25" i="6"/>
  <c r="GV25" i="6"/>
  <c r="GW25" i="6"/>
  <c r="GX25" i="6"/>
  <c r="GY25" i="6"/>
  <c r="GZ25" i="6"/>
  <c r="HA25" i="6"/>
  <c r="HB25" i="6"/>
  <c r="HC25" i="6"/>
  <c r="HD25" i="6"/>
  <c r="HE25" i="6"/>
  <c r="HF25" i="6"/>
  <c r="HG25" i="6"/>
  <c r="HH25" i="6"/>
  <c r="HI25" i="6"/>
  <c r="HJ25" i="6"/>
  <c r="HK25" i="6"/>
  <c r="HL25" i="6"/>
  <c r="HM25" i="6"/>
  <c r="HN25" i="6"/>
  <c r="HO25" i="6"/>
  <c r="HP25" i="6"/>
  <c r="HQ25" i="6"/>
  <c r="HR25" i="6"/>
  <c r="HS25" i="6"/>
  <c r="HT25" i="6"/>
  <c r="HU25" i="6"/>
  <c r="HV25" i="6"/>
  <c r="HW25" i="6"/>
  <c r="HX25" i="6"/>
  <c r="HY25" i="6"/>
  <c r="HZ25" i="6"/>
  <c r="IA25" i="6"/>
  <c r="IB25" i="6"/>
  <c r="IC25" i="6"/>
  <c r="ID25" i="6"/>
  <c r="IE25" i="6"/>
  <c r="IF25" i="6"/>
  <c r="IG25" i="6"/>
  <c r="IH25" i="6"/>
  <c r="II25" i="6"/>
  <c r="IJ25" i="6"/>
  <c r="IK25" i="6"/>
  <c r="IL25" i="6"/>
  <c r="IM25" i="6"/>
  <c r="IN25" i="6"/>
  <c r="IO25" i="6"/>
  <c r="IP25" i="6"/>
  <c r="IQ25" i="6"/>
  <c r="IR25" i="6"/>
  <c r="IS25" i="6"/>
  <c r="IT25" i="6"/>
  <c r="IU25" i="6"/>
  <c r="IV25"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A26" i="6"/>
  <c r="CB26" i="6"/>
  <c r="CC26" i="6"/>
  <c r="CD26" i="6"/>
  <c r="CE26" i="6"/>
  <c r="CF26" i="6"/>
  <c r="CG26" i="6"/>
  <c r="CH26" i="6"/>
  <c r="CI26" i="6"/>
  <c r="CJ26" i="6"/>
  <c r="CK26" i="6"/>
  <c r="CL26" i="6"/>
  <c r="CM26" i="6"/>
  <c r="CN26" i="6"/>
  <c r="CO26" i="6"/>
  <c r="CP26" i="6"/>
  <c r="CQ26" i="6"/>
  <c r="CR26" i="6"/>
  <c r="CS26" i="6"/>
  <c r="CT26" i="6"/>
  <c r="CU26" i="6"/>
  <c r="CV26" i="6"/>
  <c r="CW26" i="6"/>
  <c r="CX26" i="6"/>
  <c r="CY26" i="6"/>
  <c r="CZ26" i="6"/>
  <c r="DA26" i="6"/>
  <c r="DB26" i="6"/>
  <c r="DC26" i="6"/>
  <c r="DD26" i="6"/>
  <c r="DE26" i="6"/>
  <c r="DF26" i="6"/>
  <c r="DG26" i="6"/>
  <c r="DH26" i="6"/>
  <c r="DI26" i="6"/>
  <c r="DJ26" i="6"/>
  <c r="DK26" i="6"/>
  <c r="DL26" i="6"/>
  <c r="DM26" i="6"/>
  <c r="DN26" i="6"/>
  <c r="DO26" i="6"/>
  <c r="DP26" i="6"/>
  <c r="DQ26" i="6"/>
  <c r="DR26" i="6"/>
  <c r="DS26" i="6"/>
  <c r="DT26" i="6"/>
  <c r="DU26" i="6"/>
  <c r="DV26" i="6"/>
  <c r="DW26" i="6"/>
  <c r="DX26" i="6"/>
  <c r="DY26" i="6"/>
  <c r="DZ26" i="6"/>
  <c r="EA26" i="6"/>
  <c r="EB26" i="6"/>
  <c r="EC26" i="6"/>
  <c r="ED26" i="6"/>
  <c r="EE26" i="6"/>
  <c r="EF26" i="6"/>
  <c r="EG26" i="6"/>
  <c r="EH26" i="6"/>
  <c r="EI26" i="6"/>
  <c r="EJ26" i="6"/>
  <c r="EK26" i="6"/>
  <c r="EL26" i="6"/>
  <c r="EM26" i="6"/>
  <c r="EN26" i="6"/>
  <c r="EO26" i="6"/>
  <c r="EP26" i="6"/>
  <c r="EQ26" i="6"/>
  <c r="ER26" i="6"/>
  <c r="ES26" i="6"/>
  <c r="ET26" i="6"/>
  <c r="EU26" i="6"/>
  <c r="EV26" i="6"/>
  <c r="EW26" i="6"/>
  <c r="EX26" i="6"/>
  <c r="EY26" i="6"/>
  <c r="EZ26" i="6"/>
  <c r="FA26" i="6"/>
  <c r="FB26" i="6"/>
  <c r="FC26" i="6"/>
  <c r="FD26" i="6"/>
  <c r="FE26" i="6"/>
  <c r="FF26" i="6"/>
  <c r="FG26" i="6"/>
  <c r="FH26" i="6"/>
  <c r="FI26" i="6"/>
  <c r="FJ26" i="6"/>
  <c r="FK26" i="6"/>
  <c r="FL26" i="6"/>
  <c r="FM26" i="6"/>
  <c r="FN26" i="6"/>
  <c r="FO26" i="6"/>
  <c r="FP26" i="6"/>
  <c r="FQ26" i="6"/>
  <c r="FR26" i="6"/>
  <c r="FS26" i="6"/>
  <c r="FT26" i="6"/>
  <c r="FU26" i="6"/>
  <c r="FV26" i="6"/>
  <c r="FW26" i="6"/>
  <c r="FX26" i="6"/>
  <c r="FY26" i="6"/>
  <c r="FZ26" i="6"/>
  <c r="GA26" i="6"/>
  <c r="GB26" i="6"/>
  <c r="GC26" i="6"/>
  <c r="GD26" i="6"/>
  <c r="GE26" i="6"/>
  <c r="GF26" i="6"/>
  <c r="GG26" i="6"/>
  <c r="GH26" i="6"/>
  <c r="GI26" i="6"/>
  <c r="GJ26" i="6"/>
  <c r="GK26" i="6"/>
  <c r="GL26" i="6"/>
  <c r="GM26" i="6"/>
  <c r="GN26" i="6"/>
  <c r="GO26" i="6"/>
  <c r="GP26" i="6"/>
  <c r="GQ26" i="6"/>
  <c r="GR26" i="6"/>
  <c r="GS26" i="6"/>
  <c r="GT26" i="6"/>
  <c r="GU26" i="6"/>
  <c r="GV26" i="6"/>
  <c r="GW26" i="6"/>
  <c r="GX26" i="6"/>
  <c r="GY26" i="6"/>
  <c r="GZ26" i="6"/>
  <c r="HA26" i="6"/>
  <c r="HB26" i="6"/>
  <c r="HC26" i="6"/>
  <c r="HD26" i="6"/>
  <c r="HE26" i="6"/>
  <c r="HF26" i="6"/>
  <c r="HG26" i="6"/>
  <c r="HH26" i="6"/>
  <c r="HI26" i="6"/>
  <c r="HJ26" i="6"/>
  <c r="HK26" i="6"/>
  <c r="HL26" i="6"/>
  <c r="HM26" i="6"/>
  <c r="HN26" i="6"/>
  <c r="HO26" i="6"/>
  <c r="HP26" i="6"/>
  <c r="HQ26" i="6"/>
  <c r="HR26" i="6"/>
  <c r="HS26" i="6"/>
  <c r="HT26" i="6"/>
  <c r="HU26" i="6"/>
  <c r="HV26" i="6"/>
  <c r="HW26" i="6"/>
  <c r="HX26" i="6"/>
  <c r="HY26" i="6"/>
  <c r="HZ26" i="6"/>
  <c r="IA26" i="6"/>
  <c r="IB26" i="6"/>
  <c r="IC26" i="6"/>
  <c r="ID26" i="6"/>
  <c r="IE26" i="6"/>
  <c r="IF26" i="6"/>
  <c r="IG26" i="6"/>
  <c r="IH26" i="6"/>
  <c r="II26" i="6"/>
  <c r="IJ26" i="6"/>
  <c r="IK26" i="6"/>
  <c r="IL26" i="6"/>
  <c r="IM26" i="6"/>
  <c r="IN26" i="6"/>
  <c r="IO26" i="6"/>
  <c r="IP26" i="6"/>
  <c r="IQ26" i="6"/>
  <c r="IR26" i="6"/>
  <c r="IS26" i="6"/>
  <c r="IT26" i="6"/>
  <c r="IU26" i="6"/>
  <c r="IV26"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A27" i="6"/>
  <c r="CB27" i="6"/>
  <c r="CC27" i="6"/>
  <c r="CD27" i="6"/>
  <c r="CE27" i="6"/>
  <c r="CF27" i="6"/>
  <c r="CG27" i="6"/>
  <c r="CH27" i="6"/>
  <c r="CI27" i="6"/>
  <c r="CJ27" i="6"/>
  <c r="CK27" i="6"/>
  <c r="CL27" i="6"/>
  <c r="CM27" i="6"/>
  <c r="CN27" i="6"/>
  <c r="CO27" i="6"/>
  <c r="CP27" i="6"/>
  <c r="CQ27" i="6"/>
  <c r="CR27" i="6"/>
  <c r="CS27" i="6"/>
  <c r="CT27" i="6"/>
  <c r="CU27" i="6"/>
  <c r="CV27" i="6"/>
  <c r="CW27" i="6"/>
  <c r="CX27" i="6"/>
  <c r="CY27" i="6"/>
  <c r="CZ27" i="6"/>
  <c r="DA27" i="6"/>
  <c r="DB27" i="6"/>
  <c r="DC27" i="6"/>
  <c r="DD27" i="6"/>
  <c r="DE27" i="6"/>
  <c r="DF27" i="6"/>
  <c r="DG27" i="6"/>
  <c r="DH27" i="6"/>
  <c r="DI27" i="6"/>
  <c r="DJ27" i="6"/>
  <c r="DK27" i="6"/>
  <c r="DL27" i="6"/>
  <c r="DM27" i="6"/>
  <c r="DN27" i="6"/>
  <c r="DO27" i="6"/>
  <c r="DP27" i="6"/>
  <c r="DQ27" i="6"/>
  <c r="DR27" i="6"/>
  <c r="DS27" i="6"/>
  <c r="DT27" i="6"/>
  <c r="DU27" i="6"/>
  <c r="DV27" i="6"/>
  <c r="DW27" i="6"/>
  <c r="DX27" i="6"/>
  <c r="DY27" i="6"/>
  <c r="DZ27" i="6"/>
  <c r="EA27" i="6"/>
  <c r="EB27" i="6"/>
  <c r="EC27" i="6"/>
  <c r="ED27" i="6"/>
  <c r="EE27" i="6"/>
  <c r="EF27" i="6"/>
  <c r="EG27" i="6"/>
  <c r="EH27" i="6"/>
  <c r="EI27" i="6"/>
  <c r="EJ27" i="6"/>
  <c r="EK27" i="6"/>
  <c r="EL27" i="6"/>
  <c r="EM27" i="6"/>
  <c r="EN27" i="6"/>
  <c r="EO27" i="6"/>
  <c r="EP27" i="6"/>
  <c r="EQ27" i="6"/>
  <c r="ER27" i="6"/>
  <c r="ES27" i="6"/>
  <c r="ET27" i="6"/>
  <c r="EU27" i="6"/>
  <c r="EV27" i="6"/>
  <c r="EW27" i="6"/>
  <c r="EX27" i="6"/>
  <c r="EY27" i="6"/>
  <c r="EZ27" i="6"/>
  <c r="FA27" i="6"/>
  <c r="FB27" i="6"/>
  <c r="FC27" i="6"/>
  <c r="FD27" i="6"/>
  <c r="FE27" i="6"/>
  <c r="FF27" i="6"/>
  <c r="FG27" i="6"/>
  <c r="FH27" i="6"/>
  <c r="FI27" i="6"/>
  <c r="FJ27" i="6"/>
  <c r="FK27" i="6"/>
  <c r="FL27" i="6"/>
  <c r="FM27" i="6"/>
  <c r="FN27" i="6"/>
  <c r="FO27" i="6"/>
  <c r="FP27" i="6"/>
  <c r="FQ27" i="6"/>
  <c r="FR27" i="6"/>
  <c r="FS27" i="6"/>
  <c r="FT27" i="6"/>
  <c r="FU27" i="6"/>
  <c r="FV27" i="6"/>
  <c r="FW27" i="6"/>
  <c r="FX27" i="6"/>
  <c r="FY27" i="6"/>
  <c r="FZ27" i="6"/>
  <c r="GA27" i="6"/>
  <c r="GB27" i="6"/>
  <c r="GC27" i="6"/>
  <c r="GD27" i="6"/>
  <c r="GE27" i="6"/>
  <c r="GF27" i="6"/>
  <c r="GG27" i="6"/>
  <c r="GH27" i="6"/>
  <c r="GI27" i="6"/>
  <c r="GJ27" i="6"/>
  <c r="GK27" i="6"/>
  <c r="GL27" i="6"/>
  <c r="GM27" i="6"/>
  <c r="GN27" i="6"/>
  <c r="GO27" i="6"/>
  <c r="GP27" i="6"/>
  <c r="GQ27" i="6"/>
  <c r="GR27" i="6"/>
  <c r="GS27" i="6"/>
  <c r="GT27" i="6"/>
  <c r="GU27" i="6"/>
  <c r="GV27" i="6"/>
  <c r="GW27" i="6"/>
  <c r="GX27" i="6"/>
  <c r="GY27" i="6"/>
  <c r="GZ27" i="6"/>
  <c r="HA27" i="6"/>
  <c r="HB27" i="6"/>
  <c r="HC27" i="6"/>
  <c r="HD27" i="6"/>
  <c r="HE27" i="6"/>
  <c r="HF27" i="6"/>
  <c r="HG27" i="6"/>
  <c r="HH27" i="6"/>
  <c r="HI27" i="6"/>
  <c r="HJ27" i="6"/>
  <c r="HK27" i="6"/>
  <c r="HL27" i="6"/>
  <c r="HM27" i="6"/>
  <c r="HN27" i="6"/>
  <c r="HO27" i="6"/>
  <c r="HP27" i="6"/>
  <c r="HQ27" i="6"/>
  <c r="HR27" i="6"/>
  <c r="HS27" i="6"/>
  <c r="HT27" i="6"/>
  <c r="HU27" i="6"/>
  <c r="HV27" i="6"/>
  <c r="HW27" i="6"/>
  <c r="HX27" i="6"/>
  <c r="HY27" i="6"/>
  <c r="HZ27" i="6"/>
  <c r="IA27" i="6"/>
  <c r="IB27" i="6"/>
  <c r="IC27" i="6"/>
  <c r="ID27" i="6"/>
  <c r="IE27" i="6"/>
  <c r="IF27" i="6"/>
  <c r="IG27" i="6"/>
  <c r="IH27" i="6"/>
  <c r="II27" i="6"/>
  <c r="IJ27" i="6"/>
  <c r="IK27" i="6"/>
  <c r="IL27" i="6"/>
  <c r="IM27" i="6"/>
  <c r="IN27" i="6"/>
  <c r="IO27" i="6"/>
  <c r="IP27" i="6"/>
  <c r="IQ27" i="6"/>
  <c r="IR27" i="6"/>
  <c r="IS27" i="6"/>
  <c r="IT27" i="6"/>
  <c r="IU27" i="6"/>
  <c r="IV27"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V28" i="6"/>
  <c r="BW28" i="6"/>
  <c r="BX28" i="6"/>
  <c r="BY28" i="6"/>
  <c r="BZ28" i="6"/>
  <c r="CA28" i="6"/>
  <c r="CB28" i="6"/>
  <c r="CC28" i="6"/>
  <c r="CD28" i="6"/>
  <c r="CE28" i="6"/>
  <c r="CF28" i="6"/>
  <c r="CG28" i="6"/>
  <c r="CH28" i="6"/>
  <c r="CI28" i="6"/>
  <c r="CJ28" i="6"/>
  <c r="CK28" i="6"/>
  <c r="CL28" i="6"/>
  <c r="CM28" i="6"/>
  <c r="CN28" i="6"/>
  <c r="CO28" i="6"/>
  <c r="CP28" i="6"/>
  <c r="CQ28" i="6"/>
  <c r="CR28" i="6"/>
  <c r="CS28" i="6"/>
  <c r="CT28" i="6"/>
  <c r="CU28" i="6"/>
  <c r="CV28" i="6"/>
  <c r="CW28" i="6"/>
  <c r="CX28" i="6"/>
  <c r="CY28" i="6"/>
  <c r="CZ28" i="6"/>
  <c r="DA28" i="6"/>
  <c r="DB28" i="6"/>
  <c r="DC28" i="6"/>
  <c r="DD28" i="6"/>
  <c r="DE28" i="6"/>
  <c r="DF28" i="6"/>
  <c r="DG28" i="6"/>
  <c r="DH28" i="6"/>
  <c r="DI28" i="6"/>
  <c r="DJ28" i="6"/>
  <c r="DK28" i="6"/>
  <c r="DL28" i="6"/>
  <c r="DM28" i="6"/>
  <c r="DN28" i="6"/>
  <c r="DO28" i="6"/>
  <c r="DP28" i="6"/>
  <c r="DQ28" i="6"/>
  <c r="DR28" i="6"/>
  <c r="DS28" i="6"/>
  <c r="DT28" i="6"/>
  <c r="DU28" i="6"/>
  <c r="DV28" i="6"/>
  <c r="DW28" i="6"/>
  <c r="DX28" i="6"/>
  <c r="DY28" i="6"/>
  <c r="DZ28" i="6"/>
  <c r="EA28" i="6"/>
  <c r="EB28" i="6"/>
  <c r="EC28" i="6"/>
  <c r="ED28" i="6"/>
  <c r="EE28" i="6"/>
  <c r="EF28" i="6"/>
  <c r="EG28" i="6"/>
  <c r="EH28" i="6"/>
  <c r="EI28" i="6"/>
  <c r="EJ28" i="6"/>
  <c r="EK28" i="6"/>
  <c r="EL28" i="6"/>
  <c r="EM28" i="6"/>
  <c r="EN28" i="6"/>
  <c r="EO28" i="6"/>
  <c r="EP28" i="6"/>
  <c r="EQ28" i="6"/>
  <c r="ER28" i="6"/>
  <c r="ES28" i="6"/>
  <c r="ET28" i="6"/>
  <c r="EU28" i="6"/>
  <c r="EV28" i="6"/>
  <c r="EW28" i="6"/>
  <c r="EX28" i="6"/>
  <c r="EY28" i="6"/>
  <c r="EZ28" i="6"/>
  <c r="FA28" i="6"/>
  <c r="FB28" i="6"/>
  <c r="FC28" i="6"/>
  <c r="FD28" i="6"/>
  <c r="FE28" i="6"/>
  <c r="FF28" i="6"/>
  <c r="FG28" i="6"/>
  <c r="FH28" i="6"/>
  <c r="FI28" i="6"/>
  <c r="FJ28" i="6"/>
  <c r="FK28" i="6"/>
  <c r="FL28" i="6"/>
  <c r="FM28" i="6"/>
  <c r="FN28" i="6"/>
  <c r="FO28" i="6"/>
  <c r="FP28" i="6"/>
  <c r="FQ28" i="6"/>
  <c r="FR28" i="6"/>
  <c r="FS28" i="6"/>
  <c r="FT28" i="6"/>
  <c r="FU28" i="6"/>
  <c r="FV28" i="6"/>
  <c r="FW28" i="6"/>
  <c r="FX28" i="6"/>
  <c r="FY28" i="6"/>
  <c r="FZ28" i="6"/>
  <c r="GA28" i="6"/>
  <c r="GB28" i="6"/>
  <c r="GC28" i="6"/>
  <c r="GD28" i="6"/>
  <c r="GE28" i="6"/>
  <c r="GF28" i="6"/>
  <c r="GG28" i="6"/>
  <c r="GH28" i="6"/>
  <c r="GI28" i="6"/>
  <c r="GJ28" i="6"/>
  <c r="GK28" i="6"/>
  <c r="GL28" i="6"/>
  <c r="GM28" i="6"/>
  <c r="GN28" i="6"/>
  <c r="GO28" i="6"/>
  <c r="GP28" i="6"/>
  <c r="GQ28" i="6"/>
  <c r="GR28" i="6"/>
  <c r="GS28" i="6"/>
  <c r="GT28" i="6"/>
  <c r="GU28" i="6"/>
  <c r="GV28" i="6"/>
  <c r="GW28" i="6"/>
  <c r="GX28" i="6"/>
  <c r="GY28" i="6"/>
  <c r="GZ28" i="6"/>
  <c r="HA28" i="6"/>
  <c r="HB28" i="6"/>
  <c r="HC28" i="6"/>
  <c r="HD28" i="6"/>
  <c r="HE28" i="6"/>
  <c r="HF28" i="6"/>
  <c r="HG28" i="6"/>
  <c r="HH28" i="6"/>
  <c r="HI28" i="6"/>
  <c r="HJ28" i="6"/>
  <c r="HK28" i="6"/>
  <c r="HL28" i="6"/>
  <c r="HM28" i="6"/>
  <c r="HN28" i="6"/>
  <c r="HO28" i="6"/>
  <c r="HP28" i="6"/>
  <c r="HQ28" i="6"/>
  <c r="HR28" i="6"/>
  <c r="HS28" i="6"/>
  <c r="HT28" i="6"/>
  <c r="HU28" i="6"/>
  <c r="HV28" i="6"/>
  <c r="HW28" i="6"/>
  <c r="HX28" i="6"/>
  <c r="HY28" i="6"/>
  <c r="HZ28" i="6"/>
  <c r="IA28" i="6"/>
  <c r="IB28" i="6"/>
  <c r="IC28" i="6"/>
  <c r="ID28" i="6"/>
  <c r="IE28" i="6"/>
  <c r="IF28" i="6"/>
  <c r="IG28" i="6"/>
  <c r="IH28" i="6"/>
  <c r="II28" i="6"/>
  <c r="IJ28" i="6"/>
  <c r="IK28" i="6"/>
  <c r="IL28" i="6"/>
  <c r="IM28" i="6"/>
  <c r="IN28" i="6"/>
  <c r="IO28" i="6"/>
  <c r="IP28" i="6"/>
  <c r="IQ28" i="6"/>
  <c r="IR28" i="6"/>
  <c r="IS28" i="6"/>
  <c r="IT28" i="6"/>
  <c r="IU28" i="6"/>
  <c r="IV28"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V29" i="6"/>
  <c r="BW29" i="6"/>
  <c r="BX29" i="6"/>
  <c r="BY29" i="6"/>
  <c r="BZ29" i="6"/>
  <c r="CA29" i="6"/>
  <c r="CB29" i="6"/>
  <c r="CC29" i="6"/>
  <c r="CD29" i="6"/>
  <c r="CE29" i="6"/>
  <c r="CF29" i="6"/>
  <c r="CG29" i="6"/>
  <c r="CH29" i="6"/>
  <c r="CI29" i="6"/>
  <c r="CJ29" i="6"/>
  <c r="CK29" i="6"/>
  <c r="CL29" i="6"/>
  <c r="CM29" i="6"/>
  <c r="CN29" i="6"/>
  <c r="CO29" i="6"/>
  <c r="CP29" i="6"/>
  <c r="CQ29" i="6"/>
  <c r="CR29" i="6"/>
  <c r="CS29" i="6"/>
  <c r="CT29" i="6"/>
  <c r="CU29" i="6"/>
  <c r="CV29" i="6"/>
  <c r="CW29" i="6"/>
  <c r="CX29" i="6"/>
  <c r="CY29" i="6"/>
  <c r="CZ29" i="6"/>
  <c r="DA29" i="6"/>
  <c r="DB29" i="6"/>
  <c r="DC29" i="6"/>
  <c r="DD29" i="6"/>
  <c r="DE29" i="6"/>
  <c r="DF29" i="6"/>
  <c r="DG29" i="6"/>
  <c r="DH29" i="6"/>
  <c r="DI29" i="6"/>
  <c r="DJ29" i="6"/>
  <c r="DK29" i="6"/>
  <c r="DL29" i="6"/>
  <c r="DM29" i="6"/>
  <c r="DN29" i="6"/>
  <c r="DO29" i="6"/>
  <c r="DP29" i="6"/>
  <c r="DQ29" i="6"/>
  <c r="DR29" i="6"/>
  <c r="DS29" i="6"/>
  <c r="DT29" i="6"/>
  <c r="DU29" i="6"/>
  <c r="DV29" i="6"/>
  <c r="DW29" i="6"/>
  <c r="DX29" i="6"/>
  <c r="DY29" i="6"/>
  <c r="DZ29" i="6"/>
  <c r="EA29" i="6"/>
  <c r="EB29" i="6"/>
  <c r="EC29" i="6"/>
  <c r="ED29" i="6"/>
  <c r="EE29" i="6"/>
  <c r="EF29" i="6"/>
  <c r="EG29" i="6"/>
  <c r="EH29" i="6"/>
  <c r="EI29" i="6"/>
  <c r="EJ29" i="6"/>
  <c r="EK29" i="6"/>
  <c r="EL29" i="6"/>
  <c r="EM29" i="6"/>
  <c r="EN29" i="6"/>
  <c r="EO29" i="6"/>
  <c r="EP29" i="6"/>
  <c r="EQ29" i="6"/>
  <c r="ER29" i="6"/>
  <c r="ES29" i="6"/>
  <c r="ET29" i="6"/>
  <c r="EU29" i="6"/>
  <c r="EV29" i="6"/>
  <c r="EW29" i="6"/>
  <c r="EX29" i="6"/>
  <c r="EY29" i="6"/>
  <c r="EZ29" i="6"/>
  <c r="FA29" i="6"/>
  <c r="FB29" i="6"/>
  <c r="FC29" i="6"/>
  <c r="FD29" i="6"/>
  <c r="FE29" i="6"/>
  <c r="FF29" i="6"/>
  <c r="FG29" i="6"/>
  <c r="FH29" i="6"/>
  <c r="FI29" i="6"/>
  <c r="FJ29" i="6"/>
  <c r="FK29" i="6"/>
  <c r="FL29" i="6"/>
  <c r="FM29" i="6"/>
  <c r="FN29" i="6"/>
  <c r="FO29" i="6"/>
  <c r="FP29" i="6"/>
  <c r="FQ29" i="6"/>
  <c r="FR29" i="6"/>
  <c r="FS29" i="6"/>
  <c r="FT29" i="6"/>
  <c r="FU29" i="6"/>
  <c r="FV29" i="6"/>
  <c r="FW29" i="6"/>
  <c r="FX29" i="6"/>
  <c r="FY29" i="6"/>
  <c r="FZ29" i="6"/>
  <c r="GA29" i="6"/>
  <c r="GB29" i="6"/>
  <c r="GC29" i="6"/>
  <c r="GD29" i="6"/>
  <c r="GE29" i="6"/>
  <c r="GF29" i="6"/>
  <c r="GG29" i="6"/>
  <c r="GH29" i="6"/>
  <c r="GI29" i="6"/>
  <c r="GJ29" i="6"/>
  <c r="GK29" i="6"/>
  <c r="GL29" i="6"/>
  <c r="GM29" i="6"/>
  <c r="GN29" i="6"/>
  <c r="GO29" i="6"/>
  <c r="GP29" i="6"/>
  <c r="GQ29" i="6"/>
  <c r="GR29" i="6"/>
  <c r="GS29" i="6"/>
  <c r="GT29" i="6"/>
  <c r="GU29" i="6"/>
  <c r="GV29" i="6"/>
  <c r="GW29" i="6"/>
  <c r="GX29" i="6"/>
  <c r="GY29" i="6"/>
  <c r="GZ29" i="6"/>
  <c r="HA29" i="6"/>
  <c r="HB29" i="6"/>
  <c r="HC29" i="6"/>
  <c r="HD29" i="6"/>
  <c r="HE29" i="6"/>
  <c r="HF29" i="6"/>
  <c r="HG29" i="6"/>
  <c r="HH29" i="6"/>
  <c r="HI29" i="6"/>
  <c r="HJ29" i="6"/>
  <c r="HK29" i="6"/>
  <c r="HL29" i="6"/>
  <c r="HM29" i="6"/>
  <c r="HN29" i="6"/>
  <c r="HO29" i="6"/>
  <c r="HP29" i="6"/>
  <c r="HQ29" i="6"/>
  <c r="HR29" i="6"/>
  <c r="HS29" i="6"/>
  <c r="HT29" i="6"/>
  <c r="HU29" i="6"/>
  <c r="HV29" i="6"/>
  <c r="HW29" i="6"/>
  <c r="HX29" i="6"/>
  <c r="HY29" i="6"/>
  <c r="HZ29" i="6"/>
  <c r="IA29" i="6"/>
  <c r="IB29" i="6"/>
  <c r="IC29" i="6"/>
  <c r="ID29" i="6"/>
  <c r="IE29" i="6"/>
  <c r="IF29" i="6"/>
  <c r="IG29" i="6"/>
  <c r="IH29" i="6"/>
  <c r="II29" i="6"/>
  <c r="IJ29" i="6"/>
  <c r="IK29" i="6"/>
  <c r="IL29" i="6"/>
  <c r="IM29" i="6"/>
  <c r="IN29" i="6"/>
  <c r="IO29" i="6"/>
  <c r="IP29" i="6"/>
  <c r="IQ29" i="6"/>
  <c r="IR29" i="6"/>
  <c r="IS29" i="6"/>
  <c r="IT29" i="6"/>
  <c r="IU29" i="6"/>
  <c r="IV29"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V30" i="6"/>
  <c r="BW30" i="6"/>
  <c r="BX30" i="6"/>
  <c r="BY30" i="6"/>
  <c r="BZ30" i="6"/>
  <c r="CA30" i="6"/>
  <c r="CB30" i="6"/>
  <c r="CC30" i="6"/>
  <c r="CD30" i="6"/>
  <c r="CE30" i="6"/>
  <c r="CF30" i="6"/>
  <c r="CG30" i="6"/>
  <c r="CH30" i="6"/>
  <c r="CI30" i="6"/>
  <c r="CJ30" i="6"/>
  <c r="CK30" i="6"/>
  <c r="CL30" i="6"/>
  <c r="CM30" i="6"/>
  <c r="CN30" i="6"/>
  <c r="CO30" i="6"/>
  <c r="CP30" i="6"/>
  <c r="CQ30" i="6"/>
  <c r="CR30" i="6"/>
  <c r="CS30" i="6"/>
  <c r="CT30" i="6"/>
  <c r="CU30" i="6"/>
  <c r="CV30" i="6"/>
  <c r="CW30" i="6"/>
  <c r="CX30" i="6"/>
  <c r="CY30" i="6"/>
  <c r="CZ30" i="6"/>
  <c r="DA30" i="6"/>
  <c r="DB30" i="6"/>
  <c r="DC30" i="6"/>
  <c r="DD30" i="6"/>
  <c r="DE30" i="6"/>
  <c r="DF30" i="6"/>
  <c r="DG30" i="6"/>
  <c r="DH30" i="6"/>
  <c r="DI30" i="6"/>
  <c r="DJ30" i="6"/>
  <c r="DK30" i="6"/>
  <c r="DL30" i="6"/>
  <c r="DM30" i="6"/>
  <c r="DN30" i="6"/>
  <c r="DO30" i="6"/>
  <c r="DP30" i="6"/>
  <c r="DQ30" i="6"/>
  <c r="DR30" i="6"/>
  <c r="DS30" i="6"/>
  <c r="DT30" i="6"/>
  <c r="DU30" i="6"/>
  <c r="DV30" i="6"/>
  <c r="DW30" i="6"/>
  <c r="DX30" i="6"/>
  <c r="DY30" i="6"/>
  <c r="DZ30" i="6"/>
  <c r="EA30" i="6"/>
  <c r="EB30" i="6"/>
  <c r="EC30" i="6"/>
  <c r="ED30" i="6"/>
  <c r="EE30" i="6"/>
  <c r="EF30" i="6"/>
  <c r="EG30" i="6"/>
  <c r="EH30" i="6"/>
  <c r="EI30" i="6"/>
  <c r="EJ30" i="6"/>
  <c r="EK30" i="6"/>
  <c r="EL30" i="6"/>
  <c r="EM30" i="6"/>
  <c r="EN30" i="6"/>
  <c r="EO30" i="6"/>
  <c r="EP30" i="6"/>
  <c r="EQ30" i="6"/>
  <c r="ER30" i="6"/>
  <c r="ES30" i="6"/>
  <c r="ET30" i="6"/>
  <c r="EU30" i="6"/>
  <c r="EV30" i="6"/>
  <c r="EW30" i="6"/>
  <c r="EX30" i="6"/>
  <c r="EY30" i="6"/>
  <c r="EZ30" i="6"/>
  <c r="FA30" i="6"/>
  <c r="FB30" i="6"/>
  <c r="FC30" i="6"/>
  <c r="FD30" i="6"/>
  <c r="FE30" i="6"/>
  <c r="FF30" i="6"/>
  <c r="FG30" i="6"/>
  <c r="FH30" i="6"/>
  <c r="FI30" i="6"/>
  <c r="FJ30" i="6"/>
  <c r="FK30" i="6"/>
  <c r="FL30" i="6"/>
  <c r="FM30" i="6"/>
  <c r="FN30" i="6"/>
  <c r="FO30" i="6"/>
  <c r="FP30" i="6"/>
  <c r="FQ30" i="6"/>
  <c r="FR30" i="6"/>
  <c r="FS30" i="6"/>
  <c r="FT30" i="6"/>
  <c r="FU30" i="6"/>
  <c r="FV30" i="6"/>
  <c r="FW30" i="6"/>
  <c r="FX30" i="6"/>
  <c r="FY30" i="6"/>
  <c r="FZ30" i="6"/>
  <c r="GA30" i="6"/>
  <c r="GB30" i="6"/>
  <c r="GC30" i="6"/>
  <c r="GD30" i="6"/>
  <c r="GE30" i="6"/>
  <c r="GF30" i="6"/>
  <c r="GG30" i="6"/>
  <c r="GH30" i="6"/>
  <c r="GI30" i="6"/>
  <c r="GJ30" i="6"/>
  <c r="GK30" i="6"/>
  <c r="GL30" i="6"/>
  <c r="GM30" i="6"/>
  <c r="GN30" i="6"/>
  <c r="GO30" i="6"/>
  <c r="GP30" i="6"/>
  <c r="GQ30" i="6"/>
  <c r="GR30" i="6"/>
  <c r="GS30" i="6"/>
  <c r="GT30" i="6"/>
  <c r="GU30" i="6"/>
  <c r="GV30" i="6"/>
  <c r="GW30" i="6"/>
  <c r="GX30" i="6"/>
  <c r="GY30" i="6"/>
  <c r="GZ30" i="6"/>
  <c r="HA30" i="6"/>
  <c r="HB30" i="6"/>
  <c r="HC30" i="6"/>
  <c r="HD30" i="6"/>
  <c r="HE30" i="6"/>
  <c r="HF30" i="6"/>
  <c r="HG30" i="6"/>
  <c r="HH30" i="6"/>
  <c r="HI30" i="6"/>
  <c r="HJ30" i="6"/>
  <c r="HK30" i="6"/>
  <c r="HL30" i="6"/>
  <c r="HM30" i="6"/>
  <c r="HN30" i="6"/>
  <c r="HO30" i="6"/>
  <c r="HP30" i="6"/>
  <c r="HQ30" i="6"/>
  <c r="HR30" i="6"/>
  <c r="HS30" i="6"/>
  <c r="HT30" i="6"/>
  <c r="HU30" i="6"/>
  <c r="HV30" i="6"/>
  <c r="HW30" i="6"/>
  <c r="HX30" i="6"/>
  <c r="HY30" i="6"/>
  <c r="HZ30" i="6"/>
  <c r="IA30" i="6"/>
  <c r="IB30" i="6"/>
  <c r="IC30" i="6"/>
  <c r="ID30" i="6"/>
  <c r="IE30" i="6"/>
  <c r="IF30" i="6"/>
  <c r="IG30" i="6"/>
  <c r="IH30" i="6"/>
  <c r="II30" i="6"/>
  <c r="IJ30" i="6"/>
  <c r="IK30" i="6"/>
  <c r="IL30" i="6"/>
  <c r="IM30" i="6"/>
  <c r="IN30" i="6"/>
  <c r="IO30" i="6"/>
  <c r="IP30" i="6"/>
  <c r="IQ30" i="6"/>
  <c r="IR30" i="6"/>
  <c r="IS30" i="6"/>
  <c r="IT30" i="6"/>
  <c r="IU30" i="6"/>
  <c r="IV30"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T31" i="6"/>
  <c r="CU31" i="6"/>
  <c r="CV31" i="6"/>
  <c r="CW31" i="6"/>
  <c r="CX31" i="6"/>
  <c r="CY31" i="6"/>
  <c r="CZ31" i="6"/>
  <c r="DA31" i="6"/>
  <c r="DB31" i="6"/>
  <c r="DC31" i="6"/>
  <c r="DD31" i="6"/>
  <c r="DE31" i="6"/>
  <c r="DF31" i="6"/>
  <c r="DG31" i="6"/>
  <c r="DH31" i="6"/>
  <c r="DI31" i="6"/>
  <c r="DJ31" i="6"/>
  <c r="DK31" i="6"/>
  <c r="DL31" i="6"/>
  <c r="DM31" i="6"/>
  <c r="DN31" i="6"/>
  <c r="DO31" i="6"/>
  <c r="DP31" i="6"/>
  <c r="DQ31" i="6"/>
  <c r="DR31" i="6"/>
  <c r="DS31" i="6"/>
  <c r="DT31" i="6"/>
  <c r="DU31" i="6"/>
  <c r="DV31" i="6"/>
  <c r="DW31" i="6"/>
  <c r="DX31" i="6"/>
  <c r="DY31" i="6"/>
  <c r="DZ31" i="6"/>
  <c r="EA31" i="6"/>
  <c r="EB31" i="6"/>
  <c r="EC31" i="6"/>
  <c r="ED31" i="6"/>
  <c r="EE31" i="6"/>
  <c r="EF31" i="6"/>
  <c r="EG31" i="6"/>
  <c r="EH31" i="6"/>
  <c r="EI31" i="6"/>
  <c r="EJ31" i="6"/>
  <c r="EK31" i="6"/>
  <c r="EL31" i="6"/>
  <c r="EM31" i="6"/>
  <c r="EN31" i="6"/>
  <c r="EO31" i="6"/>
  <c r="EP31" i="6"/>
  <c r="EQ31" i="6"/>
  <c r="ER31" i="6"/>
  <c r="ES31" i="6"/>
  <c r="ET31" i="6"/>
  <c r="EU31" i="6"/>
  <c r="EV31" i="6"/>
  <c r="EW31" i="6"/>
  <c r="EX31" i="6"/>
  <c r="EY31" i="6"/>
  <c r="EZ31" i="6"/>
  <c r="FA31" i="6"/>
  <c r="FB31" i="6"/>
  <c r="FC31" i="6"/>
  <c r="FD31" i="6"/>
  <c r="FE31" i="6"/>
  <c r="FF31" i="6"/>
  <c r="FG31" i="6"/>
  <c r="FH31" i="6"/>
  <c r="FI31" i="6"/>
  <c r="FJ31" i="6"/>
  <c r="FK31" i="6"/>
  <c r="FL31" i="6"/>
  <c r="FM31" i="6"/>
  <c r="FN31" i="6"/>
  <c r="FO31" i="6"/>
  <c r="FP31" i="6"/>
  <c r="FQ31" i="6"/>
  <c r="FR31" i="6"/>
  <c r="FS31" i="6"/>
  <c r="FT31" i="6"/>
  <c r="FU31" i="6"/>
  <c r="FV31" i="6"/>
  <c r="FW31" i="6"/>
  <c r="FX31" i="6"/>
  <c r="FY31" i="6"/>
  <c r="FZ31" i="6"/>
  <c r="GA31" i="6"/>
  <c r="GB31" i="6"/>
  <c r="GC31" i="6"/>
  <c r="GD31" i="6"/>
  <c r="GE31" i="6"/>
  <c r="GF31" i="6"/>
  <c r="GG31" i="6"/>
  <c r="GH31" i="6"/>
  <c r="GI31" i="6"/>
  <c r="GJ31" i="6"/>
  <c r="GK31" i="6"/>
  <c r="GL31" i="6"/>
  <c r="GM31" i="6"/>
  <c r="GN31" i="6"/>
  <c r="GO31" i="6"/>
  <c r="GP31" i="6"/>
  <c r="GQ31" i="6"/>
  <c r="GR31" i="6"/>
  <c r="GS31" i="6"/>
  <c r="GT31" i="6"/>
  <c r="GU31" i="6"/>
  <c r="GV31" i="6"/>
  <c r="GW31" i="6"/>
  <c r="GX31" i="6"/>
  <c r="GY31" i="6"/>
  <c r="GZ31" i="6"/>
  <c r="HA31" i="6"/>
  <c r="HB31" i="6"/>
  <c r="HC31" i="6"/>
  <c r="HD31" i="6"/>
  <c r="HE31" i="6"/>
  <c r="HF31" i="6"/>
  <c r="HG31" i="6"/>
  <c r="HH31" i="6"/>
  <c r="HI31" i="6"/>
  <c r="HJ31" i="6"/>
  <c r="HK31" i="6"/>
  <c r="HL31" i="6"/>
  <c r="HM31" i="6"/>
  <c r="HN31" i="6"/>
  <c r="HO31" i="6"/>
  <c r="HP31" i="6"/>
  <c r="HQ31" i="6"/>
  <c r="HR31" i="6"/>
  <c r="HS31" i="6"/>
  <c r="HT31" i="6"/>
  <c r="HU31" i="6"/>
  <c r="HV31" i="6"/>
  <c r="HW31" i="6"/>
  <c r="HX31" i="6"/>
  <c r="HY31" i="6"/>
  <c r="HZ31" i="6"/>
  <c r="IA31" i="6"/>
  <c r="IB31" i="6"/>
  <c r="IC31" i="6"/>
  <c r="ID31" i="6"/>
  <c r="IE31" i="6"/>
  <c r="IF31" i="6"/>
  <c r="IG31" i="6"/>
  <c r="IH31" i="6"/>
  <c r="II31" i="6"/>
  <c r="IJ31" i="6"/>
  <c r="IK31" i="6"/>
  <c r="IL31" i="6"/>
  <c r="IM31" i="6"/>
  <c r="IN31" i="6"/>
  <c r="IO31" i="6"/>
  <c r="IP31" i="6"/>
  <c r="IQ31" i="6"/>
  <c r="IR31" i="6"/>
  <c r="IS31" i="6"/>
  <c r="IT31" i="6"/>
  <c r="IU31" i="6"/>
  <c r="IV31"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BN32" i="6"/>
  <c r="BO32" i="6"/>
  <c r="BP32" i="6"/>
  <c r="BQ32" i="6"/>
  <c r="BR32" i="6"/>
  <c r="BS32" i="6"/>
  <c r="BT32" i="6"/>
  <c r="BU32" i="6"/>
  <c r="BV32" i="6"/>
  <c r="BW32" i="6"/>
  <c r="BX32" i="6"/>
  <c r="BY32" i="6"/>
  <c r="BZ32" i="6"/>
  <c r="CA32" i="6"/>
  <c r="CB32" i="6"/>
  <c r="CC32" i="6"/>
  <c r="CD32" i="6"/>
  <c r="CE32" i="6"/>
  <c r="CF32" i="6"/>
  <c r="CG32" i="6"/>
  <c r="CH32" i="6"/>
  <c r="CI32" i="6"/>
  <c r="CJ32" i="6"/>
  <c r="CK32" i="6"/>
  <c r="CL32" i="6"/>
  <c r="CM32" i="6"/>
  <c r="CN32" i="6"/>
  <c r="CO32" i="6"/>
  <c r="CP32" i="6"/>
  <c r="CQ32" i="6"/>
  <c r="CR32" i="6"/>
  <c r="CS32" i="6"/>
  <c r="CT32" i="6"/>
  <c r="CU32" i="6"/>
  <c r="CV32" i="6"/>
  <c r="CW32" i="6"/>
  <c r="CX32" i="6"/>
  <c r="CY32" i="6"/>
  <c r="CZ32" i="6"/>
  <c r="DA32" i="6"/>
  <c r="DB32" i="6"/>
  <c r="DC32" i="6"/>
  <c r="DD32" i="6"/>
  <c r="DE32" i="6"/>
  <c r="DF32" i="6"/>
  <c r="DG32" i="6"/>
  <c r="DH32" i="6"/>
  <c r="DI32" i="6"/>
  <c r="DJ32" i="6"/>
  <c r="DK32" i="6"/>
  <c r="DL32" i="6"/>
  <c r="DM32" i="6"/>
  <c r="DN32" i="6"/>
  <c r="DO32" i="6"/>
  <c r="DP32" i="6"/>
  <c r="DQ32" i="6"/>
  <c r="DR32" i="6"/>
  <c r="DS32" i="6"/>
  <c r="DT32" i="6"/>
  <c r="DU32" i="6"/>
  <c r="DV32" i="6"/>
  <c r="DW32" i="6"/>
  <c r="DX32" i="6"/>
  <c r="DY32" i="6"/>
  <c r="DZ32" i="6"/>
  <c r="EA32" i="6"/>
  <c r="EB32" i="6"/>
  <c r="EC32" i="6"/>
  <c r="ED32" i="6"/>
  <c r="EE32" i="6"/>
  <c r="EF32" i="6"/>
  <c r="EG32" i="6"/>
  <c r="EH32" i="6"/>
  <c r="EI32" i="6"/>
  <c r="EJ32" i="6"/>
  <c r="EK32" i="6"/>
  <c r="EL32" i="6"/>
  <c r="EM32" i="6"/>
  <c r="EN32" i="6"/>
  <c r="EO32" i="6"/>
  <c r="EP32" i="6"/>
  <c r="EQ32" i="6"/>
  <c r="ER32" i="6"/>
  <c r="ES32" i="6"/>
  <c r="ET32" i="6"/>
  <c r="EU32" i="6"/>
  <c r="EV32" i="6"/>
  <c r="EW32" i="6"/>
  <c r="EX32" i="6"/>
  <c r="EY32" i="6"/>
  <c r="EZ32" i="6"/>
  <c r="FA32" i="6"/>
  <c r="FB32" i="6"/>
  <c r="FC32" i="6"/>
  <c r="FD32" i="6"/>
  <c r="FE32" i="6"/>
  <c r="FF32" i="6"/>
  <c r="FG32" i="6"/>
  <c r="FH32" i="6"/>
  <c r="FI32" i="6"/>
  <c r="FJ32" i="6"/>
  <c r="FK32" i="6"/>
  <c r="FL32" i="6"/>
  <c r="FM32" i="6"/>
  <c r="FN32" i="6"/>
  <c r="FO32" i="6"/>
  <c r="FP32" i="6"/>
  <c r="FQ32" i="6"/>
  <c r="FR32" i="6"/>
  <c r="FS32" i="6"/>
  <c r="FT32" i="6"/>
  <c r="FU32" i="6"/>
  <c r="FV32" i="6"/>
  <c r="FW32" i="6"/>
  <c r="FX32" i="6"/>
  <c r="FY32" i="6"/>
  <c r="FZ32" i="6"/>
  <c r="GA32" i="6"/>
  <c r="GB32" i="6"/>
  <c r="GC32" i="6"/>
  <c r="GD32" i="6"/>
  <c r="GE32" i="6"/>
  <c r="GF32" i="6"/>
  <c r="GG32" i="6"/>
  <c r="GH32" i="6"/>
  <c r="GI32" i="6"/>
  <c r="GJ32" i="6"/>
  <c r="GK32" i="6"/>
  <c r="GL32" i="6"/>
  <c r="GM32" i="6"/>
  <c r="GN32" i="6"/>
  <c r="GO32" i="6"/>
  <c r="GP32" i="6"/>
  <c r="GQ32" i="6"/>
  <c r="GR32" i="6"/>
  <c r="GS32" i="6"/>
  <c r="GT32" i="6"/>
  <c r="GU32" i="6"/>
  <c r="GV32" i="6"/>
  <c r="GW32" i="6"/>
  <c r="GX32" i="6"/>
  <c r="GY32" i="6"/>
  <c r="GZ32" i="6"/>
  <c r="HA32" i="6"/>
  <c r="HB32" i="6"/>
  <c r="HC32" i="6"/>
  <c r="HD32" i="6"/>
  <c r="HE32" i="6"/>
  <c r="HF32" i="6"/>
  <c r="HG32" i="6"/>
  <c r="HH32" i="6"/>
  <c r="HI32" i="6"/>
  <c r="HJ32" i="6"/>
  <c r="HK32" i="6"/>
  <c r="HL32" i="6"/>
  <c r="HM32" i="6"/>
  <c r="HN32" i="6"/>
  <c r="HO32" i="6"/>
  <c r="HP32" i="6"/>
  <c r="HQ32" i="6"/>
  <c r="HR32" i="6"/>
  <c r="HS32" i="6"/>
  <c r="HT32" i="6"/>
  <c r="HU32" i="6"/>
  <c r="HV32" i="6"/>
  <c r="HW32" i="6"/>
  <c r="HX32" i="6"/>
  <c r="HY32" i="6"/>
  <c r="HZ32" i="6"/>
  <c r="IA32" i="6"/>
  <c r="IB32" i="6"/>
  <c r="IC32" i="6"/>
  <c r="ID32" i="6"/>
  <c r="IE32" i="6"/>
  <c r="IF32" i="6"/>
  <c r="IG32" i="6"/>
  <c r="IH32" i="6"/>
  <c r="II32" i="6"/>
  <c r="IJ32" i="6"/>
  <c r="IK32" i="6"/>
  <c r="IL32" i="6"/>
  <c r="IM32" i="6"/>
  <c r="IN32" i="6"/>
  <c r="IO32" i="6"/>
  <c r="IP32" i="6"/>
  <c r="IQ32" i="6"/>
  <c r="IR32" i="6"/>
  <c r="IS32" i="6"/>
  <c r="IT32" i="6"/>
  <c r="IU32" i="6"/>
  <c r="IV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V33" i="6"/>
  <c r="BW33" i="6"/>
  <c r="BX33" i="6"/>
  <c r="BY33" i="6"/>
  <c r="BZ33" i="6"/>
  <c r="CA33" i="6"/>
  <c r="CB33" i="6"/>
  <c r="CC33" i="6"/>
  <c r="CD33" i="6"/>
  <c r="CE33" i="6"/>
  <c r="CF33" i="6"/>
  <c r="CG33" i="6"/>
  <c r="CH33" i="6"/>
  <c r="CI33" i="6"/>
  <c r="CJ33" i="6"/>
  <c r="CK33" i="6"/>
  <c r="CL33" i="6"/>
  <c r="CM33" i="6"/>
  <c r="CN33" i="6"/>
  <c r="CO33" i="6"/>
  <c r="CP33" i="6"/>
  <c r="CQ33" i="6"/>
  <c r="CR33" i="6"/>
  <c r="CS33" i="6"/>
  <c r="CT33" i="6"/>
  <c r="CU33" i="6"/>
  <c r="CV33" i="6"/>
  <c r="CW33" i="6"/>
  <c r="CX33" i="6"/>
  <c r="CY33" i="6"/>
  <c r="CZ33" i="6"/>
  <c r="DA33" i="6"/>
  <c r="DB33" i="6"/>
  <c r="DC33" i="6"/>
  <c r="DD33" i="6"/>
  <c r="DE33" i="6"/>
  <c r="DF33" i="6"/>
  <c r="DG33" i="6"/>
  <c r="DH33" i="6"/>
  <c r="DI33" i="6"/>
  <c r="DJ33" i="6"/>
  <c r="DK33" i="6"/>
  <c r="DL33" i="6"/>
  <c r="DM33" i="6"/>
  <c r="DN33" i="6"/>
  <c r="DO33" i="6"/>
  <c r="DP33" i="6"/>
  <c r="DQ33" i="6"/>
  <c r="DR33" i="6"/>
  <c r="DS33" i="6"/>
  <c r="DT33" i="6"/>
  <c r="DU33" i="6"/>
  <c r="DV33" i="6"/>
  <c r="DW33" i="6"/>
  <c r="DX33" i="6"/>
  <c r="DY33" i="6"/>
  <c r="DZ33" i="6"/>
  <c r="EA33" i="6"/>
  <c r="EB33" i="6"/>
  <c r="EC33" i="6"/>
  <c r="ED33" i="6"/>
  <c r="EE33" i="6"/>
  <c r="EF33" i="6"/>
  <c r="EG33" i="6"/>
  <c r="EH33" i="6"/>
  <c r="EI33" i="6"/>
  <c r="EJ33" i="6"/>
  <c r="EK33" i="6"/>
  <c r="EL33" i="6"/>
  <c r="EM33" i="6"/>
  <c r="EN33" i="6"/>
  <c r="EO33" i="6"/>
  <c r="EP33" i="6"/>
  <c r="EQ33" i="6"/>
  <c r="ER33" i="6"/>
  <c r="ES33" i="6"/>
  <c r="ET33" i="6"/>
  <c r="EU33" i="6"/>
  <c r="EV33" i="6"/>
  <c r="EW33" i="6"/>
  <c r="EX33" i="6"/>
  <c r="EY33" i="6"/>
  <c r="EZ33" i="6"/>
  <c r="FA33" i="6"/>
  <c r="FB33" i="6"/>
  <c r="FC33" i="6"/>
  <c r="FD33" i="6"/>
  <c r="FE33" i="6"/>
  <c r="FF33" i="6"/>
  <c r="FG33" i="6"/>
  <c r="FH33" i="6"/>
  <c r="FI33" i="6"/>
  <c r="FJ33" i="6"/>
  <c r="FK33" i="6"/>
  <c r="FL33" i="6"/>
  <c r="FM33" i="6"/>
  <c r="FN33" i="6"/>
  <c r="FO33" i="6"/>
  <c r="FP33" i="6"/>
  <c r="FQ33" i="6"/>
  <c r="FR33" i="6"/>
  <c r="FS33" i="6"/>
  <c r="FT33" i="6"/>
  <c r="FU33" i="6"/>
  <c r="FV33" i="6"/>
  <c r="FW33" i="6"/>
  <c r="FX33" i="6"/>
  <c r="FY33" i="6"/>
  <c r="FZ33" i="6"/>
  <c r="GA33" i="6"/>
  <c r="GB33" i="6"/>
  <c r="GC33" i="6"/>
  <c r="GD33" i="6"/>
  <c r="GE33" i="6"/>
  <c r="GF33" i="6"/>
  <c r="GG33" i="6"/>
  <c r="GH33" i="6"/>
  <c r="GI33" i="6"/>
  <c r="GJ33" i="6"/>
  <c r="GK33" i="6"/>
  <c r="GL33" i="6"/>
  <c r="GM33" i="6"/>
  <c r="GN33" i="6"/>
  <c r="GO33" i="6"/>
  <c r="GP33" i="6"/>
  <c r="GQ33" i="6"/>
  <c r="GR33" i="6"/>
  <c r="GS33" i="6"/>
  <c r="GT33" i="6"/>
  <c r="GU33" i="6"/>
  <c r="GV33" i="6"/>
  <c r="GW33" i="6"/>
  <c r="GX33" i="6"/>
  <c r="GY33" i="6"/>
  <c r="GZ33" i="6"/>
  <c r="HA33" i="6"/>
  <c r="HB33" i="6"/>
  <c r="HC33" i="6"/>
  <c r="HD33" i="6"/>
  <c r="HE33" i="6"/>
  <c r="HF33" i="6"/>
  <c r="HG33" i="6"/>
  <c r="HH33" i="6"/>
  <c r="HI33" i="6"/>
  <c r="HJ33" i="6"/>
  <c r="HK33" i="6"/>
  <c r="HL33" i="6"/>
  <c r="HM33" i="6"/>
  <c r="HN33" i="6"/>
  <c r="HO33" i="6"/>
  <c r="HP33" i="6"/>
  <c r="HQ33" i="6"/>
  <c r="HR33" i="6"/>
  <c r="HS33" i="6"/>
  <c r="HT33" i="6"/>
  <c r="HU33" i="6"/>
  <c r="HV33" i="6"/>
  <c r="HW33" i="6"/>
  <c r="HX33" i="6"/>
  <c r="HY33" i="6"/>
  <c r="HZ33" i="6"/>
  <c r="IA33" i="6"/>
  <c r="IB33" i="6"/>
  <c r="IC33" i="6"/>
  <c r="ID33" i="6"/>
  <c r="IE33" i="6"/>
  <c r="IF33" i="6"/>
  <c r="IG33" i="6"/>
  <c r="IH33" i="6"/>
  <c r="II33" i="6"/>
  <c r="IJ33" i="6"/>
  <c r="IK33" i="6"/>
  <c r="IL33" i="6"/>
  <c r="IM33" i="6"/>
  <c r="IN33" i="6"/>
  <c r="IO33" i="6"/>
  <c r="IP33" i="6"/>
  <c r="IQ33" i="6"/>
  <c r="IR33" i="6"/>
  <c r="IS33" i="6"/>
  <c r="IT33" i="6"/>
  <c r="IU33" i="6"/>
  <c r="IV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A34" i="6"/>
  <c r="CB34" i="6"/>
  <c r="CC34" i="6"/>
  <c r="CD34" i="6"/>
  <c r="CE34" i="6"/>
  <c r="CF34" i="6"/>
  <c r="CG34" i="6"/>
  <c r="CH34" i="6"/>
  <c r="CI34" i="6"/>
  <c r="CJ34" i="6"/>
  <c r="CK34" i="6"/>
  <c r="CL34" i="6"/>
  <c r="CM34" i="6"/>
  <c r="CN34" i="6"/>
  <c r="CO34" i="6"/>
  <c r="CP34" i="6"/>
  <c r="CQ34" i="6"/>
  <c r="CR34" i="6"/>
  <c r="CS34" i="6"/>
  <c r="CT34" i="6"/>
  <c r="CU34" i="6"/>
  <c r="CV34" i="6"/>
  <c r="CW34" i="6"/>
  <c r="CX34" i="6"/>
  <c r="CY34" i="6"/>
  <c r="CZ34" i="6"/>
  <c r="DA34" i="6"/>
  <c r="DB34" i="6"/>
  <c r="DC34" i="6"/>
  <c r="DD34" i="6"/>
  <c r="DE34" i="6"/>
  <c r="DF34" i="6"/>
  <c r="DG34" i="6"/>
  <c r="DH34" i="6"/>
  <c r="DI34" i="6"/>
  <c r="DJ34" i="6"/>
  <c r="DK34" i="6"/>
  <c r="DL34" i="6"/>
  <c r="DM34" i="6"/>
  <c r="DN34" i="6"/>
  <c r="DO34" i="6"/>
  <c r="DP34" i="6"/>
  <c r="DQ34" i="6"/>
  <c r="DR34" i="6"/>
  <c r="DS34" i="6"/>
  <c r="DT34" i="6"/>
  <c r="DU34" i="6"/>
  <c r="DV34" i="6"/>
  <c r="DW34" i="6"/>
  <c r="DX34" i="6"/>
  <c r="DY34" i="6"/>
  <c r="DZ34" i="6"/>
  <c r="EA34" i="6"/>
  <c r="EB34" i="6"/>
  <c r="EC34" i="6"/>
  <c r="ED34" i="6"/>
  <c r="EE34" i="6"/>
  <c r="EF34" i="6"/>
  <c r="EG34" i="6"/>
  <c r="EH34" i="6"/>
  <c r="EI34" i="6"/>
  <c r="EJ34" i="6"/>
  <c r="EK34" i="6"/>
  <c r="EL34" i="6"/>
  <c r="EM34" i="6"/>
  <c r="EN34" i="6"/>
  <c r="EO34" i="6"/>
  <c r="EP34" i="6"/>
  <c r="EQ34" i="6"/>
  <c r="ER34" i="6"/>
  <c r="ES34" i="6"/>
  <c r="ET34" i="6"/>
  <c r="EU34" i="6"/>
  <c r="EV34" i="6"/>
  <c r="EW34" i="6"/>
  <c r="EX34" i="6"/>
  <c r="EY34" i="6"/>
  <c r="EZ34" i="6"/>
  <c r="FA34" i="6"/>
  <c r="FB34" i="6"/>
  <c r="FC34" i="6"/>
  <c r="FD34" i="6"/>
  <c r="FE34" i="6"/>
  <c r="FF34" i="6"/>
  <c r="FG34" i="6"/>
  <c r="FH34" i="6"/>
  <c r="FI34" i="6"/>
  <c r="FJ34" i="6"/>
  <c r="FK34" i="6"/>
  <c r="FL34" i="6"/>
  <c r="FM34" i="6"/>
  <c r="FN34" i="6"/>
  <c r="FO34" i="6"/>
  <c r="FP34" i="6"/>
  <c r="FQ34" i="6"/>
  <c r="FR34" i="6"/>
  <c r="FS34" i="6"/>
  <c r="FT34" i="6"/>
  <c r="FU34" i="6"/>
  <c r="FV34" i="6"/>
  <c r="FW34" i="6"/>
  <c r="FX34" i="6"/>
  <c r="FY34" i="6"/>
  <c r="FZ34" i="6"/>
  <c r="GA34" i="6"/>
  <c r="GB34" i="6"/>
  <c r="GC34" i="6"/>
  <c r="GD34" i="6"/>
  <c r="GE34" i="6"/>
  <c r="GF34" i="6"/>
  <c r="GG34" i="6"/>
  <c r="GH34" i="6"/>
  <c r="GI34" i="6"/>
  <c r="GJ34" i="6"/>
  <c r="GK34" i="6"/>
  <c r="GL34" i="6"/>
  <c r="GM34" i="6"/>
  <c r="GN34" i="6"/>
  <c r="GO34" i="6"/>
  <c r="GP34" i="6"/>
  <c r="GQ34" i="6"/>
  <c r="GR34" i="6"/>
  <c r="GS34" i="6"/>
  <c r="GT34" i="6"/>
  <c r="GU34" i="6"/>
  <c r="GV34" i="6"/>
  <c r="GW34" i="6"/>
  <c r="GX34" i="6"/>
  <c r="GY34" i="6"/>
  <c r="GZ34" i="6"/>
  <c r="HA34" i="6"/>
  <c r="HB34" i="6"/>
  <c r="HC34" i="6"/>
  <c r="HD34" i="6"/>
  <c r="HE34" i="6"/>
  <c r="HF34" i="6"/>
  <c r="HG34" i="6"/>
  <c r="HH34" i="6"/>
  <c r="HI34" i="6"/>
  <c r="HJ34" i="6"/>
  <c r="HK34" i="6"/>
  <c r="HL34" i="6"/>
  <c r="HM34" i="6"/>
  <c r="HN34" i="6"/>
  <c r="HO34" i="6"/>
  <c r="HP34" i="6"/>
  <c r="HQ34" i="6"/>
  <c r="HR34" i="6"/>
  <c r="HS34" i="6"/>
  <c r="HT34" i="6"/>
  <c r="HU34" i="6"/>
  <c r="HV34" i="6"/>
  <c r="HW34" i="6"/>
  <c r="HX34" i="6"/>
  <c r="HY34" i="6"/>
  <c r="HZ34" i="6"/>
  <c r="IA34" i="6"/>
  <c r="IB34" i="6"/>
  <c r="IC34" i="6"/>
  <c r="ID34" i="6"/>
  <c r="IE34" i="6"/>
  <c r="IF34" i="6"/>
  <c r="IG34" i="6"/>
  <c r="IH34" i="6"/>
  <c r="II34" i="6"/>
  <c r="IJ34" i="6"/>
  <c r="IK34" i="6"/>
  <c r="IL34" i="6"/>
  <c r="IM34" i="6"/>
  <c r="IN34" i="6"/>
  <c r="IO34" i="6"/>
  <c r="IP34" i="6"/>
  <c r="IQ34" i="6"/>
  <c r="IR34" i="6"/>
  <c r="IS34" i="6"/>
  <c r="IT34" i="6"/>
  <c r="IU34" i="6"/>
  <c r="IV34"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M35" i="6"/>
  <c r="BN35" i="6"/>
  <c r="BO35" i="6"/>
  <c r="BP35" i="6"/>
  <c r="BQ35" i="6"/>
  <c r="BR35" i="6"/>
  <c r="BS35" i="6"/>
  <c r="BT35" i="6"/>
  <c r="BU35" i="6"/>
  <c r="BV35" i="6"/>
  <c r="BW35" i="6"/>
  <c r="BX35" i="6"/>
  <c r="BY35" i="6"/>
  <c r="BZ35" i="6"/>
  <c r="CA35" i="6"/>
  <c r="CB35" i="6"/>
  <c r="CC35" i="6"/>
  <c r="CD35" i="6"/>
  <c r="CE35" i="6"/>
  <c r="CF35" i="6"/>
  <c r="CG35" i="6"/>
  <c r="CH35" i="6"/>
  <c r="CI35" i="6"/>
  <c r="CJ35" i="6"/>
  <c r="CK35" i="6"/>
  <c r="CL35" i="6"/>
  <c r="CM35" i="6"/>
  <c r="CN35" i="6"/>
  <c r="CO35" i="6"/>
  <c r="CP35" i="6"/>
  <c r="CQ35" i="6"/>
  <c r="CR35" i="6"/>
  <c r="CS35" i="6"/>
  <c r="CT35" i="6"/>
  <c r="CU35" i="6"/>
  <c r="CV35" i="6"/>
  <c r="CW35" i="6"/>
  <c r="CX35" i="6"/>
  <c r="CY35" i="6"/>
  <c r="CZ35" i="6"/>
  <c r="DA35" i="6"/>
  <c r="DB35" i="6"/>
  <c r="DC35" i="6"/>
  <c r="DD35" i="6"/>
  <c r="DE35" i="6"/>
  <c r="DF35" i="6"/>
  <c r="DG35" i="6"/>
  <c r="DH35" i="6"/>
  <c r="DI35" i="6"/>
  <c r="DJ35" i="6"/>
  <c r="DK35" i="6"/>
  <c r="DL35" i="6"/>
  <c r="DM35" i="6"/>
  <c r="DN35" i="6"/>
  <c r="DO35" i="6"/>
  <c r="DP35" i="6"/>
  <c r="DQ35" i="6"/>
  <c r="DR35" i="6"/>
  <c r="DS35" i="6"/>
  <c r="DT35" i="6"/>
  <c r="DU35" i="6"/>
  <c r="DV35" i="6"/>
  <c r="DW35" i="6"/>
  <c r="DX35" i="6"/>
  <c r="DY35" i="6"/>
  <c r="DZ35" i="6"/>
  <c r="EA35" i="6"/>
  <c r="EB35" i="6"/>
  <c r="EC35" i="6"/>
  <c r="ED35" i="6"/>
  <c r="EE35" i="6"/>
  <c r="EF35" i="6"/>
  <c r="EG35" i="6"/>
  <c r="EH35" i="6"/>
  <c r="EI35" i="6"/>
  <c r="EJ35" i="6"/>
  <c r="EK35" i="6"/>
  <c r="EL35" i="6"/>
  <c r="EM35" i="6"/>
  <c r="EN35" i="6"/>
  <c r="EO35" i="6"/>
  <c r="EP35" i="6"/>
  <c r="EQ35" i="6"/>
  <c r="ER35" i="6"/>
  <c r="ES35" i="6"/>
  <c r="ET35" i="6"/>
  <c r="EU35" i="6"/>
  <c r="EV35" i="6"/>
  <c r="EW35" i="6"/>
  <c r="EX35" i="6"/>
  <c r="EY35" i="6"/>
  <c r="EZ35" i="6"/>
  <c r="FA35" i="6"/>
  <c r="FB35" i="6"/>
  <c r="FC35" i="6"/>
  <c r="FD35" i="6"/>
  <c r="FE35" i="6"/>
  <c r="FF35" i="6"/>
  <c r="FG35" i="6"/>
  <c r="FH35" i="6"/>
  <c r="FI35" i="6"/>
  <c r="FJ35" i="6"/>
  <c r="FK35" i="6"/>
  <c r="FL35" i="6"/>
  <c r="FM35" i="6"/>
  <c r="FN35" i="6"/>
  <c r="FO35" i="6"/>
  <c r="FP35" i="6"/>
  <c r="FQ35" i="6"/>
  <c r="FR35" i="6"/>
  <c r="FS35" i="6"/>
  <c r="FT35" i="6"/>
  <c r="FU35" i="6"/>
  <c r="FV35" i="6"/>
  <c r="FW35" i="6"/>
  <c r="FX35" i="6"/>
  <c r="FY35" i="6"/>
  <c r="FZ35" i="6"/>
  <c r="GA35" i="6"/>
  <c r="GB35" i="6"/>
  <c r="GC35" i="6"/>
  <c r="GD35" i="6"/>
  <c r="GE35" i="6"/>
  <c r="GF35" i="6"/>
  <c r="GG35" i="6"/>
  <c r="GH35" i="6"/>
  <c r="GI35" i="6"/>
  <c r="GJ35" i="6"/>
  <c r="GK35" i="6"/>
  <c r="GL35" i="6"/>
  <c r="GM35" i="6"/>
  <c r="GN35" i="6"/>
  <c r="GO35" i="6"/>
  <c r="GP35" i="6"/>
  <c r="GQ35" i="6"/>
  <c r="GR35" i="6"/>
  <c r="GS35" i="6"/>
  <c r="GT35" i="6"/>
  <c r="GU35" i="6"/>
  <c r="GV35" i="6"/>
  <c r="GW35" i="6"/>
  <c r="GX35" i="6"/>
  <c r="GY35" i="6"/>
  <c r="GZ35" i="6"/>
  <c r="HA35" i="6"/>
  <c r="HB35" i="6"/>
  <c r="HC35" i="6"/>
  <c r="HD35" i="6"/>
  <c r="HE35" i="6"/>
  <c r="HF35" i="6"/>
  <c r="HG35" i="6"/>
  <c r="HH35" i="6"/>
  <c r="HI35" i="6"/>
  <c r="HJ35" i="6"/>
  <c r="HK35" i="6"/>
  <c r="HL35" i="6"/>
  <c r="HM35" i="6"/>
  <c r="HN35" i="6"/>
  <c r="HO35" i="6"/>
  <c r="HP35" i="6"/>
  <c r="HQ35" i="6"/>
  <c r="HR35" i="6"/>
  <c r="HS35" i="6"/>
  <c r="HT35" i="6"/>
  <c r="HU35" i="6"/>
  <c r="HV35" i="6"/>
  <c r="HW35" i="6"/>
  <c r="HX35" i="6"/>
  <c r="HY35" i="6"/>
  <c r="HZ35" i="6"/>
  <c r="IA35" i="6"/>
  <c r="IB35" i="6"/>
  <c r="IC35" i="6"/>
  <c r="ID35" i="6"/>
  <c r="IE35" i="6"/>
  <c r="IF35" i="6"/>
  <c r="IG35" i="6"/>
  <c r="IH35" i="6"/>
  <c r="II35" i="6"/>
  <c r="IJ35" i="6"/>
  <c r="IK35" i="6"/>
  <c r="IL35" i="6"/>
  <c r="IM35" i="6"/>
  <c r="IN35" i="6"/>
  <c r="IO35" i="6"/>
  <c r="IP35" i="6"/>
  <c r="IQ35" i="6"/>
  <c r="IR35" i="6"/>
  <c r="IS35" i="6"/>
  <c r="IT35" i="6"/>
  <c r="IU35" i="6"/>
  <c r="IV35"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BA36" i="6"/>
  <c r="BB36" i="6"/>
  <c r="BC36" i="6"/>
  <c r="BD36" i="6"/>
  <c r="BE36" i="6"/>
  <c r="BF36" i="6"/>
  <c r="BG36" i="6"/>
  <c r="BH36" i="6"/>
  <c r="BI36" i="6"/>
  <c r="BJ36" i="6"/>
  <c r="BK36" i="6"/>
  <c r="BL36" i="6"/>
  <c r="BM36" i="6"/>
  <c r="BN36" i="6"/>
  <c r="BO36" i="6"/>
  <c r="BP36" i="6"/>
  <c r="BQ36" i="6"/>
  <c r="BR36" i="6"/>
  <c r="BS36" i="6"/>
  <c r="BT36" i="6"/>
  <c r="BU36" i="6"/>
  <c r="BV36" i="6"/>
  <c r="BW36" i="6"/>
  <c r="BX36" i="6"/>
  <c r="BY36" i="6"/>
  <c r="BZ36" i="6"/>
  <c r="CA36" i="6"/>
  <c r="CB36" i="6"/>
  <c r="CC36" i="6"/>
  <c r="CD36" i="6"/>
  <c r="CE36" i="6"/>
  <c r="CF36" i="6"/>
  <c r="CG36" i="6"/>
  <c r="CH36" i="6"/>
  <c r="CI36" i="6"/>
  <c r="CJ36" i="6"/>
  <c r="CK36" i="6"/>
  <c r="CL36" i="6"/>
  <c r="CM36" i="6"/>
  <c r="CN36" i="6"/>
  <c r="CO36" i="6"/>
  <c r="CP36" i="6"/>
  <c r="CQ36" i="6"/>
  <c r="CR36" i="6"/>
  <c r="CS36" i="6"/>
  <c r="CT36" i="6"/>
  <c r="CU36" i="6"/>
  <c r="CV36" i="6"/>
  <c r="CW36" i="6"/>
  <c r="CX36" i="6"/>
  <c r="CY36" i="6"/>
  <c r="CZ36" i="6"/>
  <c r="DA36" i="6"/>
  <c r="DB36" i="6"/>
  <c r="DC36" i="6"/>
  <c r="DD36" i="6"/>
  <c r="DE36" i="6"/>
  <c r="DF36" i="6"/>
  <c r="DG36" i="6"/>
  <c r="DH36" i="6"/>
  <c r="DI36" i="6"/>
  <c r="DJ36" i="6"/>
  <c r="DK36" i="6"/>
  <c r="DL36" i="6"/>
  <c r="DM36" i="6"/>
  <c r="DN36" i="6"/>
  <c r="DO36" i="6"/>
  <c r="DP36" i="6"/>
  <c r="DQ36" i="6"/>
  <c r="DR36" i="6"/>
  <c r="DS36" i="6"/>
  <c r="DT36" i="6"/>
  <c r="DU36" i="6"/>
  <c r="DV36" i="6"/>
  <c r="DW36" i="6"/>
  <c r="DX36" i="6"/>
  <c r="DY36" i="6"/>
  <c r="DZ36" i="6"/>
  <c r="EA36" i="6"/>
  <c r="EB36" i="6"/>
  <c r="EC36" i="6"/>
  <c r="ED36" i="6"/>
  <c r="EE36" i="6"/>
  <c r="EF36" i="6"/>
  <c r="EG36" i="6"/>
  <c r="EH36" i="6"/>
  <c r="EI36" i="6"/>
  <c r="EJ36" i="6"/>
  <c r="EK36" i="6"/>
  <c r="EL36" i="6"/>
  <c r="EM36" i="6"/>
  <c r="EN36" i="6"/>
  <c r="EO36" i="6"/>
  <c r="EP36" i="6"/>
  <c r="EQ36" i="6"/>
  <c r="ER36" i="6"/>
  <c r="ES36" i="6"/>
  <c r="ET36" i="6"/>
  <c r="EU36" i="6"/>
  <c r="EV36" i="6"/>
  <c r="EW36" i="6"/>
  <c r="EX36" i="6"/>
  <c r="EY36" i="6"/>
  <c r="EZ36" i="6"/>
  <c r="FA36" i="6"/>
  <c r="FB36" i="6"/>
  <c r="FC36" i="6"/>
  <c r="FD36" i="6"/>
  <c r="FE36" i="6"/>
  <c r="FF36" i="6"/>
  <c r="FG36" i="6"/>
  <c r="FH36" i="6"/>
  <c r="FI36" i="6"/>
  <c r="FJ36" i="6"/>
  <c r="FK36" i="6"/>
  <c r="FL36" i="6"/>
  <c r="FM36" i="6"/>
  <c r="FN36" i="6"/>
  <c r="FO36" i="6"/>
  <c r="FP36" i="6"/>
  <c r="FQ36" i="6"/>
  <c r="FR36" i="6"/>
  <c r="FS36" i="6"/>
  <c r="FT36" i="6"/>
  <c r="FU36" i="6"/>
  <c r="FV36" i="6"/>
  <c r="FW36" i="6"/>
  <c r="FX36" i="6"/>
  <c r="FY36" i="6"/>
  <c r="FZ36" i="6"/>
  <c r="GA36" i="6"/>
  <c r="GB36" i="6"/>
  <c r="GC36" i="6"/>
  <c r="GD36" i="6"/>
  <c r="GE36" i="6"/>
  <c r="GF36" i="6"/>
  <c r="GG36" i="6"/>
  <c r="GH36" i="6"/>
  <c r="GI36" i="6"/>
  <c r="GJ36" i="6"/>
  <c r="GK36" i="6"/>
  <c r="GL36" i="6"/>
  <c r="GM36" i="6"/>
  <c r="GN36" i="6"/>
  <c r="GO36" i="6"/>
  <c r="GP36" i="6"/>
  <c r="GQ36" i="6"/>
  <c r="GR36" i="6"/>
  <c r="GS36" i="6"/>
  <c r="GT36" i="6"/>
  <c r="GU36" i="6"/>
  <c r="GV36" i="6"/>
  <c r="GW36" i="6"/>
  <c r="GX36" i="6"/>
  <c r="GY36" i="6"/>
  <c r="GZ36" i="6"/>
  <c r="HA36" i="6"/>
  <c r="HB36" i="6"/>
  <c r="HC36" i="6"/>
  <c r="HD36" i="6"/>
  <c r="HE36" i="6"/>
  <c r="HF36" i="6"/>
  <c r="HG36" i="6"/>
  <c r="HH36" i="6"/>
  <c r="HI36" i="6"/>
  <c r="HJ36" i="6"/>
  <c r="HK36" i="6"/>
  <c r="HL36" i="6"/>
  <c r="HM36" i="6"/>
  <c r="HN36" i="6"/>
  <c r="HO36" i="6"/>
  <c r="HP36" i="6"/>
  <c r="HQ36" i="6"/>
  <c r="HR36" i="6"/>
  <c r="HS36" i="6"/>
  <c r="HT36" i="6"/>
  <c r="HU36" i="6"/>
  <c r="HV36" i="6"/>
  <c r="HW36" i="6"/>
  <c r="HX36" i="6"/>
  <c r="HY36" i="6"/>
  <c r="HZ36" i="6"/>
  <c r="IA36" i="6"/>
  <c r="IB36" i="6"/>
  <c r="IC36" i="6"/>
  <c r="ID36" i="6"/>
  <c r="IE36" i="6"/>
  <c r="IF36" i="6"/>
  <c r="IG36" i="6"/>
  <c r="IH36" i="6"/>
  <c r="II36" i="6"/>
  <c r="IJ36" i="6"/>
  <c r="IK36" i="6"/>
  <c r="IL36" i="6"/>
  <c r="IM36" i="6"/>
  <c r="IN36" i="6"/>
  <c r="IO36" i="6"/>
  <c r="IP36" i="6"/>
  <c r="IQ36" i="6"/>
  <c r="IR36" i="6"/>
  <c r="IS36" i="6"/>
  <c r="IT36" i="6"/>
  <c r="IU36" i="6"/>
  <c r="IV36"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BB37" i="6"/>
  <c r="BC37" i="6"/>
  <c r="BD37" i="6"/>
  <c r="BE37" i="6"/>
  <c r="BF37" i="6"/>
  <c r="BG37" i="6"/>
  <c r="BH37" i="6"/>
  <c r="BI37" i="6"/>
  <c r="BJ37" i="6"/>
  <c r="BK37" i="6"/>
  <c r="BL37" i="6"/>
  <c r="BM37" i="6"/>
  <c r="BN37" i="6"/>
  <c r="BO37" i="6"/>
  <c r="BP37" i="6"/>
  <c r="BQ37" i="6"/>
  <c r="BR37" i="6"/>
  <c r="BS37" i="6"/>
  <c r="BT37" i="6"/>
  <c r="BU37" i="6"/>
  <c r="BV37" i="6"/>
  <c r="BW37" i="6"/>
  <c r="BX37" i="6"/>
  <c r="BY37" i="6"/>
  <c r="BZ37" i="6"/>
  <c r="CA37" i="6"/>
  <c r="CB37" i="6"/>
  <c r="CC37" i="6"/>
  <c r="CD37" i="6"/>
  <c r="CE37" i="6"/>
  <c r="CF37" i="6"/>
  <c r="CG37" i="6"/>
  <c r="CH37" i="6"/>
  <c r="CI37" i="6"/>
  <c r="CJ37" i="6"/>
  <c r="CK37" i="6"/>
  <c r="CL37" i="6"/>
  <c r="CM37" i="6"/>
  <c r="CN37" i="6"/>
  <c r="CO37" i="6"/>
  <c r="CP37" i="6"/>
  <c r="CQ37" i="6"/>
  <c r="CR37" i="6"/>
  <c r="CS37" i="6"/>
  <c r="CT37" i="6"/>
  <c r="CU37" i="6"/>
  <c r="CV37" i="6"/>
  <c r="CW37" i="6"/>
  <c r="CX37" i="6"/>
  <c r="CY37" i="6"/>
  <c r="CZ37" i="6"/>
  <c r="DA37" i="6"/>
  <c r="DB37" i="6"/>
  <c r="DC37" i="6"/>
  <c r="DD37" i="6"/>
  <c r="DE37" i="6"/>
  <c r="DF37" i="6"/>
  <c r="DG37" i="6"/>
  <c r="DH37" i="6"/>
  <c r="DI37" i="6"/>
  <c r="DJ37" i="6"/>
  <c r="DK37" i="6"/>
  <c r="DL37" i="6"/>
  <c r="DM37" i="6"/>
  <c r="DN37" i="6"/>
  <c r="DO37" i="6"/>
  <c r="DP37" i="6"/>
  <c r="DQ37" i="6"/>
  <c r="DR37" i="6"/>
  <c r="DS37" i="6"/>
  <c r="DT37" i="6"/>
  <c r="DU37" i="6"/>
  <c r="DV37" i="6"/>
  <c r="DW37" i="6"/>
  <c r="DX37" i="6"/>
  <c r="DY37" i="6"/>
  <c r="DZ37" i="6"/>
  <c r="EA37" i="6"/>
  <c r="EB37" i="6"/>
  <c r="EC37" i="6"/>
  <c r="ED37" i="6"/>
  <c r="EE37" i="6"/>
  <c r="EF37" i="6"/>
  <c r="EG37" i="6"/>
  <c r="EH37" i="6"/>
  <c r="EI37" i="6"/>
  <c r="EJ37" i="6"/>
  <c r="EK37" i="6"/>
  <c r="EL37" i="6"/>
  <c r="EM37" i="6"/>
  <c r="EN37" i="6"/>
  <c r="EO37" i="6"/>
  <c r="EP37" i="6"/>
  <c r="EQ37" i="6"/>
  <c r="ER37" i="6"/>
  <c r="ES37" i="6"/>
  <c r="ET37" i="6"/>
  <c r="EU37" i="6"/>
  <c r="EV37" i="6"/>
  <c r="EW37" i="6"/>
  <c r="EX37" i="6"/>
  <c r="EY37" i="6"/>
  <c r="EZ37" i="6"/>
  <c r="FA37" i="6"/>
  <c r="FB37" i="6"/>
  <c r="FC37" i="6"/>
  <c r="FD37" i="6"/>
  <c r="FE37" i="6"/>
  <c r="FF37" i="6"/>
  <c r="FG37" i="6"/>
  <c r="FH37" i="6"/>
  <c r="FI37" i="6"/>
  <c r="FJ37" i="6"/>
  <c r="FK37" i="6"/>
  <c r="FL37" i="6"/>
  <c r="FM37" i="6"/>
  <c r="FN37" i="6"/>
  <c r="FO37" i="6"/>
  <c r="FP37" i="6"/>
  <c r="FQ37" i="6"/>
  <c r="FR37" i="6"/>
  <c r="FS37" i="6"/>
  <c r="FT37" i="6"/>
  <c r="FU37" i="6"/>
  <c r="FV37" i="6"/>
  <c r="FW37" i="6"/>
  <c r="FX37" i="6"/>
  <c r="FY37" i="6"/>
  <c r="FZ37" i="6"/>
  <c r="GA37" i="6"/>
  <c r="GB37" i="6"/>
  <c r="GC37" i="6"/>
  <c r="GD37" i="6"/>
  <c r="GE37" i="6"/>
  <c r="GF37" i="6"/>
  <c r="GG37" i="6"/>
  <c r="GH37" i="6"/>
  <c r="GI37" i="6"/>
  <c r="GJ37" i="6"/>
  <c r="GK37" i="6"/>
  <c r="GL37" i="6"/>
  <c r="GM37" i="6"/>
  <c r="GN37" i="6"/>
  <c r="GO37" i="6"/>
  <c r="GP37" i="6"/>
  <c r="GQ37" i="6"/>
  <c r="GR37" i="6"/>
  <c r="GS37" i="6"/>
  <c r="GT37" i="6"/>
  <c r="GU37" i="6"/>
  <c r="GV37" i="6"/>
  <c r="GW37" i="6"/>
  <c r="GX37" i="6"/>
  <c r="GY37" i="6"/>
  <c r="GZ37" i="6"/>
  <c r="HA37" i="6"/>
  <c r="HB37" i="6"/>
  <c r="HC37" i="6"/>
  <c r="HD37" i="6"/>
  <c r="HE37" i="6"/>
  <c r="HF37" i="6"/>
  <c r="HG37" i="6"/>
  <c r="HH37" i="6"/>
  <c r="HI37" i="6"/>
  <c r="HJ37" i="6"/>
  <c r="HK37" i="6"/>
  <c r="HL37" i="6"/>
  <c r="HM37" i="6"/>
  <c r="HN37" i="6"/>
  <c r="HO37" i="6"/>
  <c r="HP37" i="6"/>
  <c r="HQ37" i="6"/>
  <c r="HR37" i="6"/>
  <c r="HS37" i="6"/>
  <c r="HT37" i="6"/>
  <c r="HU37" i="6"/>
  <c r="HV37" i="6"/>
  <c r="HW37" i="6"/>
  <c r="HX37" i="6"/>
  <c r="HY37" i="6"/>
  <c r="HZ37" i="6"/>
  <c r="IA37" i="6"/>
  <c r="IB37" i="6"/>
  <c r="IC37" i="6"/>
  <c r="ID37" i="6"/>
  <c r="IE37" i="6"/>
  <c r="IF37" i="6"/>
  <c r="IG37" i="6"/>
  <c r="IH37" i="6"/>
  <c r="II37" i="6"/>
  <c r="IJ37" i="6"/>
  <c r="IK37" i="6"/>
  <c r="IL37" i="6"/>
  <c r="IM37" i="6"/>
  <c r="IN37" i="6"/>
  <c r="IO37" i="6"/>
  <c r="IP37" i="6"/>
  <c r="IQ37" i="6"/>
  <c r="IR37" i="6"/>
  <c r="IS37" i="6"/>
  <c r="IT37" i="6"/>
  <c r="IU37" i="6"/>
  <c r="IV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M38" i="6"/>
  <c r="BN38" i="6"/>
  <c r="BO38" i="6"/>
  <c r="BP38" i="6"/>
  <c r="BQ38" i="6"/>
  <c r="BR38" i="6"/>
  <c r="BS38" i="6"/>
  <c r="BT38" i="6"/>
  <c r="BU38" i="6"/>
  <c r="BV38" i="6"/>
  <c r="BW38" i="6"/>
  <c r="BX38" i="6"/>
  <c r="BY38" i="6"/>
  <c r="BZ38" i="6"/>
  <c r="CA38" i="6"/>
  <c r="CB38" i="6"/>
  <c r="CC38" i="6"/>
  <c r="CD38" i="6"/>
  <c r="CE38" i="6"/>
  <c r="CF38" i="6"/>
  <c r="CG38" i="6"/>
  <c r="CH38" i="6"/>
  <c r="CI38" i="6"/>
  <c r="CJ38" i="6"/>
  <c r="CK38" i="6"/>
  <c r="CL38" i="6"/>
  <c r="CM38" i="6"/>
  <c r="CN38" i="6"/>
  <c r="CO38" i="6"/>
  <c r="CP38" i="6"/>
  <c r="CQ38" i="6"/>
  <c r="CR38" i="6"/>
  <c r="CS38" i="6"/>
  <c r="CT38" i="6"/>
  <c r="CU38" i="6"/>
  <c r="CV38" i="6"/>
  <c r="CW38" i="6"/>
  <c r="CX38" i="6"/>
  <c r="CY38" i="6"/>
  <c r="CZ38" i="6"/>
  <c r="DA38" i="6"/>
  <c r="DB38" i="6"/>
  <c r="DC38" i="6"/>
  <c r="DD38" i="6"/>
  <c r="DE38" i="6"/>
  <c r="DF38" i="6"/>
  <c r="DG38" i="6"/>
  <c r="DH38" i="6"/>
  <c r="DI38" i="6"/>
  <c r="DJ38" i="6"/>
  <c r="DK38" i="6"/>
  <c r="DL38" i="6"/>
  <c r="DM38" i="6"/>
  <c r="DN38" i="6"/>
  <c r="DO38" i="6"/>
  <c r="DP38" i="6"/>
  <c r="DQ38" i="6"/>
  <c r="DR38" i="6"/>
  <c r="DS38" i="6"/>
  <c r="DT38" i="6"/>
  <c r="DU38" i="6"/>
  <c r="DV38" i="6"/>
  <c r="DW38" i="6"/>
  <c r="DX38" i="6"/>
  <c r="DY38" i="6"/>
  <c r="DZ38" i="6"/>
  <c r="EA38" i="6"/>
  <c r="EB38" i="6"/>
  <c r="EC38" i="6"/>
  <c r="ED38" i="6"/>
  <c r="EE38" i="6"/>
  <c r="EF38" i="6"/>
  <c r="EG38" i="6"/>
  <c r="EH38" i="6"/>
  <c r="EI38" i="6"/>
  <c r="EJ38" i="6"/>
  <c r="EK38" i="6"/>
  <c r="EL38" i="6"/>
  <c r="EM38" i="6"/>
  <c r="EN38" i="6"/>
  <c r="EO38" i="6"/>
  <c r="EP38" i="6"/>
  <c r="EQ38" i="6"/>
  <c r="ER38" i="6"/>
  <c r="ES38" i="6"/>
  <c r="ET38" i="6"/>
  <c r="EU38" i="6"/>
  <c r="EV38" i="6"/>
  <c r="EW38" i="6"/>
  <c r="EX38" i="6"/>
  <c r="EY38" i="6"/>
  <c r="EZ38" i="6"/>
  <c r="FA38" i="6"/>
  <c r="FB38" i="6"/>
  <c r="FC38" i="6"/>
  <c r="FD38" i="6"/>
  <c r="FE38" i="6"/>
  <c r="FF38" i="6"/>
  <c r="FG38" i="6"/>
  <c r="FH38" i="6"/>
  <c r="FI38" i="6"/>
  <c r="FJ38" i="6"/>
  <c r="FK38" i="6"/>
  <c r="FL38" i="6"/>
  <c r="FM38" i="6"/>
  <c r="FN38" i="6"/>
  <c r="FO38" i="6"/>
  <c r="FP38" i="6"/>
  <c r="FQ38" i="6"/>
  <c r="FR38" i="6"/>
  <c r="FS38" i="6"/>
  <c r="FT38" i="6"/>
  <c r="FU38" i="6"/>
  <c r="FV38" i="6"/>
  <c r="FW38" i="6"/>
  <c r="FX38" i="6"/>
  <c r="FY38" i="6"/>
  <c r="FZ38" i="6"/>
  <c r="GA38" i="6"/>
  <c r="GB38" i="6"/>
  <c r="GC38" i="6"/>
  <c r="GD38" i="6"/>
  <c r="GE38" i="6"/>
  <c r="GF38" i="6"/>
  <c r="GG38" i="6"/>
  <c r="GH38" i="6"/>
  <c r="GI38" i="6"/>
  <c r="GJ38" i="6"/>
  <c r="GK38" i="6"/>
  <c r="GL38" i="6"/>
  <c r="GM38" i="6"/>
  <c r="GN38" i="6"/>
  <c r="GO38" i="6"/>
  <c r="GP38" i="6"/>
  <c r="GQ38" i="6"/>
  <c r="GR38" i="6"/>
  <c r="GS38" i="6"/>
  <c r="GT38" i="6"/>
  <c r="GU38" i="6"/>
  <c r="GV38" i="6"/>
  <c r="GW38" i="6"/>
  <c r="GX38" i="6"/>
  <c r="GY38" i="6"/>
  <c r="GZ38" i="6"/>
  <c r="HA38" i="6"/>
  <c r="HB38" i="6"/>
  <c r="HC38" i="6"/>
  <c r="HD38" i="6"/>
  <c r="HE38" i="6"/>
  <c r="HF38" i="6"/>
  <c r="HG38" i="6"/>
  <c r="HH38" i="6"/>
  <c r="HI38" i="6"/>
  <c r="HJ38" i="6"/>
  <c r="HK38" i="6"/>
  <c r="HL38" i="6"/>
  <c r="HM38" i="6"/>
  <c r="HN38" i="6"/>
  <c r="HO38" i="6"/>
  <c r="HP38" i="6"/>
  <c r="HQ38" i="6"/>
  <c r="HR38" i="6"/>
  <c r="HS38" i="6"/>
  <c r="HT38" i="6"/>
  <c r="HU38" i="6"/>
  <c r="HV38" i="6"/>
  <c r="HW38" i="6"/>
  <c r="HX38" i="6"/>
  <c r="HY38" i="6"/>
  <c r="HZ38" i="6"/>
  <c r="IA38" i="6"/>
  <c r="IB38" i="6"/>
  <c r="IC38" i="6"/>
  <c r="ID38" i="6"/>
  <c r="IE38" i="6"/>
  <c r="IF38" i="6"/>
  <c r="IG38" i="6"/>
  <c r="IH38" i="6"/>
  <c r="II38" i="6"/>
  <c r="IJ38" i="6"/>
  <c r="IK38" i="6"/>
  <c r="IL38" i="6"/>
  <c r="IM38" i="6"/>
  <c r="IN38" i="6"/>
  <c r="IO38" i="6"/>
  <c r="IP38" i="6"/>
  <c r="IQ38" i="6"/>
  <c r="IR38" i="6"/>
  <c r="IS38" i="6"/>
  <c r="IT38" i="6"/>
  <c r="IU38" i="6"/>
  <c r="IV38"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O39" i="6"/>
  <c r="CP39" i="6"/>
  <c r="CQ39" i="6"/>
  <c r="CR39" i="6"/>
  <c r="CS39" i="6"/>
  <c r="CT39" i="6"/>
  <c r="CU39" i="6"/>
  <c r="CV39" i="6"/>
  <c r="CW39" i="6"/>
  <c r="CX39" i="6"/>
  <c r="CY39" i="6"/>
  <c r="CZ39" i="6"/>
  <c r="DA39" i="6"/>
  <c r="DB39" i="6"/>
  <c r="DC39" i="6"/>
  <c r="DD39" i="6"/>
  <c r="DE39" i="6"/>
  <c r="DF39" i="6"/>
  <c r="DG39" i="6"/>
  <c r="DH39" i="6"/>
  <c r="DI39" i="6"/>
  <c r="DJ39" i="6"/>
  <c r="DK39" i="6"/>
  <c r="DL39" i="6"/>
  <c r="DM39" i="6"/>
  <c r="DN39" i="6"/>
  <c r="DO39" i="6"/>
  <c r="DP39" i="6"/>
  <c r="DQ39" i="6"/>
  <c r="DR39" i="6"/>
  <c r="DS39" i="6"/>
  <c r="DT39" i="6"/>
  <c r="DU39" i="6"/>
  <c r="DV39" i="6"/>
  <c r="DW39" i="6"/>
  <c r="DX39" i="6"/>
  <c r="DY39" i="6"/>
  <c r="DZ39" i="6"/>
  <c r="EA39" i="6"/>
  <c r="EB39" i="6"/>
  <c r="EC39" i="6"/>
  <c r="ED39" i="6"/>
  <c r="EE39" i="6"/>
  <c r="EF39" i="6"/>
  <c r="EG39" i="6"/>
  <c r="EH39" i="6"/>
  <c r="EI39" i="6"/>
  <c r="EJ39" i="6"/>
  <c r="EK39" i="6"/>
  <c r="EL39" i="6"/>
  <c r="EM39" i="6"/>
  <c r="EN39" i="6"/>
  <c r="EO39" i="6"/>
  <c r="EP39" i="6"/>
  <c r="EQ39" i="6"/>
  <c r="ER39" i="6"/>
  <c r="ES39" i="6"/>
  <c r="ET39" i="6"/>
  <c r="EU39" i="6"/>
  <c r="EV39" i="6"/>
  <c r="EW39" i="6"/>
  <c r="EX39" i="6"/>
  <c r="EY39" i="6"/>
  <c r="EZ39" i="6"/>
  <c r="FA39" i="6"/>
  <c r="FB39" i="6"/>
  <c r="FC39" i="6"/>
  <c r="FD39" i="6"/>
  <c r="FE39" i="6"/>
  <c r="FF39" i="6"/>
  <c r="FG39" i="6"/>
  <c r="FH39" i="6"/>
  <c r="FI39" i="6"/>
  <c r="FJ39" i="6"/>
  <c r="FK39" i="6"/>
  <c r="FL39" i="6"/>
  <c r="FM39" i="6"/>
  <c r="FN39" i="6"/>
  <c r="FO39" i="6"/>
  <c r="FP39" i="6"/>
  <c r="FQ39" i="6"/>
  <c r="FR39" i="6"/>
  <c r="FS39" i="6"/>
  <c r="FT39" i="6"/>
  <c r="FU39" i="6"/>
  <c r="FV39" i="6"/>
  <c r="FW39" i="6"/>
  <c r="FX39" i="6"/>
  <c r="FY39" i="6"/>
  <c r="FZ39" i="6"/>
  <c r="GA39" i="6"/>
  <c r="GB39" i="6"/>
  <c r="GC39" i="6"/>
  <c r="GD39" i="6"/>
  <c r="GE39" i="6"/>
  <c r="GF39" i="6"/>
  <c r="GG39" i="6"/>
  <c r="GH39" i="6"/>
  <c r="GI39" i="6"/>
  <c r="GJ39" i="6"/>
  <c r="GK39" i="6"/>
  <c r="GL39" i="6"/>
  <c r="GM39" i="6"/>
  <c r="GN39" i="6"/>
  <c r="GO39" i="6"/>
  <c r="GP39" i="6"/>
  <c r="GQ39" i="6"/>
  <c r="GR39" i="6"/>
  <c r="GS39" i="6"/>
  <c r="GT39" i="6"/>
  <c r="GU39" i="6"/>
  <c r="GV39" i="6"/>
  <c r="GW39" i="6"/>
  <c r="GX39" i="6"/>
  <c r="GY39" i="6"/>
  <c r="GZ39" i="6"/>
  <c r="HA39" i="6"/>
  <c r="HB39" i="6"/>
  <c r="HC39" i="6"/>
  <c r="HD39" i="6"/>
  <c r="HE39" i="6"/>
  <c r="HF39" i="6"/>
  <c r="HG39" i="6"/>
  <c r="HH39" i="6"/>
  <c r="HI39" i="6"/>
  <c r="HJ39" i="6"/>
  <c r="HK39" i="6"/>
  <c r="HL39" i="6"/>
  <c r="HM39" i="6"/>
  <c r="HN39" i="6"/>
  <c r="HO39" i="6"/>
  <c r="HP39" i="6"/>
  <c r="HQ39" i="6"/>
  <c r="HR39" i="6"/>
  <c r="HS39" i="6"/>
  <c r="HT39" i="6"/>
  <c r="HU39" i="6"/>
  <c r="HV39" i="6"/>
  <c r="HW39" i="6"/>
  <c r="HX39" i="6"/>
  <c r="HY39" i="6"/>
  <c r="HZ39" i="6"/>
  <c r="IA39" i="6"/>
  <c r="IB39" i="6"/>
  <c r="IC39" i="6"/>
  <c r="ID39" i="6"/>
  <c r="IE39" i="6"/>
  <c r="IF39" i="6"/>
  <c r="IG39" i="6"/>
  <c r="IH39" i="6"/>
  <c r="II39" i="6"/>
  <c r="IJ39" i="6"/>
  <c r="IK39" i="6"/>
  <c r="IL39" i="6"/>
  <c r="IM39" i="6"/>
  <c r="IN39" i="6"/>
  <c r="IO39" i="6"/>
  <c r="IP39" i="6"/>
  <c r="IQ39" i="6"/>
  <c r="IR39" i="6"/>
  <c r="IS39" i="6"/>
  <c r="IT39" i="6"/>
  <c r="IU39" i="6"/>
  <c r="IV39"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AQ40" i="6"/>
  <c r="AR40" i="6"/>
  <c r="AS40" i="6"/>
  <c r="AT40" i="6"/>
  <c r="AU40" i="6"/>
  <c r="AV40" i="6"/>
  <c r="AW40" i="6"/>
  <c r="AX40" i="6"/>
  <c r="AY40" i="6"/>
  <c r="AZ40" i="6"/>
  <c r="BA40" i="6"/>
  <c r="BB40" i="6"/>
  <c r="BC40" i="6"/>
  <c r="BD40" i="6"/>
  <c r="BE40" i="6"/>
  <c r="BF40" i="6"/>
  <c r="BG40" i="6"/>
  <c r="BH40" i="6"/>
  <c r="BI40" i="6"/>
  <c r="BJ40" i="6"/>
  <c r="BK40" i="6"/>
  <c r="BL40" i="6"/>
  <c r="BM40" i="6"/>
  <c r="BN40" i="6"/>
  <c r="BO40" i="6"/>
  <c r="BP40" i="6"/>
  <c r="BQ40" i="6"/>
  <c r="BR40" i="6"/>
  <c r="BS40" i="6"/>
  <c r="BT40" i="6"/>
  <c r="BU40" i="6"/>
  <c r="BV40" i="6"/>
  <c r="BW40" i="6"/>
  <c r="BX40" i="6"/>
  <c r="BY40" i="6"/>
  <c r="BZ40" i="6"/>
  <c r="CA40" i="6"/>
  <c r="CB40" i="6"/>
  <c r="CC40" i="6"/>
  <c r="CD40" i="6"/>
  <c r="CE40" i="6"/>
  <c r="CF40" i="6"/>
  <c r="CG40" i="6"/>
  <c r="CH40" i="6"/>
  <c r="CI40" i="6"/>
  <c r="CJ40" i="6"/>
  <c r="CK40" i="6"/>
  <c r="CL40" i="6"/>
  <c r="CM40" i="6"/>
  <c r="CN40" i="6"/>
  <c r="CO40" i="6"/>
  <c r="CP40" i="6"/>
  <c r="CQ40" i="6"/>
  <c r="CR40" i="6"/>
  <c r="CS40" i="6"/>
  <c r="CT40" i="6"/>
  <c r="CU40" i="6"/>
  <c r="CV40" i="6"/>
  <c r="CW40" i="6"/>
  <c r="CX40" i="6"/>
  <c r="CY40" i="6"/>
  <c r="CZ40" i="6"/>
  <c r="DA40" i="6"/>
  <c r="DB40" i="6"/>
  <c r="DC40" i="6"/>
  <c r="DD40" i="6"/>
  <c r="DE40" i="6"/>
  <c r="DF40" i="6"/>
  <c r="DG40" i="6"/>
  <c r="DH40" i="6"/>
  <c r="DI40" i="6"/>
  <c r="DJ40" i="6"/>
  <c r="DK40" i="6"/>
  <c r="DL40" i="6"/>
  <c r="DM40" i="6"/>
  <c r="DN40" i="6"/>
  <c r="DO40" i="6"/>
  <c r="DP40" i="6"/>
  <c r="DQ40" i="6"/>
  <c r="DR40" i="6"/>
  <c r="DS40" i="6"/>
  <c r="DT40" i="6"/>
  <c r="DU40" i="6"/>
  <c r="DV40" i="6"/>
  <c r="DW40" i="6"/>
  <c r="DX40" i="6"/>
  <c r="DY40" i="6"/>
  <c r="DZ40" i="6"/>
  <c r="EA40" i="6"/>
  <c r="EB40" i="6"/>
  <c r="EC40" i="6"/>
  <c r="ED40" i="6"/>
  <c r="EE40" i="6"/>
  <c r="EF40" i="6"/>
  <c r="EG40" i="6"/>
  <c r="EH40" i="6"/>
  <c r="EI40" i="6"/>
  <c r="EJ40" i="6"/>
  <c r="EK40" i="6"/>
  <c r="EL40" i="6"/>
  <c r="EM40" i="6"/>
  <c r="EN40" i="6"/>
  <c r="EO40" i="6"/>
  <c r="EP40" i="6"/>
  <c r="EQ40" i="6"/>
  <c r="ER40" i="6"/>
  <c r="ES40" i="6"/>
  <c r="ET40" i="6"/>
  <c r="EU40" i="6"/>
  <c r="EV40" i="6"/>
  <c r="EW40" i="6"/>
  <c r="EX40" i="6"/>
  <c r="EY40" i="6"/>
  <c r="EZ40" i="6"/>
  <c r="FA40" i="6"/>
  <c r="FB40" i="6"/>
  <c r="FC40" i="6"/>
  <c r="FD40" i="6"/>
  <c r="FE40" i="6"/>
  <c r="FF40" i="6"/>
  <c r="FG40" i="6"/>
  <c r="FH40" i="6"/>
  <c r="FI40" i="6"/>
  <c r="FJ40" i="6"/>
  <c r="FK40" i="6"/>
  <c r="FL40" i="6"/>
  <c r="FM40" i="6"/>
  <c r="FN40" i="6"/>
  <c r="FO40" i="6"/>
  <c r="FP40" i="6"/>
  <c r="FQ40" i="6"/>
  <c r="FR40" i="6"/>
  <c r="FS40" i="6"/>
  <c r="FT40" i="6"/>
  <c r="FU40" i="6"/>
  <c r="FV40" i="6"/>
  <c r="FW40" i="6"/>
  <c r="FX40" i="6"/>
  <c r="FY40" i="6"/>
  <c r="FZ40" i="6"/>
  <c r="GA40" i="6"/>
  <c r="GB40" i="6"/>
  <c r="GC40" i="6"/>
  <c r="GD40" i="6"/>
  <c r="GE40" i="6"/>
  <c r="GF40" i="6"/>
  <c r="GG40" i="6"/>
  <c r="GH40" i="6"/>
  <c r="GI40" i="6"/>
  <c r="GJ40" i="6"/>
  <c r="GK40" i="6"/>
  <c r="GL40" i="6"/>
  <c r="GM40" i="6"/>
  <c r="GN40" i="6"/>
  <c r="GO40" i="6"/>
  <c r="GP40" i="6"/>
  <c r="GQ40" i="6"/>
  <c r="GR40" i="6"/>
  <c r="GS40" i="6"/>
  <c r="GT40" i="6"/>
  <c r="GU40" i="6"/>
  <c r="GV40" i="6"/>
  <c r="GW40" i="6"/>
  <c r="GX40" i="6"/>
  <c r="GY40" i="6"/>
  <c r="GZ40" i="6"/>
  <c r="HA40" i="6"/>
  <c r="HB40" i="6"/>
  <c r="HC40" i="6"/>
  <c r="HD40" i="6"/>
  <c r="HE40" i="6"/>
  <c r="HF40" i="6"/>
  <c r="HG40" i="6"/>
  <c r="HH40" i="6"/>
  <c r="HI40" i="6"/>
  <c r="HJ40" i="6"/>
  <c r="HK40" i="6"/>
  <c r="HL40" i="6"/>
  <c r="HM40" i="6"/>
  <c r="HN40" i="6"/>
  <c r="HO40" i="6"/>
  <c r="HP40" i="6"/>
  <c r="HQ40" i="6"/>
  <c r="HR40" i="6"/>
  <c r="HS40" i="6"/>
  <c r="HT40" i="6"/>
  <c r="HU40" i="6"/>
  <c r="HV40" i="6"/>
  <c r="HW40" i="6"/>
  <c r="HX40" i="6"/>
  <c r="HY40" i="6"/>
  <c r="HZ40" i="6"/>
  <c r="IA40" i="6"/>
  <c r="IB40" i="6"/>
  <c r="IC40" i="6"/>
  <c r="ID40" i="6"/>
  <c r="IE40" i="6"/>
  <c r="IF40" i="6"/>
  <c r="IG40" i="6"/>
  <c r="IH40" i="6"/>
  <c r="II40" i="6"/>
  <c r="IJ40" i="6"/>
  <c r="IK40" i="6"/>
  <c r="IL40" i="6"/>
  <c r="IM40" i="6"/>
  <c r="IN40" i="6"/>
  <c r="IO40" i="6"/>
  <c r="IP40" i="6"/>
  <c r="IQ40" i="6"/>
  <c r="IR40" i="6"/>
  <c r="IS40" i="6"/>
  <c r="IT40" i="6"/>
  <c r="IU40" i="6"/>
  <c r="IV40"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AQ41" i="6"/>
  <c r="AR41" i="6"/>
  <c r="AS41" i="6"/>
  <c r="AT41" i="6"/>
  <c r="AU41" i="6"/>
  <c r="AV41" i="6"/>
  <c r="AW41" i="6"/>
  <c r="AX41" i="6"/>
  <c r="AY41" i="6"/>
  <c r="AZ41" i="6"/>
  <c r="BA41" i="6"/>
  <c r="BB41" i="6"/>
  <c r="BC41" i="6"/>
  <c r="BD41" i="6"/>
  <c r="BE41" i="6"/>
  <c r="BF41" i="6"/>
  <c r="BG41" i="6"/>
  <c r="BH41" i="6"/>
  <c r="BI41" i="6"/>
  <c r="BJ41" i="6"/>
  <c r="BK41" i="6"/>
  <c r="BL41" i="6"/>
  <c r="BM41" i="6"/>
  <c r="BN41" i="6"/>
  <c r="BO41" i="6"/>
  <c r="BP41" i="6"/>
  <c r="BQ41" i="6"/>
  <c r="BR41" i="6"/>
  <c r="BS41" i="6"/>
  <c r="BT41" i="6"/>
  <c r="BU41" i="6"/>
  <c r="BV41" i="6"/>
  <c r="BW41" i="6"/>
  <c r="BX41" i="6"/>
  <c r="BY41" i="6"/>
  <c r="BZ41" i="6"/>
  <c r="CA41" i="6"/>
  <c r="CB41" i="6"/>
  <c r="CC41" i="6"/>
  <c r="CD41" i="6"/>
  <c r="CE41" i="6"/>
  <c r="CF41" i="6"/>
  <c r="CG41" i="6"/>
  <c r="CH41" i="6"/>
  <c r="CI41" i="6"/>
  <c r="CJ41" i="6"/>
  <c r="CK41" i="6"/>
  <c r="CL41" i="6"/>
  <c r="CM41" i="6"/>
  <c r="CN41" i="6"/>
  <c r="CO41" i="6"/>
  <c r="CP41" i="6"/>
  <c r="CQ41" i="6"/>
  <c r="CR41" i="6"/>
  <c r="CS41" i="6"/>
  <c r="CT41" i="6"/>
  <c r="CU41" i="6"/>
  <c r="CV41" i="6"/>
  <c r="CW41" i="6"/>
  <c r="CX41" i="6"/>
  <c r="CY41" i="6"/>
  <c r="CZ41" i="6"/>
  <c r="DA41" i="6"/>
  <c r="DB41" i="6"/>
  <c r="DC41" i="6"/>
  <c r="DD41" i="6"/>
  <c r="DE41" i="6"/>
  <c r="DF41" i="6"/>
  <c r="DG41" i="6"/>
  <c r="DH41" i="6"/>
  <c r="DI41" i="6"/>
  <c r="DJ41" i="6"/>
  <c r="DK41" i="6"/>
  <c r="DL41" i="6"/>
  <c r="DM41" i="6"/>
  <c r="DN41" i="6"/>
  <c r="DO41" i="6"/>
  <c r="DP41" i="6"/>
  <c r="DQ41" i="6"/>
  <c r="DR41" i="6"/>
  <c r="DS41" i="6"/>
  <c r="DT41" i="6"/>
  <c r="DU41" i="6"/>
  <c r="DV41" i="6"/>
  <c r="DW41" i="6"/>
  <c r="DX41" i="6"/>
  <c r="DY41" i="6"/>
  <c r="DZ41" i="6"/>
  <c r="EA41" i="6"/>
  <c r="EB41" i="6"/>
  <c r="EC41" i="6"/>
  <c r="ED41" i="6"/>
  <c r="EE41" i="6"/>
  <c r="EF41" i="6"/>
  <c r="EG41" i="6"/>
  <c r="EH41" i="6"/>
  <c r="EI41" i="6"/>
  <c r="EJ41" i="6"/>
  <c r="EK41" i="6"/>
  <c r="EL41" i="6"/>
  <c r="EM41" i="6"/>
  <c r="EN41" i="6"/>
  <c r="EO41" i="6"/>
  <c r="EP41" i="6"/>
  <c r="EQ41" i="6"/>
  <c r="ER41" i="6"/>
  <c r="ES41" i="6"/>
  <c r="ET41" i="6"/>
  <c r="EU41" i="6"/>
  <c r="EV41" i="6"/>
  <c r="EW41" i="6"/>
  <c r="EX41" i="6"/>
  <c r="EY41" i="6"/>
  <c r="EZ41" i="6"/>
  <c r="FA41" i="6"/>
  <c r="FB41" i="6"/>
  <c r="FC41" i="6"/>
  <c r="FD41" i="6"/>
  <c r="FE41" i="6"/>
  <c r="FF41" i="6"/>
  <c r="FG41" i="6"/>
  <c r="FH41" i="6"/>
  <c r="FI41" i="6"/>
  <c r="FJ41" i="6"/>
  <c r="FK41" i="6"/>
  <c r="FL41" i="6"/>
  <c r="FM41" i="6"/>
  <c r="FN41" i="6"/>
  <c r="FO41" i="6"/>
  <c r="FP41" i="6"/>
  <c r="FQ41" i="6"/>
  <c r="FR41" i="6"/>
  <c r="FS41" i="6"/>
  <c r="FT41" i="6"/>
  <c r="FU41" i="6"/>
  <c r="FV41" i="6"/>
  <c r="FW41" i="6"/>
  <c r="FX41" i="6"/>
  <c r="FY41" i="6"/>
  <c r="FZ41" i="6"/>
  <c r="GA41" i="6"/>
  <c r="GB41" i="6"/>
  <c r="GC41" i="6"/>
  <c r="GD41" i="6"/>
  <c r="GE41" i="6"/>
  <c r="GF41" i="6"/>
  <c r="GG41" i="6"/>
  <c r="GH41" i="6"/>
  <c r="GI41" i="6"/>
  <c r="GJ41" i="6"/>
  <c r="GK41" i="6"/>
  <c r="GL41" i="6"/>
  <c r="GM41" i="6"/>
  <c r="GN41" i="6"/>
  <c r="GO41" i="6"/>
  <c r="GP41" i="6"/>
  <c r="GQ41" i="6"/>
  <c r="GR41" i="6"/>
  <c r="GS41" i="6"/>
  <c r="GT41" i="6"/>
  <c r="GU41" i="6"/>
  <c r="GV41" i="6"/>
  <c r="GW41" i="6"/>
  <c r="GX41" i="6"/>
  <c r="GY41" i="6"/>
  <c r="GZ41" i="6"/>
  <c r="HA41" i="6"/>
  <c r="HB41" i="6"/>
  <c r="HC41" i="6"/>
  <c r="HD41" i="6"/>
  <c r="HE41" i="6"/>
  <c r="HF41" i="6"/>
  <c r="HG41" i="6"/>
  <c r="HH41" i="6"/>
  <c r="HI41" i="6"/>
  <c r="HJ41" i="6"/>
  <c r="HK41" i="6"/>
  <c r="HL41" i="6"/>
  <c r="HM41" i="6"/>
  <c r="HN41" i="6"/>
  <c r="HO41" i="6"/>
  <c r="HP41" i="6"/>
  <c r="HQ41" i="6"/>
  <c r="HR41" i="6"/>
  <c r="HS41" i="6"/>
  <c r="HT41" i="6"/>
  <c r="HU41" i="6"/>
  <c r="HV41" i="6"/>
  <c r="HW41" i="6"/>
  <c r="HX41" i="6"/>
  <c r="HY41" i="6"/>
  <c r="HZ41" i="6"/>
  <c r="IA41" i="6"/>
  <c r="IB41" i="6"/>
  <c r="IC41" i="6"/>
  <c r="ID41" i="6"/>
  <c r="IE41" i="6"/>
  <c r="IF41" i="6"/>
  <c r="IG41" i="6"/>
  <c r="IH41" i="6"/>
  <c r="II41" i="6"/>
  <c r="IJ41" i="6"/>
  <c r="IK41" i="6"/>
  <c r="IL41" i="6"/>
  <c r="IM41" i="6"/>
  <c r="IN41" i="6"/>
  <c r="IO41" i="6"/>
  <c r="IP41" i="6"/>
  <c r="IQ41" i="6"/>
  <c r="IR41" i="6"/>
  <c r="IS41" i="6"/>
  <c r="IT41" i="6"/>
  <c r="IU41" i="6"/>
  <c r="IV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W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Y42" i="6"/>
  <c r="CZ42" i="6"/>
  <c r="DA42" i="6"/>
  <c r="DB42" i="6"/>
  <c r="DC42" i="6"/>
  <c r="DD42" i="6"/>
  <c r="DE42" i="6"/>
  <c r="DF42" i="6"/>
  <c r="DG42" i="6"/>
  <c r="DH42" i="6"/>
  <c r="DI42" i="6"/>
  <c r="DJ42" i="6"/>
  <c r="DK42" i="6"/>
  <c r="DL42" i="6"/>
  <c r="DM42" i="6"/>
  <c r="DN42" i="6"/>
  <c r="DO42" i="6"/>
  <c r="DP42" i="6"/>
  <c r="DQ42" i="6"/>
  <c r="DR42" i="6"/>
  <c r="DS42" i="6"/>
  <c r="DT42" i="6"/>
  <c r="DU42" i="6"/>
  <c r="DV42" i="6"/>
  <c r="DW42" i="6"/>
  <c r="DX42" i="6"/>
  <c r="DY42" i="6"/>
  <c r="DZ42" i="6"/>
  <c r="EA42" i="6"/>
  <c r="EB42" i="6"/>
  <c r="EC42" i="6"/>
  <c r="ED42" i="6"/>
  <c r="EE42" i="6"/>
  <c r="EF42" i="6"/>
  <c r="EG42" i="6"/>
  <c r="EH42" i="6"/>
  <c r="EI42" i="6"/>
  <c r="EJ42" i="6"/>
  <c r="EK42" i="6"/>
  <c r="EL42" i="6"/>
  <c r="EM42" i="6"/>
  <c r="EN42" i="6"/>
  <c r="EO42" i="6"/>
  <c r="EP42" i="6"/>
  <c r="EQ42" i="6"/>
  <c r="ER42" i="6"/>
  <c r="ES42" i="6"/>
  <c r="ET42" i="6"/>
  <c r="EU42" i="6"/>
  <c r="EV42" i="6"/>
  <c r="EW42" i="6"/>
  <c r="EX42" i="6"/>
  <c r="EY42" i="6"/>
  <c r="EZ42" i="6"/>
  <c r="FA42" i="6"/>
  <c r="FB42" i="6"/>
  <c r="FC42" i="6"/>
  <c r="FD42" i="6"/>
  <c r="FE42" i="6"/>
  <c r="FF42" i="6"/>
  <c r="FG42" i="6"/>
  <c r="FH42" i="6"/>
  <c r="FI42" i="6"/>
  <c r="FJ42" i="6"/>
  <c r="FK42" i="6"/>
  <c r="FL42" i="6"/>
  <c r="FM42" i="6"/>
  <c r="FN42" i="6"/>
  <c r="FO42" i="6"/>
  <c r="FP42" i="6"/>
  <c r="FQ42" i="6"/>
  <c r="FR42" i="6"/>
  <c r="FS42" i="6"/>
  <c r="FT42" i="6"/>
  <c r="FU42" i="6"/>
  <c r="FV42" i="6"/>
  <c r="FW42" i="6"/>
  <c r="FX42" i="6"/>
  <c r="FY42" i="6"/>
  <c r="FZ42" i="6"/>
  <c r="GA42" i="6"/>
  <c r="GB42" i="6"/>
  <c r="GC42" i="6"/>
  <c r="GD42" i="6"/>
  <c r="GE42" i="6"/>
  <c r="GF42" i="6"/>
  <c r="GG42" i="6"/>
  <c r="GH42" i="6"/>
  <c r="GI42" i="6"/>
  <c r="GJ42" i="6"/>
  <c r="GK42" i="6"/>
  <c r="GL42" i="6"/>
  <c r="GM42" i="6"/>
  <c r="GN42" i="6"/>
  <c r="GO42" i="6"/>
  <c r="GP42" i="6"/>
  <c r="GQ42" i="6"/>
  <c r="GR42" i="6"/>
  <c r="GS42" i="6"/>
  <c r="GT42" i="6"/>
  <c r="GU42" i="6"/>
  <c r="GV42" i="6"/>
  <c r="GW42" i="6"/>
  <c r="GX42" i="6"/>
  <c r="GY42" i="6"/>
  <c r="GZ42" i="6"/>
  <c r="HA42" i="6"/>
  <c r="HB42" i="6"/>
  <c r="HC42" i="6"/>
  <c r="HD42" i="6"/>
  <c r="HE42" i="6"/>
  <c r="HF42" i="6"/>
  <c r="HG42" i="6"/>
  <c r="HH42" i="6"/>
  <c r="HI42" i="6"/>
  <c r="HJ42" i="6"/>
  <c r="HK42" i="6"/>
  <c r="HL42" i="6"/>
  <c r="HM42" i="6"/>
  <c r="HN42" i="6"/>
  <c r="HO42" i="6"/>
  <c r="HP42" i="6"/>
  <c r="HQ42" i="6"/>
  <c r="HR42" i="6"/>
  <c r="HS42" i="6"/>
  <c r="HT42" i="6"/>
  <c r="HU42" i="6"/>
  <c r="HV42" i="6"/>
  <c r="HW42" i="6"/>
  <c r="HX42" i="6"/>
  <c r="HY42" i="6"/>
  <c r="HZ42" i="6"/>
  <c r="IA42" i="6"/>
  <c r="IB42" i="6"/>
  <c r="IC42" i="6"/>
  <c r="ID42" i="6"/>
  <c r="IE42" i="6"/>
  <c r="IF42" i="6"/>
  <c r="IG42" i="6"/>
  <c r="IH42" i="6"/>
  <c r="II42" i="6"/>
  <c r="IJ42" i="6"/>
  <c r="IK42" i="6"/>
  <c r="IL42" i="6"/>
  <c r="IM42" i="6"/>
  <c r="IN42" i="6"/>
  <c r="IO42" i="6"/>
  <c r="IP42" i="6"/>
  <c r="IQ42" i="6"/>
  <c r="IR42" i="6"/>
  <c r="IS42" i="6"/>
  <c r="IT42" i="6"/>
  <c r="IU42" i="6"/>
  <c r="IV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A43" i="6"/>
  <c r="CB43" i="6"/>
  <c r="CC43" i="6"/>
  <c r="CD43" i="6"/>
  <c r="CE43" i="6"/>
  <c r="CF43" i="6"/>
  <c r="CG43" i="6"/>
  <c r="CH43" i="6"/>
  <c r="CI43" i="6"/>
  <c r="CJ43" i="6"/>
  <c r="CK43" i="6"/>
  <c r="CL43" i="6"/>
  <c r="CM43" i="6"/>
  <c r="CN43" i="6"/>
  <c r="CO43" i="6"/>
  <c r="CP43" i="6"/>
  <c r="CQ43" i="6"/>
  <c r="CR43" i="6"/>
  <c r="CS43" i="6"/>
  <c r="CT43" i="6"/>
  <c r="CU43" i="6"/>
  <c r="CV43" i="6"/>
  <c r="CW43" i="6"/>
  <c r="CX43" i="6"/>
  <c r="CY43" i="6"/>
  <c r="CZ43" i="6"/>
  <c r="DA43" i="6"/>
  <c r="DB43" i="6"/>
  <c r="DC43" i="6"/>
  <c r="DD43" i="6"/>
  <c r="DE43" i="6"/>
  <c r="DF43" i="6"/>
  <c r="DG43" i="6"/>
  <c r="DH43" i="6"/>
  <c r="DI43" i="6"/>
  <c r="DJ43" i="6"/>
  <c r="DK43" i="6"/>
  <c r="DL43" i="6"/>
  <c r="DM43" i="6"/>
  <c r="DN43" i="6"/>
  <c r="DO43" i="6"/>
  <c r="DP43" i="6"/>
  <c r="DQ43" i="6"/>
  <c r="DR43" i="6"/>
  <c r="DS43" i="6"/>
  <c r="DT43" i="6"/>
  <c r="DU43" i="6"/>
  <c r="DV43" i="6"/>
  <c r="DW43" i="6"/>
  <c r="DX43" i="6"/>
  <c r="DY43" i="6"/>
  <c r="DZ43" i="6"/>
  <c r="EA43" i="6"/>
  <c r="EB43" i="6"/>
  <c r="EC43" i="6"/>
  <c r="ED43" i="6"/>
  <c r="EE43" i="6"/>
  <c r="EF43" i="6"/>
  <c r="EG43" i="6"/>
  <c r="EH43" i="6"/>
  <c r="EI43" i="6"/>
  <c r="EJ43" i="6"/>
  <c r="EK43" i="6"/>
  <c r="EL43" i="6"/>
  <c r="EM43" i="6"/>
  <c r="EN43" i="6"/>
  <c r="EO43" i="6"/>
  <c r="EP43" i="6"/>
  <c r="EQ43" i="6"/>
  <c r="ER43" i="6"/>
  <c r="ES43" i="6"/>
  <c r="ET43" i="6"/>
  <c r="EU43" i="6"/>
  <c r="EV43" i="6"/>
  <c r="EW43" i="6"/>
  <c r="EX43" i="6"/>
  <c r="EY43" i="6"/>
  <c r="EZ43" i="6"/>
  <c r="FA43" i="6"/>
  <c r="FB43" i="6"/>
  <c r="FC43" i="6"/>
  <c r="FD43" i="6"/>
  <c r="FE43" i="6"/>
  <c r="FF43" i="6"/>
  <c r="FG43" i="6"/>
  <c r="FH43" i="6"/>
  <c r="FI43" i="6"/>
  <c r="FJ43" i="6"/>
  <c r="FK43" i="6"/>
  <c r="FL43" i="6"/>
  <c r="FM43" i="6"/>
  <c r="FN43" i="6"/>
  <c r="FO43" i="6"/>
  <c r="FP43" i="6"/>
  <c r="FQ43" i="6"/>
  <c r="FR43" i="6"/>
  <c r="FS43" i="6"/>
  <c r="FT43" i="6"/>
  <c r="FU43" i="6"/>
  <c r="FV43" i="6"/>
  <c r="FW43" i="6"/>
  <c r="FX43" i="6"/>
  <c r="FY43" i="6"/>
  <c r="FZ43" i="6"/>
  <c r="GA43" i="6"/>
  <c r="GB43" i="6"/>
  <c r="GC43" i="6"/>
  <c r="GD43" i="6"/>
  <c r="GE43" i="6"/>
  <c r="GF43" i="6"/>
  <c r="GG43" i="6"/>
  <c r="GH43" i="6"/>
  <c r="GI43" i="6"/>
  <c r="GJ43" i="6"/>
  <c r="GK43" i="6"/>
  <c r="GL43" i="6"/>
  <c r="GM43" i="6"/>
  <c r="GN43" i="6"/>
  <c r="GO43" i="6"/>
  <c r="GP43" i="6"/>
  <c r="GQ43" i="6"/>
  <c r="GR43" i="6"/>
  <c r="GS43" i="6"/>
  <c r="GT43" i="6"/>
  <c r="GU43" i="6"/>
  <c r="GV43" i="6"/>
  <c r="GW43" i="6"/>
  <c r="GX43" i="6"/>
  <c r="GY43" i="6"/>
  <c r="GZ43" i="6"/>
  <c r="HA43" i="6"/>
  <c r="HB43" i="6"/>
  <c r="HC43" i="6"/>
  <c r="HD43" i="6"/>
  <c r="HE43" i="6"/>
  <c r="HF43" i="6"/>
  <c r="HG43" i="6"/>
  <c r="HH43" i="6"/>
  <c r="HI43" i="6"/>
  <c r="HJ43" i="6"/>
  <c r="HK43" i="6"/>
  <c r="HL43" i="6"/>
  <c r="HM43" i="6"/>
  <c r="HN43" i="6"/>
  <c r="HO43" i="6"/>
  <c r="HP43" i="6"/>
  <c r="HQ43" i="6"/>
  <c r="HR43" i="6"/>
  <c r="HS43" i="6"/>
  <c r="HT43" i="6"/>
  <c r="HU43" i="6"/>
  <c r="HV43" i="6"/>
  <c r="HW43" i="6"/>
  <c r="HX43" i="6"/>
  <c r="HY43" i="6"/>
  <c r="HZ43" i="6"/>
  <c r="IA43" i="6"/>
  <c r="IB43" i="6"/>
  <c r="IC43" i="6"/>
  <c r="ID43" i="6"/>
  <c r="IE43" i="6"/>
  <c r="IF43" i="6"/>
  <c r="IG43" i="6"/>
  <c r="IH43" i="6"/>
  <c r="II43" i="6"/>
  <c r="IJ43" i="6"/>
  <c r="IK43" i="6"/>
  <c r="IL43" i="6"/>
  <c r="IM43" i="6"/>
  <c r="IN43" i="6"/>
  <c r="IO43" i="6"/>
  <c r="IP43" i="6"/>
  <c r="IQ43" i="6"/>
  <c r="IR43" i="6"/>
  <c r="IS43" i="6"/>
  <c r="IT43" i="6"/>
  <c r="IU43" i="6"/>
  <c r="IV43"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M44" i="6"/>
  <c r="BN44" i="6"/>
  <c r="BO44" i="6"/>
  <c r="BP44" i="6"/>
  <c r="BQ44" i="6"/>
  <c r="BR44" i="6"/>
  <c r="BS44" i="6"/>
  <c r="BT44" i="6"/>
  <c r="BU44" i="6"/>
  <c r="BV44" i="6"/>
  <c r="BW44" i="6"/>
  <c r="BX44" i="6"/>
  <c r="BY44" i="6"/>
  <c r="BZ44" i="6"/>
  <c r="CA44" i="6"/>
  <c r="CB44" i="6"/>
  <c r="CC44" i="6"/>
  <c r="CD44" i="6"/>
  <c r="CE44" i="6"/>
  <c r="CF44" i="6"/>
  <c r="CG44" i="6"/>
  <c r="CH44" i="6"/>
  <c r="CI44" i="6"/>
  <c r="CJ44" i="6"/>
  <c r="CK44" i="6"/>
  <c r="CL44" i="6"/>
  <c r="CM44" i="6"/>
  <c r="CN44" i="6"/>
  <c r="CO44" i="6"/>
  <c r="CP44" i="6"/>
  <c r="CQ44" i="6"/>
  <c r="CR44" i="6"/>
  <c r="CS44" i="6"/>
  <c r="CT44" i="6"/>
  <c r="CU44" i="6"/>
  <c r="CV44" i="6"/>
  <c r="CW44" i="6"/>
  <c r="CX44" i="6"/>
  <c r="CY44" i="6"/>
  <c r="CZ44" i="6"/>
  <c r="DA44" i="6"/>
  <c r="DB44" i="6"/>
  <c r="DC44" i="6"/>
  <c r="DD44" i="6"/>
  <c r="DE44" i="6"/>
  <c r="DF44" i="6"/>
  <c r="DG44" i="6"/>
  <c r="DH44" i="6"/>
  <c r="DI44" i="6"/>
  <c r="DJ44" i="6"/>
  <c r="DK44" i="6"/>
  <c r="DL44" i="6"/>
  <c r="DM44" i="6"/>
  <c r="DN44" i="6"/>
  <c r="DO44" i="6"/>
  <c r="DP44" i="6"/>
  <c r="DQ44" i="6"/>
  <c r="DR44" i="6"/>
  <c r="DS44" i="6"/>
  <c r="DT44" i="6"/>
  <c r="DU44" i="6"/>
  <c r="DV44" i="6"/>
  <c r="DW44" i="6"/>
  <c r="DX44" i="6"/>
  <c r="DY44" i="6"/>
  <c r="DZ44" i="6"/>
  <c r="EA44" i="6"/>
  <c r="EB44" i="6"/>
  <c r="EC44" i="6"/>
  <c r="ED44" i="6"/>
  <c r="EE44" i="6"/>
  <c r="EF44" i="6"/>
  <c r="EG44" i="6"/>
  <c r="EH44" i="6"/>
  <c r="EI44" i="6"/>
  <c r="EJ44" i="6"/>
  <c r="EK44" i="6"/>
  <c r="EL44" i="6"/>
  <c r="EM44" i="6"/>
  <c r="EN44" i="6"/>
  <c r="EO44" i="6"/>
  <c r="EP44" i="6"/>
  <c r="EQ44" i="6"/>
  <c r="ER44" i="6"/>
  <c r="ES44" i="6"/>
  <c r="ET44" i="6"/>
  <c r="EU44" i="6"/>
  <c r="EV44" i="6"/>
  <c r="EW44" i="6"/>
  <c r="EX44" i="6"/>
  <c r="EY44" i="6"/>
  <c r="EZ44" i="6"/>
  <c r="FA44" i="6"/>
  <c r="FB44" i="6"/>
  <c r="FC44" i="6"/>
  <c r="FD44" i="6"/>
  <c r="FE44" i="6"/>
  <c r="FF44" i="6"/>
  <c r="FG44" i="6"/>
  <c r="FH44" i="6"/>
  <c r="FI44" i="6"/>
  <c r="FJ44" i="6"/>
  <c r="FK44" i="6"/>
  <c r="FL44" i="6"/>
  <c r="FM44" i="6"/>
  <c r="FN44" i="6"/>
  <c r="FO44" i="6"/>
  <c r="FP44" i="6"/>
  <c r="FQ44" i="6"/>
  <c r="FR44" i="6"/>
  <c r="FS44" i="6"/>
  <c r="FT44" i="6"/>
  <c r="FU44" i="6"/>
  <c r="FV44" i="6"/>
  <c r="FW44" i="6"/>
  <c r="FX44" i="6"/>
  <c r="FY44" i="6"/>
  <c r="FZ44" i="6"/>
  <c r="GA44" i="6"/>
  <c r="GB44" i="6"/>
  <c r="GC44" i="6"/>
  <c r="GD44" i="6"/>
  <c r="GE44" i="6"/>
  <c r="GF44" i="6"/>
  <c r="GG44" i="6"/>
  <c r="GH44" i="6"/>
  <c r="GI44" i="6"/>
  <c r="GJ44" i="6"/>
  <c r="GK44" i="6"/>
  <c r="GL44" i="6"/>
  <c r="GM44" i="6"/>
  <c r="GN44" i="6"/>
  <c r="GO44" i="6"/>
  <c r="GP44" i="6"/>
  <c r="GQ44" i="6"/>
  <c r="GR44" i="6"/>
  <c r="GS44" i="6"/>
  <c r="GT44" i="6"/>
  <c r="GU44" i="6"/>
  <c r="GV44" i="6"/>
  <c r="GW44" i="6"/>
  <c r="GX44" i="6"/>
  <c r="GY44" i="6"/>
  <c r="GZ44" i="6"/>
  <c r="HA44" i="6"/>
  <c r="HB44" i="6"/>
  <c r="HC44" i="6"/>
  <c r="HD44" i="6"/>
  <c r="HE44" i="6"/>
  <c r="HF44" i="6"/>
  <c r="HG44" i="6"/>
  <c r="HH44" i="6"/>
  <c r="HI44" i="6"/>
  <c r="HJ44" i="6"/>
  <c r="HK44" i="6"/>
  <c r="HL44" i="6"/>
  <c r="HM44" i="6"/>
  <c r="HN44" i="6"/>
  <c r="HO44" i="6"/>
  <c r="HP44" i="6"/>
  <c r="HQ44" i="6"/>
  <c r="HR44" i="6"/>
  <c r="HS44" i="6"/>
  <c r="HT44" i="6"/>
  <c r="HU44" i="6"/>
  <c r="HV44" i="6"/>
  <c r="HW44" i="6"/>
  <c r="HX44" i="6"/>
  <c r="HY44" i="6"/>
  <c r="HZ44" i="6"/>
  <c r="IA44" i="6"/>
  <c r="IB44" i="6"/>
  <c r="IC44" i="6"/>
  <c r="ID44" i="6"/>
  <c r="IE44" i="6"/>
  <c r="IF44" i="6"/>
  <c r="IG44" i="6"/>
  <c r="IH44" i="6"/>
  <c r="II44" i="6"/>
  <c r="IJ44" i="6"/>
  <c r="IK44" i="6"/>
  <c r="IL44" i="6"/>
  <c r="IM44" i="6"/>
  <c r="IN44" i="6"/>
  <c r="IO44" i="6"/>
  <c r="IP44" i="6"/>
  <c r="IQ44" i="6"/>
  <c r="IR44" i="6"/>
  <c r="IS44" i="6"/>
  <c r="IT44" i="6"/>
  <c r="IU44" i="6"/>
  <c r="IV44"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M45" i="6"/>
  <c r="BN45" i="6"/>
  <c r="BO45" i="6"/>
  <c r="BP45" i="6"/>
  <c r="BQ45" i="6"/>
  <c r="BR45" i="6"/>
  <c r="BS45" i="6"/>
  <c r="BT45" i="6"/>
  <c r="BU45" i="6"/>
  <c r="BV45" i="6"/>
  <c r="BW45" i="6"/>
  <c r="BX45" i="6"/>
  <c r="BY45" i="6"/>
  <c r="BZ45" i="6"/>
  <c r="CA45" i="6"/>
  <c r="CB45" i="6"/>
  <c r="CC45" i="6"/>
  <c r="CD45" i="6"/>
  <c r="CE45" i="6"/>
  <c r="CF45" i="6"/>
  <c r="CG45" i="6"/>
  <c r="CH45" i="6"/>
  <c r="CI45" i="6"/>
  <c r="CJ45" i="6"/>
  <c r="CK45" i="6"/>
  <c r="CL45" i="6"/>
  <c r="CM45" i="6"/>
  <c r="CN45" i="6"/>
  <c r="CO45" i="6"/>
  <c r="CP45" i="6"/>
  <c r="CQ45" i="6"/>
  <c r="CR45" i="6"/>
  <c r="CS45" i="6"/>
  <c r="CT45" i="6"/>
  <c r="CU45" i="6"/>
  <c r="CV45" i="6"/>
  <c r="CW45" i="6"/>
  <c r="CX45" i="6"/>
  <c r="CY45" i="6"/>
  <c r="CZ45" i="6"/>
  <c r="DA45" i="6"/>
  <c r="DB45" i="6"/>
  <c r="DC45" i="6"/>
  <c r="DD45" i="6"/>
  <c r="DE45" i="6"/>
  <c r="DF45" i="6"/>
  <c r="DG45" i="6"/>
  <c r="DH45" i="6"/>
  <c r="DI45" i="6"/>
  <c r="DJ45" i="6"/>
  <c r="DK45" i="6"/>
  <c r="DL45" i="6"/>
  <c r="DM45" i="6"/>
  <c r="DN45" i="6"/>
  <c r="DO45" i="6"/>
  <c r="DP45" i="6"/>
  <c r="DQ45" i="6"/>
  <c r="DR45" i="6"/>
  <c r="DS45" i="6"/>
  <c r="DT45" i="6"/>
  <c r="DU45" i="6"/>
  <c r="DV45" i="6"/>
  <c r="DW45" i="6"/>
  <c r="DX45" i="6"/>
  <c r="DY45" i="6"/>
  <c r="DZ45" i="6"/>
  <c r="EA45" i="6"/>
  <c r="EB45" i="6"/>
  <c r="EC45" i="6"/>
  <c r="ED45" i="6"/>
  <c r="EE45" i="6"/>
  <c r="EF45" i="6"/>
  <c r="EG45" i="6"/>
  <c r="EH45" i="6"/>
  <c r="EI45" i="6"/>
  <c r="EJ45" i="6"/>
  <c r="EK45" i="6"/>
  <c r="EL45" i="6"/>
  <c r="EM45" i="6"/>
  <c r="EN45" i="6"/>
  <c r="EO45" i="6"/>
  <c r="EP45" i="6"/>
  <c r="EQ45" i="6"/>
  <c r="ER45" i="6"/>
  <c r="ES45" i="6"/>
  <c r="ET45" i="6"/>
  <c r="EU45" i="6"/>
  <c r="EV45" i="6"/>
  <c r="EW45" i="6"/>
  <c r="EX45" i="6"/>
  <c r="EY45" i="6"/>
  <c r="EZ45" i="6"/>
  <c r="FA45" i="6"/>
  <c r="FB45" i="6"/>
  <c r="FC45" i="6"/>
  <c r="FD45" i="6"/>
  <c r="FE45" i="6"/>
  <c r="FF45" i="6"/>
  <c r="FG45" i="6"/>
  <c r="FH45" i="6"/>
  <c r="FI45" i="6"/>
  <c r="FJ45" i="6"/>
  <c r="FK45" i="6"/>
  <c r="FL45" i="6"/>
  <c r="FM45" i="6"/>
  <c r="FN45" i="6"/>
  <c r="FO45" i="6"/>
  <c r="FP45" i="6"/>
  <c r="FQ45" i="6"/>
  <c r="FR45" i="6"/>
  <c r="FS45" i="6"/>
  <c r="FT45" i="6"/>
  <c r="FU45" i="6"/>
  <c r="FV45" i="6"/>
  <c r="FW45" i="6"/>
  <c r="FX45" i="6"/>
  <c r="FY45" i="6"/>
  <c r="FZ45" i="6"/>
  <c r="GA45" i="6"/>
  <c r="GB45" i="6"/>
  <c r="GC45" i="6"/>
  <c r="GD45" i="6"/>
  <c r="GE45" i="6"/>
  <c r="GF45" i="6"/>
  <c r="GG45" i="6"/>
  <c r="GH45" i="6"/>
  <c r="GI45" i="6"/>
  <c r="GJ45" i="6"/>
  <c r="GK45" i="6"/>
  <c r="GL45" i="6"/>
  <c r="GM45" i="6"/>
  <c r="GN45" i="6"/>
  <c r="GO45" i="6"/>
  <c r="GP45" i="6"/>
  <c r="GQ45" i="6"/>
  <c r="GR45" i="6"/>
  <c r="GS45" i="6"/>
  <c r="GT45" i="6"/>
  <c r="GU45" i="6"/>
  <c r="GV45" i="6"/>
  <c r="GW45" i="6"/>
  <c r="GX45" i="6"/>
  <c r="GY45" i="6"/>
  <c r="GZ45" i="6"/>
  <c r="HA45" i="6"/>
  <c r="HB45" i="6"/>
  <c r="HC45" i="6"/>
  <c r="HD45" i="6"/>
  <c r="HE45" i="6"/>
  <c r="HF45" i="6"/>
  <c r="HG45" i="6"/>
  <c r="HH45" i="6"/>
  <c r="HI45" i="6"/>
  <c r="HJ45" i="6"/>
  <c r="HK45" i="6"/>
  <c r="HL45" i="6"/>
  <c r="HM45" i="6"/>
  <c r="HN45" i="6"/>
  <c r="HO45" i="6"/>
  <c r="HP45" i="6"/>
  <c r="HQ45" i="6"/>
  <c r="HR45" i="6"/>
  <c r="HS45" i="6"/>
  <c r="HT45" i="6"/>
  <c r="HU45" i="6"/>
  <c r="HV45" i="6"/>
  <c r="HW45" i="6"/>
  <c r="HX45" i="6"/>
  <c r="HY45" i="6"/>
  <c r="HZ45" i="6"/>
  <c r="IA45" i="6"/>
  <c r="IB45" i="6"/>
  <c r="IC45" i="6"/>
  <c r="ID45" i="6"/>
  <c r="IE45" i="6"/>
  <c r="IF45" i="6"/>
  <c r="IG45" i="6"/>
  <c r="IH45" i="6"/>
  <c r="II45" i="6"/>
  <c r="IJ45" i="6"/>
  <c r="IK45" i="6"/>
  <c r="IL45" i="6"/>
  <c r="IM45" i="6"/>
  <c r="IN45" i="6"/>
  <c r="IO45" i="6"/>
  <c r="IP45" i="6"/>
  <c r="IQ45" i="6"/>
  <c r="IR45" i="6"/>
  <c r="IS45" i="6"/>
  <c r="IT45" i="6"/>
  <c r="IU45" i="6"/>
  <c r="IV45"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Y46" i="6"/>
  <c r="CZ46" i="6"/>
  <c r="DA46" i="6"/>
  <c r="DB46" i="6"/>
  <c r="DC46" i="6"/>
  <c r="DD46" i="6"/>
  <c r="DE46" i="6"/>
  <c r="DF46" i="6"/>
  <c r="DG46" i="6"/>
  <c r="DH46" i="6"/>
  <c r="DI46" i="6"/>
  <c r="DJ46" i="6"/>
  <c r="DK46" i="6"/>
  <c r="DL46" i="6"/>
  <c r="DM46" i="6"/>
  <c r="DN46" i="6"/>
  <c r="DO46" i="6"/>
  <c r="DP46" i="6"/>
  <c r="DQ46" i="6"/>
  <c r="DR46" i="6"/>
  <c r="DS46" i="6"/>
  <c r="DT46" i="6"/>
  <c r="DU46" i="6"/>
  <c r="DV46" i="6"/>
  <c r="DW46" i="6"/>
  <c r="DX46" i="6"/>
  <c r="DY46" i="6"/>
  <c r="DZ46" i="6"/>
  <c r="EA46" i="6"/>
  <c r="EB46" i="6"/>
  <c r="EC46" i="6"/>
  <c r="ED46" i="6"/>
  <c r="EE46" i="6"/>
  <c r="EF46" i="6"/>
  <c r="EG46" i="6"/>
  <c r="EH46" i="6"/>
  <c r="EI46" i="6"/>
  <c r="EJ46" i="6"/>
  <c r="EK46" i="6"/>
  <c r="EL46" i="6"/>
  <c r="EM46" i="6"/>
  <c r="EN46" i="6"/>
  <c r="EO46" i="6"/>
  <c r="EP46" i="6"/>
  <c r="EQ46" i="6"/>
  <c r="ER46" i="6"/>
  <c r="ES46" i="6"/>
  <c r="ET46" i="6"/>
  <c r="EU46" i="6"/>
  <c r="EV46" i="6"/>
  <c r="EW46" i="6"/>
  <c r="EX46" i="6"/>
  <c r="EY46" i="6"/>
  <c r="EZ46" i="6"/>
  <c r="FA46" i="6"/>
  <c r="FB46" i="6"/>
  <c r="FC46" i="6"/>
  <c r="FD46" i="6"/>
  <c r="FE46" i="6"/>
  <c r="FF46" i="6"/>
  <c r="FG46" i="6"/>
  <c r="FH46" i="6"/>
  <c r="FI46" i="6"/>
  <c r="FJ46" i="6"/>
  <c r="FK46" i="6"/>
  <c r="FL46" i="6"/>
  <c r="FM46" i="6"/>
  <c r="FN46" i="6"/>
  <c r="FO46" i="6"/>
  <c r="FP46" i="6"/>
  <c r="FQ46" i="6"/>
  <c r="FR46" i="6"/>
  <c r="FS46" i="6"/>
  <c r="FT46" i="6"/>
  <c r="FU46" i="6"/>
  <c r="FV46" i="6"/>
  <c r="FW46" i="6"/>
  <c r="FX46" i="6"/>
  <c r="FY46" i="6"/>
  <c r="FZ46" i="6"/>
  <c r="GA46" i="6"/>
  <c r="GB46" i="6"/>
  <c r="GC46" i="6"/>
  <c r="GD46" i="6"/>
  <c r="GE46" i="6"/>
  <c r="GF46" i="6"/>
  <c r="GG46" i="6"/>
  <c r="GH46" i="6"/>
  <c r="GI46" i="6"/>
  <c r="GJ46" i="6"/>
  <c r="GK46" i="6"/>
  <c r="GL46" i="6"/>
  <c r="GM46" i="6"/>
  <c r="GN46" i="6"/>
  <c r="GO46" i="6"/>
  <c r="GP46" i="6"/>
  <c r="GQ46" i="6"/>
  <c r="GR46" i="6"/>
  <c r="GS46" i="6"/>
  <c r="GT46" i="6"/>
  <c r="GU46" i="6"/>
  <c r="GV46" i="6"/>
  <c r="GW46" i="6"/>
  <c r="GX46" i="6"/>
  <c r="GY46" i="6"/>
  <c r="GZ46" i="6"/>
  <c r="HA46" i="6"/>
  <c r="HB46" i="6"/>
  <c r="HC46" i="6"/>
  <c r="HD46" i="6"/>
  <c r="HE46" i="6"/>
  <c r="HF46" i="6"/>
  <c r="HG46" i="6"/>
  <c r="HH46" i="6"/>
  <c r="HI46" i="6"/>
  <c r="HJ46" i="6"/>
  <c r="HK46" i="6"/>
  <c r="HL46" i="6"/>
  <c r="HM46" i="6"/>
  <c r="HN46" i="6"/>
  <c r="HO46" i="6"/>
  <c r="HP46" i="6"/>
  <c r="HQ46" i="6"/>
  <c r="HR46" i="6"/>
  <c r="HS46" i="6"/>
  <c r="HT46" i="6"/>
  <c r="HU46" i="6"/>
  <c r="HV46" i="6"/>
  <c r="HW46" i="6"/>
  <c r="HX46" i="6"/>
  <c r="HY46" i="6"/>
  <c r="HZ46" i="6"/>
  <c r="IA46" i="6"/>
  <c r="IB46" i="6"/>
  <c r="IC46" i="6"/>
  <c r="ID46" i="6"/>
  <c r="IE46" i="6"/>
  <c r="IF46" i="6"/>
  <c r="IG46" i="6"/>
  <c r="IH46" i="6"/>
  <c r="II46" i="6"/>
  <c r="IJ46" i="6"/>
  <c r="IK46" i="6"/>
  <c r="IL46" i="6"/>
  <c r="IM46" i="6"/>
  <c r="IN46" i="6"/>
  <c r="IO46" i="6"/>
  <c r="IP46" i="6"/>
  <c r="IQ46" i="6"/>
  <c r="IR46" i="6"/>
  <c r="IS46" i="6"/>
  <c r="IT46" i="6"/>
  <c r="IU46" i="6"/>
  <c r="IV46"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M47" i="6"/>
  <c r="BN47" i="6"/>
  <c r="BO47" i="6"/>
  <c r="BP47" i="6"/>
  <c r="BQ47" i="6"/>
  <c r="BR47" i="6"/>
  <c r="BS47" i="6"/>
  <c r="BT47" i="6"/>
  <c r="BU47" i="6"/>
  <c r="BV47" i="6"/>
  <c r="BW47" i="6"/>
  <c r="BX47" i="6"/>
  <c r="BY47" i="6"/>
  <c r="BZ47" i="6"/>
  <c r="CA47" i="6"/>
  <c r="CB47" i="6"/>
  <c r="CC47" i="6"/>
  <c r="CD47" i="6"/>
  <c r="CE47" i="6"/>
  <c r="CF47" i="6"/>
  <c r="CG47" i="6"/>
  <c r="CH47" i="6"/>
  <c r="CI47" i="6"/>
  <c r="CJ47" i="6"/>
  <c r="CK47" i="6"/>
  <c r="CL47" i="6"/>
  <c r="CM47" i="6"/>
  <c r="CN47" i="6"/>
  <c r="CO47" i="6"/>
  <c r="CP47" i="6"/>
  <c r="CQ47" i="6"/>
  <c r="CR47" i="6"/>
  <c r="CS47" i="6"/>
  <c r="CT47" i="6"/>
  <c r="CU47" i="6"/>
  <c r="CV47" i="6"/>
  <c r="CW47" i="6"/>
  <c r="CX47" i="6"/>
  <c r="CY47" i="6"/>
  <c r="CZ47" i="6"/>
  <c r="DA47" i="6"/>
  <c r="DB47" i="6"/>
  <c r="DC47" i="6"/>
  <c r="DD47" i="6"/>
  <c r="DE47" i="6"/>
  <c r="DF47" i="6"/>
  <c r="DG47" i="6"/>
  <c r="DH47" i="6"/>
  <c r="DI47" i="6"/>
  <c r="DJ47" i="6"/>
  <c r="DK47" i="6"/>
  <c r="DL47" i="6"/>
  <c r="DM47" i="6"/>
  <c r="DN47" i="6"/>
  <c r="DO47" i="6"/>
  <c r="DP47" i="6"/>
  <c r="DQ47" i="6"/>
  <c r="DR47" i="6"/>
  <c r="DS47" i="6"/>
  <c r="DT47" i="6"/>
  <c r="DU47" i="6"/>
  <c r="DV47" i="6"/>
  <c r="DW47" i="6"/>
  <c r="DX47" i="6"/>
  <c r="DY47" i="6"/>
  <c r="DZ47" i="6"/>
  <c r="EA47" i="6"/>
  <c r="EB47" i="6"/>
  <c r="EC47" i="6"/>
  <c r="ED47" i="6"/>
  <c r="EE47" i="6"/>
  <c r="EF47" i="6"/>
  <c r="EG47" i="6"/>
  <c r="EH47" i="6"/>
  <c r="EI47" i="6"/>
  <c r="EJ47" i="6"/>
  <c r="EK47" i="6"/>
  <c r="EL47" i="6"/>
  <c r="EM47" i="6"/>
  <c r="EN47" i="6"/>
  <c r="EO47" i="6"/>
  <c r="EP47" i="6"/>
  <c r="EQ47" i="6"/>
  <c r="ER47" i="6"/>
  <c r="ES47" i="6"/>
  <c r="ET47" i="6"/>
  <c r="EU47" i="6"/>
  <c r="EV47" i="6"/>
  <c r="EW47" i="6"/>
  <c r="EX47" i="6"/>
  <c r="EY47" i="6"/>
  <c r="EZ47" i="6"/>
  <c r="FA47" i="6"/>
  <c r="FB47" i="6"/>
  <c r="FC47" i="6"/>
  <c r="FD47" i="6"/>
  <c r="FE47" i="6"/>
  <c r="FF47" i="6"/>
  <c r="FG47" i="6"/>
  <c r="FH47" i="6"/>
  <c r="FI47" i="6"/>
  <c r="FJ47" i="6"/>
  <c r="FK47" i="6"/>
  <c r="FL47" i="6"/>
  <c r="FM47" i="6"/>
  <c r="FN47" i="6"/>
  <c r="FO47" i="6"/>
  <c r="FP47" i="6"/>
  <c r="FQ47" i="6"/>
  <c r="FR47" i="6"/>
  <c r="FS47" i="6"/>
  <c r="FT47" i="6"/>
  <c r="FU47" i="6"/>
  <c r="FV47" i="6"/>
  <c r="FW47" i="6"/>
  <c r="FX47" i="6"/>
  <c r="FY47" i="6"/>
  <c r="FZ47" i="6"/>
  <c r="GA47" i="6"/>
  <c r="GB47" i="6"/>
  <c r="GC47" i="6"/>
  <c r="GD47" i="6"/>
  <c r="GE47" i="6"/>
  <c r="GF47" i="6"/>
  <c r="GG47" i="6"/>
  <c r="GH47" i="6"/>
  <c r="GI47" i="6"/>
  <c r="GJ47" i="6"/>
  <c r="GK47" i="6"/>
  <c r="GL47" i="6"/>
  <c r="GM47" i="6"/>
  <c r="GN47" i="6"/>
  <c r="GO47" i="6"/>
  <c r="GP47" i="6"/>
  <c r="GQ47" i="6"/>
  <c r="GR47" i="6"/>
  <c r="GS47" i="6"/>
  <c r="GT47" i="6"/>
  <c r="GU47" i="6"/>
  <c r="GV47" i="6"/>
  <c r="GW47" i="6"/>
  <c r="GX47" i="6"/>
  <c r="GY47" i="6"/>
  <c r="GZ47" i="6"/>
  <c r="HA47" i="6"/>
  <c r="HB47" i="6"/>
  <c r="HC47" i="6"/>
  <c r="HD47" i="6"/>
  <c r="HE47" i="6"/>
  <c r="HF47" i="6"/>
  <c r="HG47" i="6"/>
  <c r="HH47" i="6"/>
  <c r="HI47" i="6"/>
  <c r="HJ47" i="6"/>
  <c r="HK47" i="6"/>
  <c r="HL47" i="6"/>
  <c r="HM47" i="6"/>
  <c r="HN47" i="6"/>
  <c r="HO47" i="6"/>
  <c r="HP47" i="6"/>
  <c r="HQ47" i="6"/>
  <c r="HR47" i="6"/>
  <c r="HS47" i="6"/>
  <c r="HT47" i="6"/>
  <c r="HU47" i="6"/>
  <c r="HV47" i="6"/>
  <c r="HW47" i="6"/>
  <c r="HX47" i="6"/>
  <c r="HY47" i="6"/>
  <c r="HZ47" i="6"/>
  <c r="IA47" i="6"/>
  <c r="IB47" i="6"/>
  <c r="IC47" i="6"/>
  <c r="ID47" i="6"/>
  <c r="IE47" i="6"/>
  <c r="IF47" i="6"/>
  <c r="IG47" i="6"/>
  <c r="IH47" i="6"/>
  <c r="II47" i="6"/>
  <c r="IJ47" i="6"/>
  <c r="IK47" i="6"/>
  <c r="IL47" i="6"/>
  <c r="IM47" i="6"/>
  <c r="IN47" i="6"/>
  <c r="IO47" i="6"/>
  <c r="IP47" i="6"/>
  <c r="IQ47" i="6"/>
  <c r="IR47" i="6"/>
  <c r="IS47" i="6"/>
  <c r="IT47" i="6"/>
  <c r="IU47" i="6"/>
  <c r="IV47"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Y48" i="6"/>
  <c r="CZ48" i="6"/>
  <c r="DA48" i="6"/>
  <c r="DB48" i="6"/>
  <c r="DC48" i="6"/>
  <c r="DD48" i="6"/>
  <c r="DE48" i="6"/>
  <c r="DF48" i="6"/>
  <c r="DG48" i="6"/>
  <c r="DH48" i="6"/>
  <c r="DI48" i="6"/>
  <c r="DJ48" i="6"/>
  <c r="DK48" i="6"/>
  <c r="DL48" i="6"/>
  <c r="DM48" i="6"/>
  <c r="DN48" i="6"/>
  <c r="DO48" i="6"/>
  <c r="DP48" i="6"/>
  <c r="DQ48" i="6"/>
  <c r="DR48" i="6"/>
  <c r="DS48" i="6"/>
  <c r="DT48" i="6"/>
  <c r="DU48" i="6"/>
  <c r="DV48" i="6"/>
  <c r="DW48" i="6"/>
  <c r="DX48" i="6"/>
  <c r="DY48" i="6"/>
  <c r="DZ48" i="6"/>
  <c r="EA48" i="6"/>
  <c r="EB48" i="6"/>
  <c r="EC48" i="6"/>
  <c r="ED48" i="6"/>
  <c r="EE48" i="6"/>
  <c r="EF48" i="6"/>
  <c r="EG48" i="6"/>
  <c r="EH48" i="6"/>
  <c r="EI48" i="6"/>
  <c r="EJ48" i="6"/>
  <c r="EK48" i="6"/>
  <c r="EL48" i="6"/>
  <c r="EM48" i="6"/>
  <c r="EN48" i="6"/>
  <c r="EO48" i="6"/>
  <c r="EP48" i="6"/>
  <c r="EQ48" i="6"/>
  <c r="ER48" i="6"/>
  <c r="ES48" i="6"/>
  <c r="ET48" i="6"/>
  <c r="EU48" i="6"/>
  <c r="EV48" i="6"/>
  <c r="EW48" i="6"/>
  <c r="EX48" i="6"/>
  <c r="EY48" i="6"/>
  <c r="EZ48" i="6"/>
  <c r="FA48" i="6"/>
  <c r="FB48" i="6"/>
  <c r="FC48" i="6"/>
  <c r="FD48" i="6"/>
  <c r="FE48" i="6"/>
  <c r="FF48" i="6"/>
  <c r="FG48" i="6"/>
  <c r="FH48" i="6"/>
  <c r="FI48" i="6"/>
  <c r="FJ48" i="6"/>
  <c r="FK48" i="6"/>
  <c r="FL48" i="6"/>
  <c r="FM48" i="6"/>
  <c r="FN48" i="6"/>
  <c r="FO48" i="6"/>
  <c r="FP48" i="6"/>
  <c r="FQ48" i="6"/>
  <c r="FR48" i="6"/>
  <c r="FS48" i="6"/>
  <c r="FT48" i="6"/>
  <c r="FU48" i="6"/>
  <c r="FV48" i="6"/>
  <c r="FW48" i="6"/>
  <c r="FX48" i="6"/>
  <c r="FY48" i="6"/>
  <c r="FZ48" i="6"/>
  <c r="GA48" i="6"/>
  <c r="GB48" i="6"/>
  <c r="GC48" i="6"/>
  <c r="GD48" i="6"/>
  <c r="GE48" i="6"/>
  <c r="GF48" i="6"/>
  <c r="GG48" i="6"/>
  <c r="GH48" i="6"/>
  <c r="GI48" i="6"/>
  <c r="GJ48" i="6"/>
  <c r="GK48" i="6"/>
  <c r="GL48" i="6"/>
  <c r="GM48" i="6"/>
  <c r="GN48" i="6"/>
  <c r="GO48" i="6"/>
  <c r="GP48" i="6"/>
  <c r="GQ48" i="6"/>
  <c r="GR48" i="6"/>
  <c r="GS48" i="6"/>
  <c r="GT48" i="6"/>
  <c r="GU48" i="6"/>
  <c r="GV48" i="6"/>
  <c r="GW48" i="6"/>
  <c r="GX48" i="6"/>
  <c r="GY48" i="6"/>
  <c r="GZ48" i="6"/>
  <c r="HA48" i="6"/>
  <c r="HB48" i="6"/>
  <c r="HC48" i="6"/>
  <c r="HD48" i="6"/>
  <c r="HE48" i="6"/>
  <c r="HF48" i="6"/>
  <c r="HG48" i="6"/>
  <c r="HH48" i="6"/>
  <c r="HI48" i="6"/>
  <c r="HJ48" i="6"/>
  <c r="HK48" i="6"/>
  <c r="HL48" i="6"/>
  <c r="HM48" i="6"/>
  <c r="HN48" i="6"/>
  <c r="HO48" i="6"/>
  <c r="HP48" i="6"/>
  <c r="HQ48" i="6"/>
  <c r="HR48" i="6"/>
  <c r="HS48" i="6"/>
  <c r="HT48" i="6"/>
  <c r="HU48" i="6"/>
  <c r="HV48" i="6"/>
  <c r="HW48" i="6"/>
  <c r="HX48" i="6"/>
  <c r="HY48" i="6"/>
  <c r="HZ48" i="6"/>
  <c r="IA48" i="6"/>
  <c r="IB48" i="6"/>
  <c r="IC48" i="6"/>
  <c r="ID48" i="6"/>
  <c r="IE48" i="6"/>
  <c r="IF48" i="6"/>
  <c r="IG48" i="6"/>
  <c r="IH48" i="6"/>
  <c r="II48" i="6"/>
  <c r="IJ48" i="6"/>
  <c r="IK48" i="6"/>
  <c r="IL48" i="6"/>
  <c r="IM48" i="6"/>
  <c r="IN48" i="6"/>
  <c r="IO48" i="6"/>
  <c r="IP48" i="6"/>
  <c r="IQ48" i="6"/>
  <c r="IR48" i="6"/>
  <c r="IS48" i="6"/>
  <c r="IT48" i="6"/>
  <c r="IU48" i="6"/>
  <c r="IV48"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Y49" i="6"/>
  <c r="CZ49" i="6"/>
  <c r="DA49" i="6"/>
  <c r="DB49" i="6"/>
  <c r="DC49" i="6"/>
  <c r="DD49" i="6"/>
  <c r="DE49" i="6"/>
  <c r="DF49" i="6"/>
  <c r="DG49" i="6"/>
  <c r="DH49" i="6"/>
  <c r="DI49" i="6"/>
  <c r="DJ49" i="6"/>
  <c r="DK49" i="6"/>
  <c r="DL49" i="6"/>
  <c r="DM49" i="6"/>
  <c r="DN49" i="6"/>
  <c r="DO49" i="6"/>
  <c r="DP49" i="6"/>
  <c r="DQ49" i="6"/>
  <c r="DR49" i="6"/>
  <c r="DS49" i="6"/>
  <c r="DT49" i="6"/>
  <c r="DU49" i="6"/>
  <c r="DV49" i="6"/>
  <c r="DW49" i="6"/>
  <c r="DX49" i="6"/>
  <c r="DY49" i="6"/>
  <c r="DZ49" i="6"/>
  <c r="EA49" i="6"/>
  <c r="EB49" i="6"/>
  <c r="EC49" i="6"/>
  <c r="ED49" i="6"/>
  <c r="EE49" i="6"/>
  <c r="EF49" i="6"/>
  <c r="EG49" i="6"/>
  <c r="EH49" i="6"/>
  <c r="EI49" i="6"/>
  <c r="EJ49" i="6"/>
  <c r="EK49" i="6"/>
  <c r="EL49" i="6"/>
  <c r="EM49" i="6"/>
  <c r="EN49" i="6"/>
  <c r="EO49" i="6"/>
  <c r="EP49" i="6"/>
  <c r="EQ49" i="6"/>
  <c r="ER49" i="6"/>
  <c r="ES49" i="6"/>
  <c r="ET49" i="6"/>
  <c r="EU49" i="6"/>
  <c r="EV49" i="6"/>
  <c r="EW49" i="6"/>
  <c r="EX49" i="6"/>
  <c r="EY49" i="6"/>
  <c r="EZ49" i="6"/>
  <c r="FA49" i="6"/>
  <c r="FB49" i="6"/>
  <c r="FC49" i="6"/>
  <c r="FD49" i="6"/>
  <c r="FE49" i="6"/>
  <c r="FF49" i="6"/>
  <c r="FG49" i="6"/>
  <c r="FH49" i="6"/>
  <c r="FI49" i="6"/>
  <c r="FJ49" i="6"/>
  <c r="FK49" i="6"/>
  <c r="FL49" i="6"/>
  <c r="FM49" i="6"/>
  <c r="FN49" i="6"/>
  <c r="FO49" i="6"/>
  <c r="FP49" i="6"/>
  <c r="FQ49" i="6"/>
  <c r="FR49" i="6"/>
  <c r="FS49" i="6"/>
  <c r="FT49" i="6"/>
  <c r="FU49" i="6"/>
  <c r="FV49" i="6"/>
  <c r="FW49" i="6"/>
  <c r="FX49" i="6"/>
  <c r="FY49" i="6"/>
  <c r="FZ49" i="6"/>
  <c r="GA49" i="6"/>
  <c r="GB49" i="6"/>
  <c r="GC49" i="6"/>
  <c r="GD49" i="6"/>
  <c r="GE49" i="6"/>
  <c r="GF49" i="6"/>
  <c r="GG49" i="6"/>
  <c r="GH49" i="6"/>
  <c r="GI49" i="6"/>
  <c r="GJ49" i="6"/>
  <c r="GK49" i="6"/>
  <c r="GL49" i="6"/>
  <c r="GM49" i="6"/>
  <c r="GN49" i="6"/>
  <c r="GO49" i="6"/>
  <c r="GP49" i="6"/>
  <c r="GQ49" i="6"/>
  <c r="GR49" i="6"/>
  <c r="GS49" i="6"/>
  <c r="GT49" i="6"/>
  <c r="GU49" i="6"/>
  <c r="GV49" i="6"/>
  <c r="GW49" i="6"/>
  <c r="GX49" i="6"/>
  <c r="GY49" i="6"/>
  <c r="GZ49" i="6"/>
  <c r="HA49" i="6"/>
  <c r="HB49" i="6"/>
  <c r="HC49" i="6"/>
  <c r="HD49" i="6"/>
  <c r="HE49" i="6"/>
  <c r="HF49" i="6"/>
  <c r="HG49" i="6"/>
  <c r="HH49" i="6"/>
  <c r="HI49" i="6"/>
  <c r="HJ49" i="6"/>
  <c r="HK49" i="6"/>
  <c r="HL49" i="6"/>
  <c r="HM49" i="6"/>
  <c r="HN49" i="6"/>
  <c r="HO49" i="6"/>
  <c r="HP49" i="6"/>
  <c r="HQ49" i="6"/>
  <c r="HR49" i="6"/>
  <c r="HS49" i="6"/>
  <c r="HT49" i="6"/>
  <c r="HU49" i="6"/>
  <c r="HV49" i="6"/>
  <c r="HW49" i="6"/>
  <c r="HX49" i="6"/>
  <c r="HY49" i="6"/>
  <c r="HZ49" i="6"/>
  <c r="IA49" i="6"/>
  <c r="IB49" i="6"/>
  <c r="IC49" i="6"/>
  <c r="ID49" i="6"/>
  <c r="IE49" i="6"/>
  <c r="IF49" i="6"/>
  <c r="IG49" i="6"/>
  <c r="IH49" i="6"/>
  <c r="II49" i="6"/>
  <c r="IJ49" i="6"/>
  <c r="IK49" i="6"/>
  <c r="IL49" i="6"/>
  <c r="IM49" i="6"/>
  <c r="IN49" i="6"/>
  <c r="IO49" i="6"/>
  <c r="IP49" i="6"/>
  <c r="IQ49" i="6"/>
  <c r="IR49" i="6"/>
  <c r="IS49" i="6"/>
  <c r="IT49" i="6"/>
  <c r="IU49" i="6"/>
  <c r="IV49"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BO50" i="6"/>
  <c r="BP50" i="6"/>
  <c r="BQ50" i="6"/>
  <c r="BR50" i="6"/>
  <c r="BS50" i="6"/>
  <c r="BT50" i="6"/>
  <c r="BU50" i="6"/>
  <c r="BV50" i="6"/>
  <c r="BW50" i="6"/>
  <c r="BX50" i="6"/>
  <c r="BY50" i="6"/>
  <c r="BZ50" i="6"/>
  <c r="CA50" i="6"/>
  <c r="CB50" i="6"/>
  <c r="CC50" i="6"/>
  <c r="CD50" i="6"/>
  <c r="CE50" i="6"/>
  <c r="CF50" i="6"/>
  <c r="CG50" i="6"/>
  <c r="CH50" i="6"/>
  <c r="CI50" i="6"/>
  <c r="CJ50" i="6"/>
  <c r="CK50" i="6"/>
  <c r="CL50" i="6"/>
  <c r="CM50" i="6"/>
  <c r="CN50" i="6"/>
  <c r="CO50" i="6"/>
  <c r="CP50" i="6"/>
  <c r="CQ50" i="6"/>
  <c r="CR50" i="6"/>
  <c r="CS50" i="6"/>
  <c r="CT50" i="6"/>
  <c r="CU50" i="6"/>
  <c r="CV50" i="6"/>
  <c r="CW50" i="6"/>
  <c r="CX50" i="6"/>
  <c r="CY50" i="6"/>
  <c r="CZ50" i="6"/>
  <c r="DA50" i="6"/>
  <c r="DB50" i="6"/>
  <c r="DC50" i="6"/>
  <c r="DD50" i="6"/>
  <c r="DE50" i="6"/>
  <c r="DF50" i="6"/>
  <c r="DG50" i="6"/>
  <c r="DH50" i="6"/>
  <c r="DI50" i="6"/>
  <c r="DJ50" i="6"/>
  <c r="DK50" i="6"/>
  <c r="DL50" i="6"/>
  <c r="DM50" i="6"/>
  <c r="DN50" i="6"/>
  <c r="DO50" i="6"/>
  <c r="DP50" i="6"/>
  <c r="DQ50" i="6"/>
  <c r="DR50" i="6"/>
  <c r="DS50" i="6"/>
  <c r="DT50" i="6"/>
  <c r="DU50" i="6"/>
  <c r="DV50" i="6"/>
  <c r="DW50" i="6"/>
  <c r="DX50" i="6"/>
  <c r="DY50" i="6"/>
  <c r="DZ50" i="6"/>
  <c r="EA50" i="6"/>
  <c r="EB50" i="6"/>
  <c r="EC50" i="6"/>
  <c r="ED50" i="6"/>
  <c r="EE50" i="6"/>
  <c r="EF50" i="6"/>
  <c r="EG50" i="6"/>
  <c r="EH50" i="6"/>
  <c r="EI50" i="6"/>
  <c r="EJ50" i="6"/>
  <c r="EK50" i="6"/>
  <c r="EL50" i="6"/>
  <c r="EM50" i="6"/>
  <c r="EN50" i="6"/>
  <c r="EO50" i="6"/>
  <c r="EP50" i="6"/>
  <c r="EQ50" i="6"/>
  <c r="ER50" i="6"/>
  <c r="ES50" i="6"/>
  <c r="ET50" i="6"/>
  <c r="EU50" i="6"/>
  <c r="EV50" i="6"/>
  <c r="EW50" i="6"/>
  <c r="EX50" i="6"/>
  <c r="EY50" i="6"/>
  <c r="EZ50" i="6"/>
  <c r="FA50" i="6"/>
  <c r="FB50" i="6"/>
  <c r="FC50" i="6"/>
  <c r="FD50" i="6"/>
  <c r="FE50" i="6"/>
  <c r="FF50" i="6"/>
  <c r="FG50" i="6"/>
  <c r="FH50" i="6"/>
  <c r="FI50" i="6"/>
  <c r="FJ50" i="6"/>
  <c r="FK50" i="6"/>
  <c r="FL50" i="6"/>
  <c r="FM50" i="6"/>
  <c r="FN50" i="6"/>
  <c r="FO50" i="6"/>
  <c r="FP50" i="6"/>
  <c r="FQ50" i="6"/>
  <c r="FR50" i="6"/>
  <c r="FS50" i="6"/>
  <c r="FT50" i="6"/>
  <c r="FU50" i="6"/>
  <c r="FV50" i="6"/>
  <c r="FW50" i="6"/>
  <c r="FX50" i="6"/>
  <c r="FY50" i="6"/>
  <c r="FZ50" i="6"/>
  <c r="GA50" i="6"/>
  <c r="GB50" i="6"/>
  <c r="GC50" i="6"/>
  <c r="GD50" i="6"/>
  <c r="GE50" i="6"/>
  <c r="GF50" i="6"/>
  <c r="GG50" i="6"/>
  <c r="GH50" i="6"/>
  <c r="GI50" i="6"/>
  <c r="GJ50" i="6"/>
  <c r="GK50" i="6"/>
  <c r="GL50" i="6"/>
  <c r="GM50" i="6"/>
  <c r="GN50" i="6"/>
  <c r="GO50" i="6"/>
  <c r="GP50" i="6"/>
  <c r="GQ50" i="6"/>
  <c r="GR50" i="6"/>
  <c r="GS50" i="6"/>
  <c r="GT50" i="6"/>
  <c r="GU50" i="6"/>
  <c r="GV50" i="6"/>
  <c r="GW50" i="6"/>
  <c r="GX50" i="6"/>
  <c r="GY50" i="6"/>
  <c r="GZ50" i="6"/>
  <c r="HA50" i="6"/>
  <c r="HB50" i="6"/>
  <c r="HC50" i="6"/>
  <c r="HD50" i="6"/>
  <c r="HE50" i="6"/>
  <c r="HF50" i="6"/>
  <c r="HG50" i="6"/>
  <c r="HH50" i="6"/>
  <c r="HI50" i="6"/>
  <c r="HJ50" i="6"/>
  <c r="HK50" i="6"/>
  <c r="HL50" i="6"/>
  <c r="HM50" i="6"/>
  <c r="HN50" i="6"/>
  <c r="HO50" i="6"/>
  <c r="HP50" i="6"/>
  <c r="HQ50" i="6"/>
  <c r="HR50" i="6"/>
  <c r="HS50" i="6"/>
  <c r="HT50" i="6"/>
  <c r="HU50" i="6"/>
  <c r="HV50" i="6"/>
  <c r="HW50" i="6"/>
  <c r="HX50" i="6"/>
  <c r="HY50" i="6"/>
  <c r="HZ50" i="6"/>
  <c r="IA50" i="6"/>
  <c r="IB50" i="6"/>
  <c r="IC50" i="6"/>
  <c r="ID50" i="6"/>
  <c r="IE50" i="6"/>
  <c r="IF50" i="6"/>
  <c r="IG50" i="6"/>
  <c r="IH50" i="6"/>
  <c r="II50" i="6"/>
  <c r="IJ50" i="6"/>
  <c r="IK50" i="6"/>
  <c r="IL50" i="6"/>
  <c r="IM50" i="6"/>
  <c r="IN50" i="6"/>
  <c r="IO50" i="6"/>
  <c r="IP50" i="6"/>
  <c r="IQ50" i="6"/>
  <c r="IR50" i="6"/>
  <c r="IS50" i="6"/>
  <c r="IT50" i="6"/>
  <c r="IU50" i="6"/>
  <c r="IV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Y51" i="6"/>
  <c r="CZ51" i="6"/>
  <c r="DA51" i="6"/>
  <c r="DB51" i="6"/>
  <c r="DC51" i="6"/>
  <c r="DD51" i="6"/>
  <c r="DE51" i="6"/>
  <c r="DF51" i="6"/>
  <c r="DG51" i="6"/>
  <c r="DH51" i="6"/>
  <c r="DI51" i="6"/>
  <c r="DJ51" i="6"/>
  <c r="DK51" i="6"/>
  <c r="DL51" i="6"/>
  <c r="DM51" i="6"/>
  <c r="DN51" i="6"/>
  <c r="DO51" i="6"/>
  <c r="DP51" i="6"/>
  <c r="DQ51" i="6"/>
  <c r="DR51" i="6"/>
  <c r="DS51" i="6"/>
  <c r="DT51" i="6"/>
  <c r="DU51" i="6"/>
  <c r="DV51" i="6"/>
  <c r="DW51" i="6"/>
  <c r="DX51" i="6"/>
  <c r="DY51" i="6"/>
  <c r="DZ51" i="6"/>
  <c r="EA51" i="6"/>
  <c r="EB51" i="6"/>
  <c r="EC51" i="6"/>
  <c r="ED51" i="6"/>
  <c r="EE51" i="6"/>
  <c r="EF51" i="6"/>
  <c r="EG51" i="6"/>
  <c r="EH51" i="6"/>
  <c r="EI51" i="6"/>
  <c r="EJ51" i="6"/>
  <c r="EK51" i="6"/>
  <c r="EL51" i="6"/>
  <c r="EM51" i="6"/>
  <c r="EN51" i="6"/>
  <c r="EO51" i="6"/>
  <c r="EP51" i="6"/>
  <c r="EQ51" i="6"/>
  <c r="ER51" i="6"/>
  <c r="ES51" i="6"/>
  <c r="ET51" i="6"/>
  <c r="EU51" i="6"/>
  <c r="EV51" i="6"/>
  <c r="EW51" i="6"/>
  <c r="EX51" i="6"/>
  <c r="EY51" i="6"/>
  <c r="EZ51" i="6"/>
  <c r="FA51" i="6"/>
  <c r="FB51" i="6"/>
  <c r="FC51" i="6"/>
  <c r="FD51" i="6"/>
  <c r="FE51" i="6"/>
  <c r="FF51" i="6"/>
  <c r="FG51" i="6"/>
  <c r="FH51" i="6"/>
  <c r="FI51" i="6"/>
  <c r="FJ51" i="6"/>
  <c r="FK51" i="6"/>
  <c r="FL51" i="6"/>
  <c r="FM51" i="6"/>
  <c r="FN51" i="6"/>
  <c r="FO51" i="6"/>
  <c r="FP51" i="6"/>
  <c r="FQ51" i="6"/>
  <c r="FR51" i="6"/>
  <c r="FS51" i="6"/>
  <c r="FT51" i="6"/>
  <c r="FU51" i="6"/>
  <c r="FV51" i="6"/>
  <c r="FW51" i="6"/>
  <c r="FX51" i="6"/>
  <c r="FY51" i="6"/>
  <c r="FZ51" i="6"/>
  <c r="GA51" i="6"/>
  <c r="GB51" i="6"/>
  <c r="GC51" i="6"/>
  <c r="GD51" i="6"/>
  <c r="GE51" i="6"/>
  <c r="GF51" i="6"/>
  <c r="GG51" i="6"/>
  <c r="GH51" i="6"/>
  <c r="GI51" i="6"/>
  <c r="GJ51" i="6"/>
  <c r="GK51" i="6"/>
  <c r="GL51" i="6"/>
  <c r="GM51" i="6"/>
  <c r="GN51" i="6"/>
  <c r="GO51" i="6"/>
  <c r="GP51" i="6"/>
  <c r="GQ51" i="6"/>
  <c r="GR51" i="6"/>
  <c r="GS51" i="6"/>
  <c r="GT51" i="6"/>
  <c r="GU51" i="6"/>
  <c r="GV51" i="6"/>
  <c r="GW51" i="6"/>
  <c r="GX51" i="6"/>
  <c r="GY51" i="6"/>
  <c r="GZ51" i="6"/>
  <c r="HA51" i="6"/>
  <c r="HB51" i="6"/>
  <c r="HC51" i="6"/>
  <c r="HD51" i="6"/>
  <c r="HE51" i="6"/>
  <c r="HF51" i="6"/>
  <c r="HG51" i="6"/>
  <c r="HH51" i="6"/>
  <c r="HI51" i="6"/>
  <c r="HJ51" i="6"/>
  <c r="HK51" i="6"/>
  <c r="HL51" i="6"/>
  <c r="HM51" i="6"/>
  <c r="HN51" i="6"/>
  <c r="HO51" i="6"/>
  <c r="HP51" i="6"/>
  <c r="HQ51" i="6"/>
  <c r="HR51" i="6"/>
  <c r="HS51" i="6"/>
  <c r="HT51" i="6"/>
  <c r="HU51" i="6"/>
  <c r="HV51" i="6"/>
  <c r="HW51" i="6"/>
  <c r="HX51" i="6"/>
  <c r="HY51" i="6"/>
  <c r="HZ51" i="6"/>
  <c r="IA51" i="6"/>
  <c r="IB51" i="6"/>
  <c r="IC51" i="6"/>
  <c r="ID51" i="6"/>
  <c r="IE51" i="6"/>
  <c r="IF51" i="6"/>
  <c r="IG51" i="6"/>
  <c r="IH51" i="6"/>
  <c r="II51" i="6"/>
  <c r="IJ51" i="6"/>
  <c r="IK51" i="6"/>
  <c r="IL51" i="6"/>
  <c r="IM51" i="6"/>
  <c r="IN51" i="6"/>
  <c r="IO51" i="6"/>
  <c r="IP51" i="6"/>
  <c r="IQ51" i="6"/>
  <c r="IR51" i="6"/>
  <c r="IS51" i="6"/>
  <c r="IT51" i="6"/>
  <c r="IU51" i="6"/>
  <c r="IV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DD52" i="6"/>
  <c r="DE52" i="6"/>
  <c r="DF52" i="6"/>
  <c r="DG52" i="6"/>
  <c r="DH52" i="6"/>
  <c r="DI52" i="6"/>
  <c r="DJ52" i="6"/>
  <c r="DK52" i="6"/>
  <c r="DL52" i="6"/>
  <c r="DM52" i="6"/>
  <c r="DN52" i="6"/>
  <c r="DO52" i="6"/>
  <c r="DP52" i="6"/>
  <c r="DQ52" i="6"/>
  <c r="DR52" i="6"/>
  <c r="DS52" i="6"/>
  <c r="DT52" i="6"/>
  <c r="DU52" i="6"/>
  <c r="DV52" i="6"/>
  <c r="DW52" i="6"/>
  <c r="DX52" i="6"/>
  <c r="DY52" i="6"/>
  <c r="DZ52" i="6"/>
  <c r="EA52" i="6"/>
  <c r="EB52" i="6"/>
  <c r="EC52" i="6"/>
  <c r="ED52" i="6"/>
  <c r="EE52" i="6"/>
  <c r="EF52" i="6"/>
  <c r="EG52" i="6"/>
  <c r="EH52" i="6"/>
  <c r="EI52" i="6"/>
  <c r="EJ52" i="6"/>
  <c r="EK52" i="6"/>
  <c r="EL52" i="6"/>
  <c r="EM52" i="6"/>
  <c r="EN52" i="6"/>
  <c r="EO52" i="6"/>
  <c r="EP52" i="6"/>
  <c r="EQ52" i="6"/>
  <c r="ER52" i="6"/>
  <c r="ES52" i="6"/>
  <c r="ET52" i="6"/>
  <c r="EU52" i="6"/>
  <c r="EV52" i="6"/>
  <c r="EW52" i="6"/>
  <c r="EX52" i="6"/>
  <c r="EY52" i="6"/>
  <c r="EZ52" i="6"/>
  <c r="FA52" i="6"/>
  <c r="FB52" i="6"/>
  <c r="FC52" i="6"/>
  <c r="FD52" i="6"/>
  <c r="FE52" i="6"/>
  <c r="FF52" i="6"/>
  <c r="FG52" i="6"/>
  <c r="FH52" i="6"/>
  <c r="FI52" i="6"/>
  <c r="FJ52" i="6"/>
  <c r="FK52" i="6"/>
  <c r="FL52" i="6"/>
  <c r="FM52" i="6"/>
  <c r="FN52" i="6"/>
  <c r="FO52" i="6"/>
  <c r="FP52" i="6"/>
  <c r="FQ52" i="6"/>
  <c r="FR52" i="6"/>
  <c r="FS52" i="6"/>
  <c r="FT52" i="6"/>
  <c r="FU52" i="6"/>
  <c r="FV52" i="6"/>
  <c r="FW52" i="6"/>
  <c r="FX52" i="6"/>
  <c r="FY52" i="6"/>
  <c r="FZ52" i="6"/>
  <c r="GA52" i="6"/>
  <c r="GB52" i="6"/>
  <c r="GC52" i="6"/>
  <c r="GD52" i="6"/>
  <c r="GE52" i="6"/>
  <c r="GF52" i="6"/>
  <c r="GG52" i="6"/>
  <c r="GH52" i="6"/>
  <c r="GI52" i="6"/>
  <c r="GJ52" i="6"/>
  <c r="GK52" i="6"/>
  <c r="GL52" i="6"/>
  <c r="GM52" i="6"/>
  <c r="GN52" i="6"/>
  <c r="GO52" i="6"/>
  <c r="GP52" i="6"/>
  <c r="GQ52" i="6"/>
  <c r="GR52" i="6"/>
  <c r="GS52" i="6"/>
  <c r="GT52" i="6"/>
  <c r="GU52" i="6"/>
  <c r="GV52" i="6"/>
  <c r="GW52" i="6"/>
  <c r="GX52" i="6"/>
  <c r="GY52" i="6"/>
  <c r="GZ52" i="6"/>
  <c r="HA52" i="6"/>
  <c r="HB52" i="6"/>
  <c r="HC52" i="6"/>
  <c r="HD52" i="6"/>
  <c r="HE52" i="6"/>
  <c r="HF52" i="6"/>
  <c r="HG52" i="6"/>
  <c r="HH52" i="6"/>
  <c r="HI52" i="6"/>
  <c r="HJ52" i="6"/>
  <c r="HK52" i="6"/>
  <c r="HL52" i="6"/>
  <c r="HM52" i="6"/>
  <c r="HN52" i="6"/>
  <c r="HO52" i="6"/>
  <c r="HP52" i="6"/>
  <c r="HQ52" i="6"/>
  <c r="HR52" i="6"/>
  <c r="HS52" i="6"/>
  <c r="HT52" i="6"/>
  <c r="HU52" i="6"/>
  <c r="HV52" i="6"/>
  <c r="HW52" i="6"/>
  <c r="HX52" i="6"/>
  <c r="HY52" i="6"/>
  <c r="HZ52" i="6"/>
  <c r="IA52" i="6"/>
  <c r="IB52" i="6"/>
  <c r="IC52" i="6"/>
  <c r="ID52" i="6"/>
  <c r="IE52" i="6"/>
  <c r="IF52" i="6"/>
  <c r="IG52" i="6"/>
  <c r="IH52" i="6"/>
  <c r="II52" i="6"/>
  <c r="IJ52" i="6"/>
  <c r="IK52" i="6"/>
  <c r="IL52" i="6"/>
  <c r="IM52" i="6"/>
  <c r="IN52" i="6"/>
  <c r="IO52" i="6"/>
  <c r="IP52" i="6"/>
  <c r="IQ52" i="6"/>
  <c r="IR52" i="6"/>
  <c r="IS52" i="6"/>
  <c r="IT52" i="6"/>
  <c r="IU52" i="6"/>
  <c r="IV52"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Y53" i="6"/>
  <c r="CZ53" i="6"/>
  <c r="DA53" i="6"/>
  <c r="DB53" i="6"/>
  <c r="DC53" i="6"/>
  <c r="DD53" i="6"/>
  <c r="DE53" i="6"/>
  <c r="DF53" i="6"/>
  <c r="DG53" i="6"/>
  <c r="DH53" i="6"/>
  <c r="DI53" i="6"/>
  <c r="DJ53" i="6"/>
  <c r="DK53" i="6"/>
  <c r="DL53" i="6"/>
  <c r="DM53" i="6"/>
  <c r="DN53" i="6"/>
  <c r="DO53" i="6"/>
  <c r="DP53" i="6"/>
  <c r="DQ53" i="6"/>
  <c r="DR53" i="6"/>
  <c r="DS53" i="6"/>
  <c r="DT53" i="6"/>
  <c r="DU53" i="6"/>
  <c r="DV53" i="6"/>
  <c r="DW53" i="6"/>
  <c r="DX53" i="6"/>
  <c r="DY53" i="6"/>
  <c r="DZ53" i="6"/>
  <c r="EA53" i="6"/>
  <c r="EB53" i="6"/>
  <c r="EC53" i="6"/>
  <c r="ED53" i="6"/>
  <c r="EE53" i="6"/>
  <c r="EF53" i="6"/>
  <c r="EG53" i="6"/>
  <c r="EH53" i="6"/>
  <c r="EI53" i="6"/>
  <c r="EJ53" i="6"/>
  <c r="EK53" i="6"/>
  <c r="EL53" i="6"/>
  <c r="EM53" i="6"/>
  <c r="EN53" i="6"/>
  <c r="EO53" i="6"/>
  <c r="EP53" i="6"/>
  <c r="EQ53" i="6"/>
  <c r="ER53" i="6"/>
  <c r="ES53" i="6"/>
  <c r="ET53" i="6"/>
  <c r="EU53" i="6"/>
  <c r="EV53" i="6"/>
  <c r="EW53" i="6"/>
  <c r="EX53" i="6"/>
  <c r="EY53" i="6"/>
  <c r="EZ53" i="6"/>
  <c r="FA53" i="6"/>
  <c r="FB53" i="6"/>
  <c r="FC53" i="6"/>
  <c r="FD53" i="6"/>
  <c r="FE53" i="6"/>
  <c r="FF53" i="6"/>
  <c r="FG53" i="6"/>
  <c r="FH53" i="6"/>
  <c r="FI53" i="6"/>
  <c r="FJ53" i="6"/>
  <c r="FK53" i="6"/>
  <c r="FL53" i="6"/>
  <c r="FM53" i="6"/>
  <c r="FN53" i="6"/>
  <c r="FO53" i="6"/>
  <c r="FP53" i="6"/>
  <c r="FQ53" i="6"/>
  <c r="FR53" i="6"/>
  <c r="FS53" i="6"/>
  <c r="FT53" i="6"/>
  <c r="FU53" i="6"/>
  <c r="FV53" i="6"/>
  <c r="FW53" i="6"/>
  <c r="FX53" i="6"/>
  <c r="FY53" i="6"/>
  <c r="FZ53" i="6"/>
  <c r="GA53" i="6"/>
  <c r="GB53" i="6"/>
  <c r="GC53" i="6"/>
  <c r="GD53" i="6"/>
  <c r="GE53" i="6"/>
  <c r="GF53" i="6"/>
  <c r="GG53" i="6"/>
  <c r="GH53" i="6"/>
  <c r="GI53" i="6"/>
  <c r="GJ53" i="6"/>
  <c r="GK53" i="6"/>
  <c r="GL53" i="6"/>
  <c r="GM53" i="6"/>
  <c r="GN53" i="6"/>
  <c r="GO53" i="6"/>
  <c r="GP53" i="6"/>
  <c r="GQ53" i="6"/>
  <c r="GR53" i="6"/>
  <c r="GS53" i="6"/>
  <c r="GT53" i="6"/>
  <c r="GU53" i="6"/>
  <c r="GV53" i="6"/>
  <c r="GW53" i="6"/>
  <c r="GX53" i="6"/>
  <c r="GY53" i="6"/>
  <c r="GZ53" i="6"/>
  <c r="HA53" i="6"/>
  <c r="HB53" i="6"/>
  <c r="HC53" i="6"/>
  <c r="HD53" i="6"/>
  <c r="HE53" i="6"/>
  <c r="HF53" i="6"/>
  <c r="HG53" i="6"/>
  <c r="HH53" i="6"/>
  <c r="HI53" i="6"/>
  <c r="HJ53" i="6"/>
  <c r="HK53" i="6"/>
  <c r="HL53" i="6"/>
  <c r="HM53" i="6"/>
  <c r="HN53" i="6"/>
  <c r="HO53" i="6"/>
  <c r="HP53" i="6"/>
  <c r="HQ53" i="6"/>
  <c r="HR53" i="6"/>
  <c r="HS53" i="6"/>
  <c r="HT53" i="6"/>
  <c r="HU53" i="6"/>
  <c r="HV53" i="6"/>
  <c r="HW53" i="6"/>
  <c r="HX53" i="6"/>
  <c r="HY53" i="6"/>
  <c r="HZ53" i="6"/>
  <c r="IA53" i="6"/>
  <c r="IB53" i="6"/>
  <c r="IC53" i="6"/>
  <c r="ID53" i="6"/>
  <c r="IE53" i="6"/>
  <c r="IF53" i="6"/>
  <c r="IG53" i="6"/>
  <c r="IH53" i="6"/>
  <c r="II53" i="6"/>
  <c r="IJ53" i="6"/>
  <c r="IK53" i="6"/>
  <c r="IL53" i="6"/>
  <c r="IM53" i="6"/>
  <c r="IN53" i="6"/>
  <c r="IO53" i="6"/>
  <c r="IP53" i="6"/>
  <c r="IQ53" i="6"/>
  <c r="IR53" i="6"/>
  <c r="IS53" i="6"/>
  <c r="IT53" i="6"/>
  <c r="IU53" i="6"/>
  <c r="IV53"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BO54" i="6"/>
  <c r="BP54" i="6"/>
  <c r="BQ54" i="6"/>
  <c r="BR54" i="6"/>
  <c r="BS54" i="6"/>
  <c r="BT54" i="6"/>
  <c r="BU54" i="6"/>
  <c r="BV54" i="6"/>
  <c r="BW54" i="6"/>
  <c r="BX54" i="6"/>
  <c r="BY54" i="6"/>
  <c r="BZ54" i="6"/>
  <c r="CA54" i="6"/>
  <c r="CB54" i="6"/>
  <c r="CC54" i="6"/>
  <c r="CD54" i="6"/>
  <c r="CE54" i="6"/>
  <c r="CF54" i="6"/>
  <c r="CG54" i="6"/>
  <c r="CH54" i="6"/>
  <c r="CI54" i="6"/>
  <c r="CJ54" i="6"/>
  <c r="CK54" i="6"/>
  <c r="CL54" i="6"/>
  <c r="CM54" i="6"/>
  <c r="CN54" i="6"/>
  <c r="CO54" i="6"/>
  <c r="CP54" i="6"/>
  <c r="CQ54" i="6"/>
  <c r="CR54" i="6"/>
  <c r="CS54" i="6"/>
  <c r="CT54" i="6"/>
  <c r="CU54" i="6"/>
  <c r="CV54" i="6"/>
  <c r="CW54" i="6"/>
  <c r="CX54" i="6"/>
  <c r="CY54" i="6"/>
  <c r="CZ54" i="6"/>
  <c r="DA54" i="6"/>
  <c r="DB54" i="6"/>
  <c r="DC54" i="6"/>
  <c r="DD54" i="6"/>
  <c r="DE54" i="6"/>
  <c r="DF54" i="6"/>
  <c r="DG54" i="6"/>
  <c r="DH54" i="6"/>
  <c r="DI54" i="6"/>
  <c r="DJ54" i="6"/>
  <c r="DK54" i="6"/>
  <c r="DL54" i="6"/>
  <c r="DM54" i="6"/>
  <c r="DN54" i="6"/>
  <c r="DO54" i="6"/>
  <c r="DP54" i="6"/>
  <c r="DQ54" i="6"/>
  <c r="DR54" i="6"/>
  <c r="DS54" i="6"/>
  <c r="DT54" i="6"/>
  <c r="DU54" i="6"/>
  <c r="DV54" i="6"/>
  <c r="DW54" i="6"/>
  <c r="DX54" i="6"/>
  <c r="DY54" i="6"/>
  <c r="DZ54" i="6"/>
  <c r="EA54" i="6"/>
  <c r="EB54" i="6"/>
  <c r="EC54" i="6"/>
  <c r="ED54" i="6"/>
  <c r="EE54" i="6"/>
  <c r="EF54" i="6"/>
  <c r="EG54" i="6"/>
  <c r="EH54" i="6"/>
  <c r="EI54" i="6"/>
  <c r="EJ54" i="6"/>
  <c r="EK54" i="6"/>
  <c r="EL54" i="6"/>
  <c r="EM54" i="6"/>
  <c r="EN54" i="6"/>
  <c r="EO54" i="6"/>
  <c r="EP54" i="6"/>
  <c r="EQ54" i="6"/>
  <c r="ER54" i="6"/>
  <c r="ES54" i="6"/>
  <c r="ET54" i="6"/>
  <c r="EU54" i="6"/>
  <c r="EV54" i="6"/>
  <c r="EW54" i="6"/>
  <c r="EX54" i="6"/>
  <c r="EY54" i="6"/>
  <c r="EZ54" i="6"/>
  <c r="FA54" i="6"/>
  <c r="FB54" i="6"/>
  <c r="FC54" i="6"/>
  <c r="FD54" i="6"/>
  <c r="FE54" i="6"/>
  <c r="FF54" i="6"/>
  <c r="FG54" i="6"/>
  <c r="FH54" i="6"/>
  <c r="FI54" i="6"/>
  <c r="FJ54" i="6"/>
  <c r="FK54" i="6"/>
  <c r="FL54" i="6"/>
  <c r="FM54" i="6"/>
  <c r="FN54" i="6"/>
  <c r="FO54" i="6"/>
  <c r="FP54" i="6"/>
  <c r="FQ54" i="6"/>
  <c r="FR54" i="6"/>
  <c r="FS54" i="6"/>
  <c r="FT54" i="6"/>
  <c r="FU54" i="6"/>
  <c r="FV54" i="6"/>
  <c r="FW54" i="6"/>
  <c r="FX54" i="6"/>
  <c r="FY54" i="6"/>
  <c r="FZ54" i="6"/>
  <c r="GA54" i="6"/>
  <c r="GB54" i="6"/>
  <c r="GC54" i="6"/>
  <c r="GD54" i="6"/>
  <c r="GE54" i="6"/>
  <c r="GF54" i="6"/>
  <c r="GG54" i="6"/>
  <c r="GH54" i="6"/>
  <c r="GI54" i="6"/>
  <c r="GJ54" i="6"/>
  <c r="GK54" i="6"/>
  <c r="GL54" i="6"/>
  <c r="GM54" i="6"/>
  <c r="GN54" i="6"/>
  <c r="GO54" i="6"/>
  <c r="GP54" i="6"/>
  <c r="GQ54" i="6"/>
  <c r="GR54" i="6"/>
  <c r="GS54" i="6"/>
  <c r="GT54" i="6"/>
  <c r="GU54" i="6"/>
  <c r="GV54" i="6"/>
  <c r="GW54" i="6"/>
  <c r="GX54" i="6"/>
  <c r="GY54" i="6"/>
  <c r="GZ54" i="6"/>
  <c r="HA54" i="6"/>
  <c r="HB54" i="6"/>
  <c r="HC54" i="6"/>
  <c r="HD54" i="6"/>
  <c r="HE54" i="6"/>
  <c r="HF54" i="6"/>
  <c r="HG54" i="6"/>
  <c r="HH54" i="6"/>
  <c r="HI54" i="6"/>
  <c r="HJ54" i="6"/>
  <c r="HK54" i="6"/>
  <c r="HL54" i="6"/>
  <c r="HM54" i="6"/>
  <c r="HN54" i="6"/>
  <c r="HO54" i="6"/>
  <c r="HP54" i="6"/>
  <c r="HQ54" i="6"/>
  <c r="HR54" i="6"/>
  <c r="HS54" i="6"/>
  <c r="HT54" i="6"/>
  <c r="HU54" i="6"/>
  <c r="HV54" i="6"/>
  <c r="HW54" i="6"/>
  <c r="HX54" i="6"/>
  <c r="HY54" i="6"/>
  <c r="HZ54" i="6"/>
  <c r="IA54" i="6"/>
  <c r="IB54" i="6"/>
  <c r="IC54" i="6"/>
  <c r="ID54" i="6"/>
  <c r="IE54" i="6"/>
  <c r="IF54" i="6"/>
  <c r="IG54" i="6"/>
  <c r="IH54" i="6"/>
  <c r="II54" i="6"/>
  <c r="IJ54" i="6"/>
  <c r="IK54" i="6"/>
  <c r="IL54" i="6"/>
  <c r="IM54" i="6"/>
  <c r="IN54" i="6"/>
  <c r="IO54" i="6"/>
  <c r="IP54" i="6"/>
  <c r="IQ54" i="6"/>
  <c r="IR54" i="6"/>
  <c r="IS54" i="6"/>
  <c r="IT54" i="6"/>
  <c r="IU54" i="6"/>
  <c r="IV54"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Y55" i="6"/>
  <c r="CZ55" i="6"/>
  <c r="DA55" i="6"/>
  <c r="DB55" i="6"/>
  <c r="DC55" i="6"/>
  <c r="DD55" i="6"/>
  <c r="DE55" i="6"/>
  <c r="DF55" i="6"/>
  <c r="DG55" i="6"/>
  <c r="DH55" i="6"/>
  <c r="DI55" i="6"/>
  <c r="DJ55" i="6"/>
  <c r="DK55" i="6"/>
  <c r="DL55" i="6"/>
  <c r="DM55" i="6"/>
  <c r="DN55" i="6"/>
  <c r="DO55" i="6"/>
  <c r="DP55" i="6"/>
  <c r="DQ55" i="6"/>
  <c r="DR55" i="6"/>
  <c r="DS55" i="6"/>
  <c r="DT55" i="6"/>
  <c r="DU55" i="6"/>
  <c r="DV55" i="6"/>
  <c r="DW55" i="6"/>
  <c r="DX55" i="6"/>
  <c r="DY55" i="6"/>
  <c r="DZ55" i="6"/>
  <c r="EA55" i="6"/>
  <c r="EB55" i="6"/>
  <c r="EC55" i="6"/>
  <c r="ED55" i="6"/>
  <c r="EE55" i="6"/>
  <c r="EF55" i="6"/>
  <c r="EG55" i="6"/>
  <c r="EH55" i="6"/>
  <c r="EI55" i="6"/>
  <c r="EJ55" i="6"/>
  <c r="EK55" i="6"/>
  <c r="EL55" i="6"/>
  <c r="EM55" i="6"/>
  <c r="EN55" i="6"/>
  <c r="EO55" i="6"/>
  <c r="EP55" i="6"/>
  <c r="EQ55" i="6"/>
  <c r="ER55" i="6"/>
  <c r="ES55" i="6"/>
  <c r="ET55" i="6"/>
  <c r="EU55" i="6"/>
  <c r="EV55" i="6"/>
  <c r="EW55" i="6"/>
  <c r="EX55" i="6"/>
  <c r="EY55" i="6"/>
  <c r="EZ55" i="6"/>
  <c r="FA55" i="6"/>
  <c r="FB55" i="6"/>
  <c r="FC55" i="6"/>
  <c r="FD55" i="6"/>
  <c r="FE55" i="6"/>
  <c r="FF55" i="6"/>
  <c r="FG55" i="6"/>
  <c r="FH55" i="6"/>
  <c r="FI55" i="6"/>
  <c r="FJ55" i="6"/>
  <c r="FK55" i="6"/>
  <c r="FL55" i="6"/>
  <c r="FM55" i="6"/>
  <c r="FN55" i="6"/>
  <c r="FO55" i="6"/>
  <c r="FP55" i="6"/>
  <c r="FQ55" i="6"/>
  <c r="FR55" i="6"/>
  <c r="FS55" i="6"/>
  <c r="FT55" i="6"/>
  <c r="FU55" i="6"/>
  <c r="FV55" i="6"/>
  <c r="FW55" i="6"/>
  <c r="FX55" i="6"/>
  <c r="FY55" i="6"/>
  <c r="FZ55" i="6"/>
  <c r="GA55" i="6"/>
  <c r="GB55" i="6"/>
  <c r="GC55" i="6"/>
  <c r="GD55" i="6"/>
  <c r="GE55" i="6"/>
  <c r="GF55" i="6"/>
  <c r="GG55" i="6"/>
  <c r="GH55" i="6"/>
  <c r="GI55" i="6"/>
  <c r="GJ55" i="6"/>
  <c r="GK55" i="6"/>
  <c r="GL55" i="6"/>
  <c r="GM55" i="6"/>
  <c r="GN55" i="6"/>
  <c r="GO55" i="6"/>
  <c r="GP55" i="6"/>
  <c r="GQ55" i="6"/>
  <c r="GR55" i="6"/>
  <c r="GS55" i="6"/>
  <c r="GT55" i="6"/>
  <c r="GU55" i="6"/>
  <c r="GV55" i="6"/>
  <c r="GW55" i="6"/>
  <c r="GX55" i="6"/>
  <c r="GY55" i="6"/>
  <c r="GZ55" i="6"/>
  <c r="HA55" i="6"/>
  <c r="HB55" i="6"/>
  <c r="HC55" i="6"/>
  <c r="HD55" i="6"/>
  <c r="HE55" i="6"/>
  <c r="HF55" i="6"/>
  <c r="HG55" i="6"/>
  <c r="HH55" i="6"/>
  <c r="HI55" i="6"/>
  <c r="HJ55" i="6"/>
  <c r="HK55" i="6"/>
  <c r="HL55" i="6"/>
  <c r="HM55" i="6"/>
  <c r="HN55" i="6"/>
  <c r="HO55" i="6"/>
  <c r="HP55" i="6"/>
  <c r="HQ55" i="6"/>
  <c r="HR55" i="6"/>
  <c r="HS55" i="6"/>
  <c r="HT55" i="6"/>
  <c r="HU55" i="6"/>
  <c r="HV55" i="6"/>
  <c r="HW55" i="6"/>
  <c r="HX55" i="6"/>
  <c r="HY55" i="6"/>
  <c r="HZ55" i="6"/>
  <c r="IA55" i="6"/>
  <c r="IB55" i="6"/>
  <c r="IC55" i="6"/>
  <c r="ID55" i="6"/>
  <c r="IE55" i="6"/>
  <c r="IF55" i="6"/>
  <c r="IG55" i="6"/>
  <c r="IH55" i="6"/>
  <c r="II55" i="6"/>
  <c r="IJ55" i="6"/>
  <c r="IK55" i="6"/>
  <c r="IL55" i="6"/>
  <c r="IM55" i="6"/>
  <c r="IN55" i="6"/>
  <c r="IO55" i="6"/>
  <c r="IP55" i="6"/>
  <c r="IQ55" i="6"/>
  <c r="IR55" i="6"/>
  <c r="IS55" i="6"/>
  <c r="IT55" i="6"/>
  <c r="IU55" i="6"/>
  <c r="IV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BO56" i="6"/>
  <c r="BP56" i="6"/>
  <c r="BQ56" i="6"/>
  <c r="BR56" i="6"/>
  <c r="BS56" i="6"/>
  <c r="BT56" i="6"/>
  <c r="BU56" i="6"/>
  <c r="BV56" i="6"/>
  <c r="BW56" i="6"/>
  <c r="BX56" i="6"/>
  <c r="BY56" i="6"/>
  <c r="BZ56" i="6"/>
  <c r="CA56" i="6"/>
  <c r="CB56" i="6"/>
  <c r="CC56" i="6"/>
  <c r="CD56" i="6"/>
  <c r="CE56" i="6"/>
  <c r="CF56" i="6"/>
  <c r="CG56" i="6"/>
  <c r="CH56" i="6"/>
  <c r="CI56" i="6"/>
  <c r="CJ56" i="6"/>
  <c r="CK56" i="6"/>
  <c r="CL56" i="6"/>
  <c r="CM56" i="6"/>
  <c r="CN56" i="6"/>
  <c r="CO56" i="6"/>
  <c r="CP56" i="6"/>
  <c r="CQ56" i="6"/>
  <c r="CR56" i="6"/>
  <c r="CS56" i="6"/>
  <c r="CT56" i="6"/>
  <c r="CU56" i="6"/>
  <c r="CV56" i="6"/>
  <c r="CW56" i="6"/>
  <c r="CX56" i="6"/>
  <c r="CY56" i="6"/>
  <c r="CZ56" i="6"/>
  <c r="DA56" i="6"/>
  <c r="DB56" i="6"/>
  <c r="DC56" i="6"/>
  <c r="DD56" i="6"/>
  <c r="DE56" i="6"/>
  <c r="DF56" i="6"/>
  <c r="DG56" i="6"/>
  <c r="DH56" i="6"/>
  <c r="DI56" i="6"/>
  <c r="DJ56" i="6"/>
  <c r="DK56" i="6"/>
  <c r="DL56" i="6"/>
  <c r="DM56" i="6"/>
  <c r="DN56" i="6"/>
  <c r="DO56" i="6"/>
  <c r="DP56" i="6"/>
  <c r="DQ56" i="6"/>
  <c r="DR56" i="6"/>
  <c r="DS56" i="6"/>
  <c r="DT56" i="6"/>
  <c r="DU56" i="6"/>
  <c r="DV56" i="6"/>
  <c r="DW56" i="6"/>
  <c r="DX56" i="6"/>
  <c r="DY56" i="6"/>
  <c r="DZ56" i="6"/>
  <c r="EA56" i="6"/>
  <c r="EB56" i="6"/>
  <c r="EC56" i="6"/>
  <c r="ED56" i="6"/>
  <c r="EE56" i="6"/>
  <c r="EF56" i="6"/>
  <c r="EG56" i="6"/>
  <c r="EH56" i="6"/>
  <c r="EI56" i="6"/>
  <c r="EJ56" i="6"/>
  <c r="EK56" i="6"/>
  <c r="EL56" i="6"/>
  <c r="EM56" i="6"/>
  <c r="EN56" i="6"/>
  <c r="EO56" i="6"/>
  <c r="EP56" i="6"/>
  <c r="EQ56" i="6"/>
  <c r="ER56" i="6"/>
  <c r="ES56" i="6"/>
  <c r="ET56" i="6"/>
  <c r="EU56" i="6"/>
  <c r="EV56" i="6"/>
  <c r="EW56" i="6"/>
  <c r="EX56" i="6"/>
  <c r="EY56" i="6"/>
  <c r="EZ56" i="6"/>
  <c r="FA56" i="6"/>
  <c r="FB56" i="6"/>
  <c r="FC56" i="6"/>
  <c r="FD56" i="6"/>
  <c r="FE56" i="6"/>
  <c r="FF56" i="6"/>
  <c r="FG56" i="6"/>
  <c r="FH56" i="6"/>
  <c r="FI56" i="6"/>
  <c r="FJ56" i="6"/>
  <c r="FK56" i="6"/>
  <c r="FL56" i="6"/>
  <c r="FM56" i="6"/>
  <c r="FN56" i="6"/>
  <c r="FO56" i="6"/>
  <c r="FP56" i="6"/>
  <c r="FQ56" i="6"/>
  <c r="FR56" i="6"/>
  <c r="FS56" i="6"/>
  <c r="FT56" i="6"/>
  <c r="FU56" i="6"/>
  <c r="FV56" i="6"/>
  <c r="FW56" i="6"/>
  <c r="FX56" i="6"/>
  <c r="FY56" i="6"/>
  <c r="FZ56" i="6"/>
  <c r="GA56" i="6"/>
  <c r="GB56" i="6"/>
  <c r="GC56" i="6"/>
  <c r="GD56" i="6"/>
  <c r="GE56" i="6"/>
  <c r="GF56" i="6"/>
  <c r="GG56" i="6"/>
  <c r="GH56" i="6"/>
  <c r="GI56" i="6"/>
  <c r="GJ56" i="6"/>
  <c r="GK56" i="6"/>
  <c r="GL56" i="6"/>
  <c r="GM56" i="6"/>
  <c r="GN56" i="6"/>
  <c r="GO56" i="6"/>
  <c r="GP56" i="6"/>
  <c r="GQ56" i="6"/>
  <c r="GR56" i="6"/>
  <c r="GS56" i="6"/>
  <c r="GT56" i="6"/>
  <c r="GU56" i="6"/>
  <c r="GV56" i="6"/>
  <c r="GW56" i="6"/>
  <c r="GX56" i="6"/>
  <c r="GY56" i="6"/>
  <c r="GZ56" i="6"/>
  <c r="HA56" i="6"/>
  <c r="HB56" i="6"/>
  <c r="HC56" i="6"/>
  <c r="HD56" i="6"/>
  <c r="HE56" i="6"/>
  <c r="HF56" i="6"/>
  <c r="HG56" i="6"/>
  <c r="HH56" i="6"/>
  <c r="HI56" i="6"/>
  <c r="HJ56" i="6"/>
  <c r="HK56" i="6"/>
  <c r="HL56" i="6"/>
  <c r="HM56" i="6"/>
  <c r="HN56" i="6"/>
  <c r="HO56" i="6"/>
  <c r="HP56" i="6"/>
  <c r="HQ56" i="6"/>
  <c r="HR56" i="6"/>
  <c r="HS56" i="6"/>
  <c r="HT56" i="6"/>
  <c r="HU56" i="6"/>
  <c r="HV56" i="6"/>
  <c r="HW56" i="6"/>
  <c r="HX56" i="6"/>
  <c r="HY56" i="6"/>
  <c r="HZ56" i="6"/>
  <c r="IA56" i="6"/>
  <c r="IB56" i="6"/>
  <c r="IC56" i="6"/>
  <c r="ID56" i="6"/>
  <c r="IE56" i="6"/>
  <c r="IF56" i="6"/>
  <c r="IG56" i="6"/>
  <c r="IH56" i="6"/>
  <c r="II56" i="6"/>
  <c r="IJ56" i="6"/>
  <c r="IK56" i="6"/>
  <c r="IL56" i="6"/>
  <c r="IM56" i="6"/>
  <c r="IN56" i="6"/>
  <c r="IO56" i="6"/>
  <c r="IP56" i="6"/>
  <c r="IQ56" i="6"/>
  <c r="IR56" i="6"/>
  <c r="IS56" i="6"/>
  <c r="IT56" i="6"/>
  <c r="IU56" i="6"/>
  <c r="IV56"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Y57" i="6"/>
  <c r="CZ57" i="6"/>
  <c r="DA57" i="6"/>
  <c r="DB57" i="6"/>
  <c r="DC57" i="6"/>
  <c r="DD57" i="6"/>
  <c r="DE57" i="6"/>
  <c r="DF57" i="6"/>
  <c r="DG57" i="6"/>
  <c r="DH57" i="6"/>
  <c r="DI57" i="6"/>
  <c r="DJ57" i="6"/>
  <c r="DK57" i="6"/>
  <c r="DL57" i="6"/>
  <c r="DM57" i="6"/>
  <c r="DN57" i="6"/>
  <c r="DO57" i="6"/>
  <c r="DP57" i="6"/>
  <c r="DQ57" i="6"/>
  <c r="DR57" i="6"/>
  <c r="DS57" i="6"/>
  <c r="DT57" i="6"/>
  <c r="DU57" i="6"/>
  <c r="DV57" i="6"/>
  <c r="DW57" i="6"/>
  <c r="DX57" i="6"/>
  <c r="DY57" i="6"/>
  <c r="DZ57" i="6"/>
  <c r="EA57" i="6"/>
  <c r="EB57" i="6"/>
  <c r="EC57" i="6"/>
  <c r="ED57" i="6"/>
  <c r="EE57" i="6"/>
  <c r="EF57" i="6"/>
  <c r="EG57" i="6"/>
  <c r="EH57" i="6"/>
  <c r="EI57" i="6"/>
  <c r="EJ57" i="6"/>
  <c r="EK57" i="6"/>
  <c r="EL57" i="6"/>
  <c r="EM57" i="6"/>
  <c r="EN57" i="6"/>
  <c r="EO57" i="6"/>
  <c r="EP57" i="6"/>
  <c r="EQ57" i="6"/>
  <c r="ER57" i="6"/>
  <c r="ES57" i="6"/>
  <c r="ET57" i="6"/>
  <c r="EU57" i="6"/>
  <c r="EV57" i="6"/>
  <c r="EW57" i="6"/>
  <c r="EX57" i="6"/>
  <c r="EY57" i="6"/>
  <c r="EZ57" i="6"/>
  <c r="FA57" i="6"/>
  <c r="FB57" i="6"/>
  <c r="FC57" i="6"/>
  <c r="FD57" i="6"/>
  <c r="FE57" i="6"/>
  <c r="FF57" i="6"/>
  <c r="FG57" i="6"/>
  <c r="FH57" i="6"/>
  <c r="FI57" i="6"/>
  <c r="FJ57" i="6"/>
  <c r="FK57" i="6"/>
  <c r="FL57" i="6"/>
  <c r="FM57" i="6"/>
  <c r="FN57" i="6"/>
  <c r="FO57" i="6"/>
  <c r="FP57" i="6"/>
  <c r="FQ57" i="6"/>
  <c r="FR57" i="6"/>
  <c r="FS57" i="6"/>
  <c r="FT57" i="6"/>
  <c r="FU57" i="6"/>
  <c r="FV57" i="6"/>
  <c r="FW57" i="6"/>
  <c r="FX57" i="6"/>
  <c r="FY57" i="6"/>
  <c r="FZ57" i="6"/>
  <c r="GA57" i="6"/>
  <c r="GB57" i="6"/>
  <c r="GC57" i="6"/>
  <c r="GD57" i="6"/>
  <c r="GE57" i="6"/>
  <c r="GF57" i="6"/>
  <c r="GG57" i="6"/>
  <c r="GH57" i="6"/>
  <c r="GI57" i="6"/>
  <c r="GJ57" i="6"/>
  <c r="GK57" i="6"/>
  <c r="GL57" i="6"/>
  <c r="GM57" i="6"/>
  <c r="GN57" i="6"/>
  <c r="GO57" i="6"/>
  <c r="GP57" i="6"/>
  <c r="GQ57" i="6"/>
  <c r="GR57" i="6"/>
  <c r="GS57" i="6"/>
  <c r="GT57" i="6"/>
  <c r="GU57" i="6"/>
  <c r="GV57" i="6"/>
  <c r="GW57" i="6"/>
  <c r="GX57" i="6"/>
  <c r="GY57" i="6"/>
  <c r="GZ57" i="6"/>
  <c r="HA57" i="6"/>
  <c r="HB57" i="6"/>
  <c r="HC57" i="6"/>
  <c r="HD57" i="6"/>
  <c r="HE57" i="6"/>
  <c r="HF57" i="6"/>
  <c r="HG57" i="6"/>
  <c r="HH57" i="6"/>
  <c r="HI57" i="6"/>
  <c r="HJ57" i="6"/>
  <c r="HK57" i="6"/>
  <c r="HL57" i="6"/>
  <c r="HM57" i="6"/>
  <c r="HN57" i="6"/>
  <c r="HO57" i="6"/>
  <c r="HP57" i="6"/>
  <c r="HQ57" i="6"/>
  <c r="HR57" i="6"/>
  <c r="HS57" i="6"/>
  <c r="HT57" i="6"/>
  <c r="HU57" i="6"/>
  <c r="HV57" i="6"/>
  <c r="HW57" i="6"/>
  <c r="HX57" i="6"/>
  <c r="HY57" i="6"/>
  <c r="HZ57" i="6"/>
  <c r="IA57" i="6"/>
  <c r="IB57" i="6"/>
  <c r="IC57" i="6"/>
  <c r="ID57" i="6"/>
  <c r="IE57" i="6"/>
  <c r="IF57" i="6"/>
  <c r="IG57" i="6"/>
  <c r="IH57" i="6"/>
  <c r="II57" i="6"/>
  <c r="IJ57" i="6"/>
  <c r="IK57" i="6"/>
  <c r="IL57" i="6"/>
  <c r="IM57" i="6"/>
  <c r="IN57" i="6"/>
  <c r="IO57" i="6"/>
  <c r="IP57" i="6"/>
  <c r="IQ57" i="6"/>
  <c r="IR57" i="6"/>
  <c r="IS57" i="6"/>
  <c r="IT57" i="6"/>
  <c r="IU57" i="6"/>
  <c r="IV57"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Y58" i="6"/>
  <c r="CZ58" i="6"/>
  <c r="DA58" i="6"/>
  <c r="DB58" i="6"/>
  <c r="DC58" i="6"/>
  <c r="DD58" i="6"/>
  <c r="DE58" i="6"/>
  <c r="DF58" i="6"/>
  <c r="DG58" i="6"/>
  <c r="DH58" i="6"/>
  <c r="DI58" i="6"/>
  <c r="DJ58" i="6"/>
  <c r="DK58" i="6"/>
  <c r="DL58" i="6"/>
  <c r="DM58" i="6"/>
  <c r="DN58" i="6"/>
  <c r="DO58" i="6"/>
  <c r="DP58" i="6"/>
  <c r="DQ58" i="6"/>
  <c r="DR58" i="6"/>
  <c r="DS58" i="6"/>
  <c r="DT58" i="6"/>
  <c r="DU58" i="6"/>
  <c r="DV58" i="6"/>
  <c r="DW58" i="6"/>
  <c r="DX58" i="6"/>
  <c r="DY58" i="6"/>
  <c r="DZ58" i="6"/>
  <c r="EA58" i="6"/>
  <c r="EB58" i="6"/>
  <c r="EC58" i="6"/>
  <c r="ED58" i="6"/>
  <c r="EE58" i="6"/>
  <c r="EF58" i="6"/>
  <c r="EG58" i="6"/>
  <c r="EH58" i="6"/>
  <c r="EI58" i="6"/>
  <c r="EJ58" i="6"/>
  <c r="EK58" i="6"/>
  <c r="EL58" i="6"/>
  <c r="EM58" i="6"/>
  <c r="EN58" i="6"/>
  <c r="EO58" i="6"/>
  <c r="EP58" i="6"/>
  <c r="EQ58" i="6"/>
  <c r="ER58" i="6"/>
  <c r="ES58" i="6"/>
  <c r="ET58" i="6"/>
  <c r="EU58" i="6"/>
  <c r="EV58" i="6"/>
  <c r="EW58" i="6"/>
  <c r="EX58" i="6"/>
  <c r="EY58" i="6"/>
  <c r="EZ58" i="6"/>
  <c r="FA58" i="6"/>
  <c r="FB58" i="6"/>
  <c r="FC58" i="6"/>
  <c r="FD58" i="6"/>
  <c r="FE58" i="6"/>
  <c r="FF58" i="6"/>
  <c r="FG58" i="6"/>
  <c r="FH58" i="6"/>
  <c r="FI58" i="6"/>
  <c r="FJ58" i="6"/>
  <c r="FK58" i="6"/>
  <c r="FL58" i="6"/>
  <c r="FM58" i="6"/>
  <c r="FN58" i="6"/>
  <c r="FO58" i="6"/>
  <c r="FP58" i="6"/>
  <c r="FQ58" i="6"/>
  <c r="FR58" i="6"/>
  <c r="FS58" i="6"/>
  <c r="FT58" i="6"/>
  <c r="FU58" i="6"/>
  <c r="FV58" i="6"/>
  <c r="FW58" i="6"/>
  <c r="FX58" i="6"/>
  <c r="FY58" i="6"/>
  <c r="FZ58" i="6"/>
  <c r="GA58" i="6"/>
  <c r="GB58" i="6"/>
  <c r="GC58" i="6"/>
  <c r="GD58" i="6"/>
  <c r="GE58" i="6"/>
  <c r="GF58" i="6"/>
  <c r="GG58" i="6"/>
  <c r="GH58" i="6"/>
  <c r="GI58" i="6"/>
  <c r="GJ58" i="6"/>
  <c r="GK58" i="6"/>
  <c r="GL58" i="6"/>
  <c r="GM58" i="6"/>
  <c r="GN58" i="6"/>
  <c r="GO58" i="6"/>
  <c r="GP58" i="6"/>
  <c r="GQ58" i="6"/>
  <c r="GR58" i="6"/>
  <c r="GS58" i="6"/>
  <c r="GT58" i="6"/>
  <c r="GU58" i="6"/>
  <c r="GV58" i="6"/>
  <c r="GW58" i="6"/>
  <c r="GX58" i="6"/>
  <c r="GY58" i="6"/>
  <c r="GZ58" i="6"/>
  <c r="HA58" i="6"/>
  <c r="HB58" i="6"/>
  <c r="HC58" i="6"/>
  <c r="HD58" i="6"/>
  <c r="HE58" i="6"/>
  <c r="HF58" i="6"/>
  <c r="HG58" i="6"/>
  <c r="HH58" i="6"/>
  <c r="HI58" i="6"/>
  <c r="HJ58" i="6"/>
  <c r="HK58" i="6"/>
  <c r="HL58" i="6"/>
  <c r="HM58" i="6"/>
  <c r="HN58" i="6"/>
  <c r="HO58" i="6"/>
  <c r="HP58" i="6"/>
  <c r="HQ58" i="6"/>
  <c r="HR58" i="6"/>
  <c r="HS58" i="6"/>
  <c r="HT58" i="6"/>
  <c r="HU58" i="6"/>
  <c r="HV58" i="6"/>
  <c r="HW58" i="6"/>
  <c r="HX58" i="6"/>
  <c r="HY58" i="6"/>
  <c r="HZ58" i="6"/>
  <c r="IA58" i="6"/>
  <c r="IB58" i="6"/>
  <c r="IC58" i="6"/>
  <c r="ID58" i="6"/>
  <c r="IE58" i="6"/>
  <c r="IF58" i="6"/>
  <c r="IG58" i="6"/>
  <c r="IH58" i="6"/>
  <c r="II58" i="6"/>
  <c r="IJ58" i="6"/>
  <c r="IK58" i="6"/>
  <c r="IL58" i="6"/>
  <c r="IM58" i="6"/>
  <c r="IN58" i="6"/>
  <c r="IO58" i="6"/>
  <c r="IP58" i="6"/>
  <c r="IQ58" i="6"/>
  <c r="IR58" i="6"/>
  <c r="IS58" i="6"/>
  <c r="IT58" i="6"/>
  <c r="IU58" i="6"/>
  <c r="IV58"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Y59" i="6"/>
  <c r="CZ59" i="6"/>
  <c r="DA59" i="6"/>
  <c r="DB59" i="6"/>
  <c r="DC59" i="6"/>
  <c r="DD59" i="6"/>
  <c r="DE59" i="6"/>
  <c r="DF59" i="6"/>
  <c r="DG59" i="6"/>
  <c r="DH59" i="6"/>
  <c r="DI59" i="6"/>
  <c r="DJ59" i="6"/>
  <c r="DK59" i="6"/>
  <c r="DL59" i="6"/>
  <c r="DM59" i="6"/>
  <c r="DN59" i="6"/>
  <c r="DO59" i="6"/>
  <c r="DP59" i="6"/>
  <c r="DQ59" i="6"/>
  <c r="DR59" i="6"/>
  <c r="DS59" i="6"/>
  <c r="DT59" i="6"/>
  <c r="DU59" i="6"/>
  <c r="DV59" i="6"/>
  <c r="DW59" i="6"/>
  <c r="DX59" i="6"/>
  <c r="DY59" i="6"/>
  <c r="DZ59" i="6"/>
  <c r="EA59" i="6"/>
  <c r="EB59" i="6"/>
  <c r="EC59" i="6"/>
  <c r="ED59" i="6"/>
  <c r="EE59" i="6"/>
  <c r="EF59" i="6"/>
  <c r="EG59" i="6"/>
  <c r="EH59" i="6"/>
  <c r="EI59" i="6"/>
  <c r="EJ59" i="6"/>
  <c r="EK59" i="6"/>
  <c r="EL59" i="6"/>
  <c r="EM59" i="6"/>
  <c r="EN59" i="6"/>
  <c r="EO59" i="6"/>
  <c r="EP59" i="6"/>
  <c r="EQ59" i="6"/>
  <c r="ER59" i="6"/>
  <c r="ES59" i="6"/>
  <c r="ET59" i="6"/>
  <c r="EU59" i="6"/>
  <c r="EV59" i="6"/>
  <c r="EW59" i="6"/>
  <c r="EX59" i="6"/>
  <c r="EY59" i="6"/>
  <c r="EZ59" i="6"/>
  <c r="FA59" i="6"/>
  <c r="FB59" i="6"/>
  <c r="FC59" i="6"/>
  <c r="FD59" i="6"/>
  <c r="FE59" i="6"/>
  <c r="FF59" i="6"/>
  <c r="FG59" i="6"/>
  <c r="FH59" i="6"/>
  <c r="FI59" i="6"/>
  <c r="FJ59" i="6"/>
  <c r="FK59" i="6"/>
  <c r="FL59" i="6"/>
  <c r="FM59" i="6"/>
  <c r="FN59" i="6"/>
  <c r="FO59" i="6"/>
  <c r="FP59" i="6"/>
  <c r="FQ59" i="6"/>
  <c r="FR59" i="6"/>
  <c r="FS59" i="6"/>
  <c r="FT59" i="6"/>
  <c r="FU59" i="6"/>
  <c r="FV59" i="6"/>
  <c r="FW59" i="6"/>
  <c r="FX59" i="6"/>
  <c r="FY59" i="6"/>
  <c r="FZ59" i="6"/>
  <c r="GA59" i="6"/>
  <c r="GB59" i="6"/>
  <c r="GC59" i="6"/>
  <c r="GD59" i="6"/>
  <c r="GE59" i="6"/>
  <c r="GF59" i="6"/>
  <c r="GG59" i="6"/>
  <c r="GH59" i="6"/>
  <c r="GI59" i="6"/>
  <c r="GJ59" i="6"/>
  <c r="GK59" i="6"/>
  <c r="GL59" i="6"/>
  <c r="GM59" i="6"/>
  <c r="GN59" i="6"/>
  <c r="GO59" i="6"/>
  <c r="GP59" i="6"/>
  <c r="GQ59" i="6"/>
  <c r="GR59" i="6"/>
  <c r="GS59" i="6"/>
  <c r="GT59" i="6"/>
  <c r="GU59" i="6"/>
  <c r="GV59" i="6"/>
  <c r="GW59" i="6"/>
  <c r="GX59" i="6"/>
  <c r="GY59" i="6"/>
  <c r="GZ59" i="6"/>
  <c r="HA59" i="6"/>
  <c r="HB59" i="6"/>
  <c r="HC59" i="6"/>
  <c r="HD59" i="6"/>
  <c r="HE59" i="6"/>
  <c r="HF59" i="6"/>
  <c r="HG59" i="6"/>
  <c r="HH59" i="6"/>
  <c r="HI59" i="6"/>
  <c r="HJ59" i="6"/>
  <c r="HK59" i="6"/>
  <c r="HL59" i="6"/>
  <c r="HM59" i="6"/>
  <c r="HN59" i="6"/>
  <c r="HO59" i="6"/>
  <c r="HP59" i="6"/>
  <c r="HQ59" i="6"/>
  <c r="HR59" i="6"/>
  <c r="HS59" i="6"/>
  <c r="HT59" i="6"/>
  <c r="HU59" i="6"/>
  <c r="HV59" i="6"/>
  <c r="HW59" i="6"/>
  <c r="HX59" i="6"/>
  <c r="HY59" i="6"/>
  <c r="HZ59" i="6"/>
  <c r="IA59" i="6"/>
  <c r="IB59" i="6"/>
  <c r="IC59" i="6"/>
  <c r="ID59" i="6"/>
  <c r="IE59" i="6"/>
  <c r="IF59" i="6"/>
  <c r="IG59" i="6"/>
  <c r="IH59" i="6"/>
  <c r="II59" i="6"/>
  <c r="IJ59" i="6"/>
  <c r="IK59" i="6"/>
  <c r="IL59" i="6"/>
  <c r="IM59" i="6"/>
  <c r="IN59" i="6"/>
  <c r="IO59" i="6"/>
  <c r="IP59" i="6"/>
  <c r="IQ59" i="6"/>
  <c r="IR59" i="6"/>
  <c r="IS59" i="6"/>
  <c r="IT59" i="6"/>
  <c r="IU59" i="6"/>
  <c r="IV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BO60" i="6"/>
  <c r="BP60" i="6"/>
  <c r="BQ60" i="6"/>
  <c r="BR60" i="6"/>
  <c r="BS60" i="6"/>
  <c r="BT60" i="6"/>
  <c r="BU60" i="6"/>
  <c r="BV60" i="6"/>
  <c r="BW60" i="6"/>
  <c r="BX60" i="6"/>
  <c r="BY60" i="6"/>
  <c r="BZ60" i="6"/>
  <c r="CA60" i="6"/>
  <c r="CB60" i="6"/>
  <c r="CC60" i="6"/>
  <c r="CD60" i="6"/>
  <c r="CE60" i="6"/>
  <c r="CF60" i="6"/>
  <c r="CG60" i="6"/>
  <c r="CH60" i="6"/>
  <c r="CI60" i="6"/>
  <c r="CJ60" i="6"/>
  <c r="CK60" i="6"/>
  <c r="CL60" i="6"/>
  <c r="CM60" i="6"/>
  <c r="CN60" i="6"/>
  <c r="CO60" i="6"/>
  <c r="CP60" i="6"/>
  <c r="CQ60" i="6"/>
  <c r="CR60" i="6"/>
  <c r="CS60" i="6"/>
  <c r="CT60" i="6"/>
  <c r="CU60" i="6"/>
  <c r="CV60" i="6"/>
  <c r="CW60" i="6"/>
  <c r="CX60" i="6"/>
  <c r="CY60" i="6"/>
  <c r="CZ60" i="6"/>
  <c r="DA60" i="6"/>
  <c r="DB60" i="6"/>
  <c r="DC60" i="6"/>
  <c r="DD60" i="6"/>
  <c r="DE60" i="6"/>
  <c r="DF60" i="6"/>
  <c r="DG60" i="6"/>
  <c r="DH60" i="6"/>
  <c r="DI60" i="6"/>
  <c r="DJ60" i="6"/>
  <c r="DK60" i="6"/>
  <c r="DL60" i="6"/>
  <c r="DM60" i="6"/>
  <c r="DN60" i="6"/>
  <c r="DO60" i="6"/>
  <c r="DP60" i="6"/>
  <c r="DQ60" i="6"/>
  <c r="DR60" i="6"/>
  <c r="DS60" i="6"/>
  <c r="DT60" i="6"/>
  <c r="DU60" i="6"/>
  <c r="DV60" i="6"/>
  <c r="DW60" i="6"/>
  <c r="DX60" i="6"/>
  <c r="DY60" i="6"/>
  <c r="DZ60" i="6"/>
  <c r="EA60" i="6"/>
  <c r="EB60" i="6"/>
  <c r="EC60" i="6"/>
  <c r="ED60" i="6"/>
  <c r="EE60" i="6"/>
  <c r="EF60" i="6"/>
  <c r="EG60" i="6"/>
  <c r="EH60" i="6"/>
  <c r="EI60" i="6"/>
  <c r="EJ60" i="6"/>
  <c r="EK60" i="6"/>
  <c r="EL60" i="6"/>
  <c r="EM60" i="6"/>
  <c r="EN60" i="6"/>
  <c r="EO60" i="6"/>
  <c r="EP60" i="6"/>
  <c r="EQ60" i="6"/>
  <c r="ER60" i="6"/>
  <c r="ES60" i="6"/>
  <c r="ET60" i="6"/>
  <c r="EU60" i="6"/>
  <c r="EV60" i="6"/>
  <c r="EW60" i="6"/>
  <c r="EX60" i="6"/>
  <c r="EY60" i="6"/>
  <c r="EZ60" i="6"/>
  <c r="FA60" i="6"/>
  <c r="FB60" i="6"/>
  <c r="FC60" i="6"/>
  <c r="FD60" i="6"/>
  <c r="FE60" i="6"/>
  <c r="FF60" i="6"/>
  <c r="FG60" i="6"/>
  <c r="FH60" i="6"/>
  <c r="FI60" i="6"/>
  <c r="FJ60" i="6"/>
  <c r="FK60" i="6"/>
  <c r="FL60" i="6"/>
  <c r="FM60" i="6"/>
  <c r="FN60" i="6"/>
  <c r="FO60" i="6"/>
  <c r="FP60" i="6"/>
  <c r="FQ60" i="6"/>
  <c r="FR60" i="6"/>
  <c r="FS60" i="6"/>
  <c r="FT60" i="6"/>
  <c r="FU60" i="6"/>
  <c r="FV60" i="6"/>
  <c r="FW60" i="6"/>
  <c r="FX60" i="6"/>
  <c r="FY60" i="6"/>
  <c r="FZ60" i="6"/>
  <c r="GA60" i="6"/>
  <c r="GB60" i="6"/>
  <c r="GC60" i="6"/>
  <c r="GD60" i="6"/>
  <c r="GE60" i="6"/>
  <c r="GF60" i="6"/>
  <c r="GG60" i="6"/>
  <c r="GH60" i="6"/>
  <c r="GI60" i="6"/>
  <c r="GJ60" i="6"/>
  <c r="GK60" i="6"/>
  <c r="GL60" i="6"/>
  <c r="GM60" i="6"/>
  <c r="GN60" i="6"/>
  <c r="GO60" i="6"/>
  <c r="GP60" i="6"/>
  <c r="GQ60" i="6"/>
  <c r="GR60" i="6"/>
  <c r="GS60" i="6"/>
  <c r="GT60" i="6"/>
  <c r="GU60" i="6"/>
  <c r="GV60" i="6"/>
  <c r="GW60" i="6"/>
  <c r="GX60" i="6"/>
  <c r="GY60" i="6"/>
  <c r="GZ60" i="6"/>
  <c r="HA60" i="6"/>
  <c r="HB60" i="6"/>
  <c r="HC60" i="6"/>
  <c r="HD60" i="6"/>
  <c r="HE60" i="6"/>
  <c r="HF60" i="6"/>
  <c r="HG60" i="6"/>
  <c r="HH60" i="6"/>
  <c r="HI60" i="6"/>
  <c r="HJ60" i="6"/>
  <c r="HK60" i="6"/>
  <c r="HL60" i="6"/>
  <c r="HM60" i="6"/>
  <c r="HN60" i="6"/>
  <c r="HO60" i="6"/>
  <c r="HP60" i="6"/>
  <c r="HQ60" i="6"/>
  <c r="HR60" i="6"/>
  <c r="HS60" i="6"/>
  <c r="HT60" i="6"/>
  <c r="HU60" i="6"/>
  <c r="HV60" i="6"/>
  <c r="HW60" i="6"/>
  <c r="HX60" i="6"/>
  <c r="HY60" i="6"/>
  <c r="HZ60" i="6"/>
  <c r="IA60" i="6"/>
  <c r="IB60" i="6"/>
  <c r="IC60" i="6"/>
  <c r="ID60" i="6"/>
  <c r="IE60" i="6"/>
  <c r="IF60" i="6"/>
  <c r="IG60" i="6"/>
  <c r="IH60" i="6"/>
  <c r="II60" i="6"/>
  <c r="IJ60" i="6"/>
  <c r="IK60" i="6"/>
  <c r="IL60" i="6"/>
  <c r="IM60" i="6"/>
  <c r="IN60" i="6"/>
  <c r="IO60" i="6"/>
  <c r="IP60" i="6"/>
  <c r="IQ60" i="6"/>
  <c r="IR60" i="6"/>
  <c r="IS60" i="6"/>
  <c r="IT60" i="6"/>
  <c r="IU60" i="6"/>
  <c r="IV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Y61" i="6"/>
  <c r="CZ61" i="6"/>
  <c r="DA61" i="6"/>
  <c r="DB61" i="6"/>
  <c r="DC61" i="6"/>
  <c r="DD61" i="6"/>
  <c r="DE61" i="6"/>
  <c r="DF61" i="6"/>
  <c r="DG61" i="6"/>
  <c r="DH61" i="6"/>
  <c r="DI61" i="6"/>
  <c r="DJ61" i="6"/>
  <c r="DK61" i="6"/>
  <c r="DL61" i="6"/>
  <c r="DM61" i="6"/>
  <c r="DN61" i="6"/>
  <c r="DO61" i="6"/>
  <c r="DP61" i="6"/>
  <c r="DQ61" i="6"/>
  <c r="DR61" i="6"/>
  <c r="DS61" i="6"/>
  <c r="DT61" i="6"/>
  <c r="DU61" i="6"/>
  <c r="DV61" i="6"/>
  <c r="DW61" i="6"/>
  <c r="DX61" i="6"/>
  <c r="DY61" i="6"/>
  <c r="DZ61" i="6"/>
  <c r="EA61" i="6"/>
  <c r="EB61" i="6"/>
  <c r="EC61" i="6"/>
  <c r="ED61" i="6"/>
  <c r="EE61" i="6"/>
  <c r="EF61" i="6"/>
  <c r="EG61" i="6"/>
  <c r="EH61" i="6"/>
  <c r="EI61" i="6"/>
  <c r="EJ61" i="6"/>
  <c r="EK61" i="6"/>
  <c r="EL61" i="6"/>
  <c r="EM61" i="6"/>
  <c r="EN61" i="6"/>
  <c r="EO61" i="6"/>
  <c r="EP61" i="6"/>
  <c r="EQ61" i="6"/>
  <c r="ER61" i="6"/>
  <c r="ES61" i="6"/>
  <c r="ET61" i="6"/>
  <c r="EU61" i="6"/>
  <c r="EV61" i="6"/>
  <c r="EW61" i="6"/>
  <c r="EX61" i="6"/>
  <c r="EY61" i="6"/>
  <c r="EZ61" i="6"/>
  <c r="FA61" i="6"/>
  <c r="FB61" i="6"/>
  <c r="FC61" i="6"/>
  <c r="FD61" i="6"/>
  <c r="FE61" i="6"/>
  <c r="FF61" i="6"/>
  <c r="FG61" i="6"/>
  <c r="FH61" i="6"/>
  <c r="FI61" i="6"/>
  <c r="FJ61" i="6"/>
  <c r="FK61" i="6"/>
  <c r="FL61" i="6"/>
  <c r="FM61" i="6"/>
  <c r="FN61" i="6"/>
  <c r="FO61" i="6"/>
  <c r="FP61" i="6"/>
  <c r="FQ61" i="6"/>
  <c r="FR61" i="6"/>
  <c r="FS61" i="6"/>
  <c r="FT61" i="6"/>
  <c r="FU61" i="6"/>
  <c r="FV61" i="6"/>
  <c r="FW61" i="6"/>
  <c r="FX61" i="6"/>
  <c r="FY61" i="6"/>
  <c r="FZ61" i="6"/>
  <c r="GA61" i="6"/>
  <c r="GB61" i="6"/>
  <c r="GC61" i="6"/>
  <c r="GD61" i="6"/>
  <c r="GE61" i="6"/>
  <c r="GF61" i="6"/>
  <c r="GG61" i="6"/>
  <c r="GH61" i="6"/>
  <c r="GI61" i="6"/>
  <c r="GJ61" i="6"/>
  <c r="GK61" i="6"/>
  <c r="GL61" i="6"/>
  <c r="GM61" i="6"/>
  <c r="GN61" i="6"/>
  <c r="GO61" i="6"/>
  <c r="GP61" i="6"/>
  <c r="GQ61" i="6"/>
  <c r="GR61" i="6"/>
  <c r="GS61" i="6"/>
  <c r="GT61" i="6"/>
  <c r="GU61" i="6"/>
  <c r="GV61" i="6"/>
  <c r="GW61" i="6"/>
  <c r="GX61" i="6"/>
  <c r="GY61" i="6"/>
  <c r="GZ61" i="6"/>
  <c r="HA61" i="6"/>
  <c r="HB61" i="6"/>
  <c r="HC61" i="6"/>
  <c r="HD61" i="6"/>
  <c r="HE61" i="6"/>
  <c r="HF61" i="6"/>
  <c r="HG61" i="6"/>
  <c r="HH61" i="6"/>
  <c r="HI61" i="6"/>
  <c r="HJ61" i="6"/>
  <c r="HK61" i="6"/>
  <c r="HL61" i="6"/>
  <c r="HM61" i="6"/>
  <c r="HN61" i="6"/>
  <c r="HO61" i="6"/>
  <c r="HP61" i="6"/>
  <c r="HQ61" i="6"/>
  <c r="HR61" i="6"/>
  <c r="HS61" i="6"/>
  <c r="HT61" i="6"/>
  <c r="HU61" i="6"/>
  <c r="HV61" i="6"/>
  <c r="HW61" i="6"/>
  <c r="HX61" i="6"/>
  <c r="HY61" i="6"/>
  <c r="HZ61" i="6"/>
  <c r="IA61" i="6"/>
  <c r="IB61" i="6"/>
  <c r="IC61" i="6"/>
  <c r="ID61" i="6"/>
  <c r="IE61" i="6"/>
  <c r="IF61" i="6"/>
  <c r="IG61" i="6"/>
  <c r="IH61" i="6"/>
  <c r="II61" i="6"/>
  <c r="IJ61" i="6"/>
  <c r="IK61" i="6"/>
  <c r="IL61" i="6"/>
  <c r="IM61" i="6"/>
  <c r="IN61" i="6"/>
  <c r="IO61" i="6"/>
  <c r="IP61" i="6"/>
  <c r="IQ61" i="6"/>
  <c r="IR61" i="6"/>
  <c r="IS61" i="6"/>
  <c r="IT61" i="6"/>
  <c r="IU61" i="6"/>
  <c r="IV61"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N62" i="6"/>
  <c r="DO62" i="6"/>
  <c r="DP62" i="6"/>
  <c r="DQ62" i="6"/>
  <c r="DR62" i="6"/>
  <c r="DS62" i="6"/>
  <c r="DT62" i="6"/>
  <c r="DU62" i="6"/>
  <c r="DV62" i="6"/>
  <c r="DW62" i="6"/>
  <c r="DX62" i="6"/>
  <c r="DY62" i="6"/>
  <c r="DZ62" i="6"/>
  <c r="EA62" i="6"/>
  <c r="EB62" i="6"/>
  <c r="EC62" i="6"/>
  <c r="ED62" i="6"/>
  <c r="EE62" i="6"/>
  <c r="EF62" i="6"/>
  <c r="EG62" i="6"/>
  <c r="EH62" i="6"/>
  <c r="EI62" i="6"/>
  <c r="EJ62" i="6"/>
  <c r="EK62" i="6"/>
  <c r="EL62" i="6"/>
  <c r="EM62" i="6"/>
  <c r="EN62" i="6"/>
  <c r="EO62" i="6"/>
  <c r="EP62" i="6"/>
  <c r="EQ62" i="6"/>
  <c r="ER62" i="6"/>
  <c r="ES62" i="6"/>
  <c r="ET62" i="6"/>
  <c r="EU62" i="6"/>
  <c r="EV62" i="6"/>
  <c r="EW62" i="6"/>
  <c r="EX62" i="6"/>
  <c r="EY62" i="6"/>
  <c r="EZ62" i="6"/>
  <c r="FA62" i="6"/>
  <c r="FB62" i="6"/>
  <c r="FC62" i="6"/>
  <c r="FD62" i="6"/>
  <c r="FE62" i="6"/>
  <c r="FF62" i="6"/>
  <c r="FG62" i="6"/>
  <c r="FH62" i="6"/>
  <c r="FI62" i="6"/>
  <c r="FJ62" i="6"/>
  <c r="FK62" i="6"/>
  <c r="FL62" i="6"/>
  <c r="FM62" i="6"/>
  <c r="FN62" i="6"/>
  <c r="FO62" i="6"/>
  <c r="FP62" i="6"/>
  <c r="FQ62" i="6"/>
  <c r="FR62" i="6"/>
  <c r="FS62" i="6"/>
  <c r="FT62" i="6"/>
  <c r="FU62" i="6"/>
  <c r="FV62" i="6"/>
  <c r="FW62" i="6"/>
  <c r="FX62" i="6"/>
  <c r="FY62" i="6"/>
  <c r="FZ62" i="6"/>
  <c r="GA62" i="6"/>
  <c r="GB62" i="6"/>
  <c r="GC62" i="6"/>
  <c r="GD62" i="6"/>
  <c r="GE62" i="6"/>
  <c r="GF62" i="6"/>
  <c r="GG62" i="6"/>
  <c r="GH62" i="6"/>
  <c r="GI62" i="6"/>
  <c r="GJ62" i="6"/>
  <c r="GK62" i="6"/>
  <c r="GL62" i="6"/>
  <c r="GM62" i="6"/>
  <c r="GN62" i="6"/>
  <c r="GO62" i="6"/>
  <c r="GP62" i="6"/>
  <c r="GQ62" i="6"/>
  <c r="GR62" i="6"/>
  <c r="GS62" i="6"/>
  <c r="GT62" i="6"/>
  <c r="GU62" i="6"/>
  <c r="GV62" i="6"/>
  <c r="GW62" i="6"/>
  <c r="GX62" i="6"/>
  <c r="GY62" i="6"/>
  <c r="GZ62" i="6"/>
  <c r="HA62" i="6"/>
  <c r="HB62" i="6"/>
  <c r="HC62" i="6"/>
  <c r="HD62" i="6"/>
  <c r="HE62" i="6"/>
  <c r="HF62" i="6"/>
  <c r="HG62" i="6"/>
  <c r="HH62" i="6"/>
  <c r="HI62" i="6"/>
  <c r="HJ62" i="6"/>
  <c r="HK62" i="6"/>
  <c r="HL62" i="6"/>
  <c r="HM62" i="6"/>
  <c r="HN62" i="6"/>
  <c r="HO62" i="6"/>
  <c r="HP62" i="6"/>
  <c r="HQ62" i="6"/>
  <c r="HR62" i="6"/>
  <c r="HS62" i="6"/>
  <c r="HT62" i="6"/>
  <c r="HU62" i="6"/>
  <c r="HV62" i="6"/>
  <c r="HW62" i="6"/>
  <c r="HX62" i="6"/>
  <c r="HY62" i="6"/>
  <c r="HZ62" i="6"/>
  <c r="IA62" i="6"/>
  <c r="IB62" i="6"/>
  <c r="IC62" i="6"/>
  <c r="ID62" i="6"/>
  <c r="IE62" i="6"/>
  <c r="IF62" i="6"/>
  <c r="IG62" i="6"/>
  <c r="IH62" i="6"/>
  <c r="II62" i="6"/>
  <c r="IJ62" i="6"/>
  <c r="IK62" i="6"/>
  <c r="IL62" i="6"/>
  <c r="IM62" i="6"/>
  <c r="IN62" i="6"/>
  <c r="IO62" i="6"/>
  <c r="IP62" i="6"/>
  <c r="IQ62" i="6"/>
  <c r="IR62" i="6"/>
  <c r="IS62" i="6"/>
  <c r="IT62" i="6"/>
  <c r="IU62" i="6"/>
  <c r="IV62"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Y63" i="6"/>
  <c r="CZ63" i="6"/>
  <c r="DA63" i="6"/>
  <c r="DB63" i="6"/>
  <c r="DC63" i="6"/>
  <c r="DD63" i="6"/>
  <c r="DE63" i="6"/>
  <c r="DF63" i="6"/>
  <c r="DG63" i="6"/>
  <c r="DH63" i="6"/>
  <c r="DI63" i="6"/>
  <c r="DJ63" i="6"/>
  <c r="DK63" i="6"/>
  <c r="DL63" i="6"/>
  <c r="DM63" i="6"/>
  <c r="DN63" i="6"/>
  <c r="DO63" i="6"/>
  <c r="DP63" i="6"/>
  <c r="DQ63" i="6"/>
  <c r="DR63" i="6"/>
  <c r="DS63" i="6"/>
  <c r="DT63" i="6"/>
  <c r="DU63" i="6"/>
  <c r="DV63" i="6"/>
  <c r="DW63" i="6"/>
  <c r="DX63" i="6"/>
  <c r="DY63" i="6"/>
  <c r="DZ63" i="6"/>
  <c r="EA63" i="6"/>
  <c r="EB63" i="6"/>
  <c r="EC63" i="6"/>
  <c r="ED63" i="6"/>
  <c r="EE63" i="6"/>
  <c r="EF63" i="6"/>
  <c r="EG63" i="6"/>
  <c r="EH63" i="6"/>
  <c r="EI63" i="6"/>
  <c r="EJ63" i="6"/>
  <c r="EK63" i="6"/>
  <c r="EL63" i="6"/>
  <c r="EM63" i="6"/>
  <c r="EN63" i="6"/>
  <c r="EO63" i="6"/>
  <c r="EP63" i="6"/>
  <c r="EQ63" i="6"/>
  <c r="ER63" i="6"/>
  <c r="ES63" i="6"/>
  <c r="ET63" i="6"/>
  <c r="EU63" i="6"/>
  <c r="EV63" i="6"/>
  <c r="EW63" i="6"/>
  <c r="EX63" i="6"/>
  <c r="EY63" i="6"/>
  <c r="EZ63" i="6"/>
  <c r="FA63" i="6"/>
  <c r="FB63" i="6"/>
  <c r="FC63" i="6"/>
  <c r="FD63" i="6"/>
  <c r="FE63" i="6"/>
  <c r="FF63" i="6"/>
  <c r="FG63" i="6"/>
  <c r="FH63" i="6"/>
  <c r="FI63" i="6"/>
  <c r="FJ63" i="6"/>
  <c r="FK63" i="6"/>
  <c r="FL63" i="6"/>
  <c r="FM63" i="6"/>
  <c r="FN63" i="6"/>
  <c r="FO63" i="6"/>
  <c r="FP63" i="6"/>
  <c r="FQ63" i="6"/>
  <c r="FR63" i="6"/>
  <c r="FS63" i="6"/>
  <c r="FT63" i="6"/>
  <c r="FU63" i="6"/>
  <c r="FV63" i="6"/>
  <c r="FW63" i="6"/>
  <c r="FX63" i="6"/>
  <c r="FY63" i="6"/>
  <c r="FZ63" i="6"/>
  <c r="GA63" i="6"/>
  <c r="GB63" i="6"/>
  <c r="GC63" i="6"/>
  <c r="GD63" i="6"/>
  <c r="GE63" i="6"/>
  <c r="GF63" i="6"/>
  <c r="GG63" i="6"/>
  <c r="GH63" i="6"/>
  <c r="GI63" i="6"/>
  <c r="GJ63" i="6"/>
  <c r="GK63" i="6"/>
  <c r="GL63" i="6"/>
  <c r="GM63" i="6"/>
  <c r="GN63" i="6"/>
  <c r="GO63" i="6"/>
  <c r="GP63" i="6"/>
  <c r="GQ63" i="6"/>
  <c r="GR63" i="6"/>
  <c r="GS63" i="6"/>
  <c r="GT63" i="6"/>
  <c r="GU63" i="6"/>
  <c r="GV63" i="6"/>
  <c r="GW63" i="6"/>
  <c r="GX63" i="6"/>
  <c r="GY63" i="6"/>
  <c r="GZ63" i="6"/>
  <c r="HA63" i="6"/>
  <c r="HB63" i="6"/>
  <c r="HC63" i="6"/>
  <c r="HD63" i="6"/>
  <c r="HE63" i="6"/>
  <c r="HF63" i="6"/>
  <c r="HG63" i="6"/>
  <c r="HH63" i="6"/>
  <c r="HI63" i="6"/>
  <c r="HJ63" i="6"/>
  <c r="HK63" i="6"/>
  <c r="HL63" i="6"/>
  <c r="HM63" i="6"/>
  <c r="HN63" i="6"/>
  <c r="HO63" i="6"/>
  <c r="HP63" i="6"/>
  <c r="HQ63" i="6"/>
  <c r="HR63" i="6"/>
  <c r="HS63" i="6"/>
  <c r="HT63" i="6"/>
  <c r="HU63" i="6"/>
  <c r="HV63" i="6"/>
  <c r="HW63" i="6"/>
  <c r="HX63" i="6"/>
  <c r="HY63" i="6"/>
  <c r="HZ63" i="6"/>
  <c r="IA63" i="6"/>
  <c r="IB63" i="6"/>
  <c r="IC63" i="6"/>
  <c r="ID63" i="6"/>
  <c r="IE63" i="6"/>
  <c r="IF63" i="6"/>
  <c r="IG63" i="6"/>
  <c r="IH63" i="6"/>
  <c r="II63" i="6"/>
  <c r="IJ63" i="6"/>
  <c r="IK63" i="6"/>
  <c r="IL63" i="6"/>
  <c r="IM63" i="6"/>
  <c r="IN63" i="6"/>
  <c r="IO63" i="6"/>
  <c r="IP63" i="6"/>
  <c r="IQ63" i="6"/>
  <c r="IR63" i="6"/>
  <c r="IS63" i="6"/>
  <c r="IT63" i="6"/>
  <c r="IU63" i="6"/>
  <c r="IV63"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Y64" i="6"/>
  <c r="CZ64" i="6"/>
  <c r="DA64" i="6"/>
  <c r="DB64" i="6"/>
  <c r="DC64" i="6"/>
  <c r="DD64" i="6"/>
  <c r="DE64" i="6"/>
  <c r="DF64" i="6"/>
  <c r="DG64" i="6"/>
  <c r="DH64" i="6"/>
  <c r="DI64" i="6"/>
  <c r="DJ64" i="6"/>
  <c r="DK64" i="6"/>
  <c r="DL64" i="6"/>
  <c r="DM64" i="6"/>
  <c r="DN64" i="6"/>
  <c r="DO64" i="6"/>
  <c r="DP64" i="6"/>
  <c r="DQ64" i="6"/>
  <c r="DR64" i="6"/>
  <c r="DS64" i="6"/>
  <c r="DT64" i="6"/>
  <c r="DU64" i="6"/>
  <c r="DV64" i="6"/>
  <c r="DW64" i="6"/>
  <c r="DX64" i="6"/>
  <c r="DY64" i="6"/>
  <c r="DZ64" i="6"/>
  <c r="EA64" i="6"/>
  <c r="EB64" i="6"/>
  <c r="EC64" i="6"/>
  <c r="ED64" i="6"/>
  <c r="EE64" i="6"/>
  <c r="EF64" i="6"/>
  <c r="EG64" i="6"/>
  <c r="EH64" i="6"/>
  <c r="EI64" i="6"/>
  <c r="EJ64" i="6"/>
  <c r="EK64" i="6"/>
  <c r="EL64" i="6"/>
  <c r="EM64" i="6"/>
  <c r="EN64" i="6"/>
  <c r="EO64" i="6"/>
  <c r="EP64" i="6"/>
  <c r="EQ64" i="6"/>
  <c r="ER64" i="6"/>
  <c r="ES64" i="6"/>
  <c r="ET64" i="6"/>
  <c r="EU64" i="6"/>
  <c r="EV64" i="6"/>
  <c r="EW64" i="6"/>
  <c r="EX64" i="6"/>
  <c r="EY64" i="6"/>
  <c r="EZ64" i="6"/>
  <c r="FA64" i="6"/>
  <c r="FB64" i="6"/>
  <c r="FC64" i="6"/>
  <c r="FD64" i="6"/>
  <c r="FE64" i="6"/>
  <c r="FF64" i="6"/>
  <c r="FG64" i="6"/>
  <c r="FH64" i="6"/>
  <c r="FI64" i="6"/>
  <c r="FJ64" i="6"/>
  <c r="FK64" i="6"/>
  <c r="FL64" i="6"/>
  <c r="FM64" i="6"/>
  <c r="FN64" i="6"/>
  <c r="FO64" i="6"/>
  <c r="FP64" i="6"/>
  <c r="FQ64" i="6"/>
  <c r="FR64" i="6"/>
  <c r="FS64" i="6"/>
  <c r="FT64" i="6"/>
  <c r="FU64" i="6"/>
  <c r="FV64" i="6"/>
  <c r="FW64" i="6"/>
  <c r="FX64" i="6"/>
  <c r="FY64" i="6"/>
  <c r="FZ64" i="6"/>
  <c r="GA64" i="6"/>
  <c r="GB64" i="6"/>
  <c r="GC64" i="6"/>
  <c r="GD64" i="6"/>
  <c r="GE64" i="6"/>
  <c r="GF64" i="6"/>
  <c r="GG64" i="6"/>
  <c r="GH64" i="6"/>
  <c r="GI64" i="6"/>
  <c r="GJ64" i="6"/>
  <c r="GK64" i="6"/>
  <c r="GL64" i="6"/>
  <c r="GM64" i="6"/>
  <c r="GN64" i="6"/>
  <c r="GO64" i="6"/>
  <c r="GP64" i="6"/>
  <c r="GQ64" i="6"/>
  <c r="GR64" i="6"/>
  <c r="GS64" i="6"/>
  <c r="GT64" i="6"/>
  <c r="GU64" i="6"/>
  <c r="GV64" i="6"/>
  <c r="GW64" i="6"/>
  <c r="GX64" i="6"/>
  <c r="GY64" i="6"/>
  <c r="GZ64" i="6"/>
  <c r="HA64" i="6"/>
  <c r="HB64" i="6"/>
  <c r="HC64" i="6"/>
  <c r="HD64" i="6"/>
  <c r="HE64" i="6"/>
  <c r="HF64" i="6"/>
  <c r="HG64" i="6"/>
  <c r="HH64" i="6"/>
  <c r="HI64" i="6"/>
  <c r="HJ64" i="6"/>
  <c r="HK64" i="6"/>
  <c r="HL64" i="6"/>
  <c r="HM64" i="6"/>
  <c r="HN64" i="6"/>
  <c r="HO64" i="6"/>
  <c r="HP64" i="6"/>
  <c r="HQ64" i="6"/>
  <c r="HR64" i="6"/>
  <c r="HS64" i="6"/>
  <c r="HT64" i="6"/>
  <c r="HU64" i="6"/>
  <c r="HV64" i="6"/>
  <c r="HW64" i="6"/>
  <c r="HX64" i="6"/>
  <c r="HY64" i="6"/>
  <c r="HZ64" i="6"/>
  <c r="IA64" i="6"/>
  <c r="IB64" i="6"/>
  <c r="IC64" i="6"/>
  <c r="ID64" i="6"/>
  <c r="IE64" i="6"/>
  <c r="IF64" i="6"/>
  <c r="IG64" i="6"/>
  <c r="IH64" i="6"/>
  <c r="II64" i="6"/>
  <c r="IJ64" i="6"/>
  <c r="IK64" i="6"/>
  <c r="IL64" i="6"/>
  <c r="IM64" i="6"/>
  <c r="IN64" i="6"/>
  <c r="IO64" i="6"/>
  <c r="IP64" i="6"/>
  <c r="IQ64" i="6"/>
  <c r="IR64" i="6"/>
  <c r="IS64" i="6"/>
  <c r="IT64" i="6"/>
  <c r="IU64" i="6"/>
  <c r="IV64"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Y65" i="6"/>
  <c r="CZ65" i="6"/>
  <c r="DA65" i="6"/>
  <c r="DB65" i="6"/>
  <c r="DC65" i="6"/>
  <c r="DD65" i="6"/>
  <c r="DE65" i="6"/>
  <c r="DF65" i="6"/>
  <c r="DG65" i="6"/>
  <c r="DH65" i="6"/>
  <c r="DI65" i="6"/>
  <c r="DJ65" i="6"/>
  <c r="DK65" i="6"/>
  <c r="DL65" i="6"/>
  <c r="DM65" i="6"/>
  <c r="DN65" i="6"/>
  <c r="DO65" i="6"/>
  <c r="DP65" i="6"/>
  <c r="DQ65" i="6"/>
  <c r="DR65" i="6"/>
  <c r="DS65" i="6"/>
  <c r="DT65" i="6"/>
  <c r="DU65" i="6"/>
  <c r="DV65" i="6"/>
  <c r="DW65" i="6"/>
  <c r="DX65" i="6"/>
  <c r="DY65" i="6"/>
  <c r="DZ65" i="6"/>
  <c r="EA65" i="6"/>
  <c r="EB65" i="6"/>
  <c r="EC65" i="6"/>
  <c r="ED65" i="6"/>
  <c r="EE65" i="6"/>
  <c r="EF65" i="6"/>
  <c r="EG65" i="6"/>
  <c r="EH65" i="6"/>
  <c r="EI65" i="6"/>
  <c r="EJ65" i="6"/>
  <c r="EK65" i="6"/>
  <c r="EL65" i="6"/>
  <c r="EM65" i="6"/>
  <c r="EN65" i="6"/>
  <c r="EO65" i="6"/>
  <c r="EP65" i="6"/>
  <c r="EQ65" i="6"/>
  <c r="ER65" i="6"/>
  <c r="ES65" i="6"/>
  <c r="ET65" i="6"/>
  <c r="EU65" i="6"/>
  <c r="EV65" i="6"/>
  <c r="EW65" i="6"/>
  <c r="EX65" i="6"/>
  <c r="EY65" i="6"/>
  <c r="EZ65" i="6"/>
  <c r="FA65" i="6"/>
  <c r="FB65" i="6"/>
  <c r="FC65" i="6"/>
  <c r="FD65" i="6"/>
  <c r="FE65" i="6"/>
  <c r="FF65" i="6"/>
  <c r="FG65" i="6"/>
  <c r="FH65" i="6"/>
  <c r="FI65" i="6"/>
  <c r="FJ65" i="6"/>
  <c r="FK65" i="6"/>
  <c r="FL65" i="6"/>
  <c r="FM65" i="6"/>
  <c r="FN65" i="6"/>
  <c r="FO65" i="6"/>
  <c r="FP65" i="6"/>
  <c r="FQ65" i="6"/>
  <c r="FR65" i="6"/>
  <c r="FS65" i="6"/>
  <c r="FT65" i="6"/>
  <c r="FU65" i="6"/>
  <c r="FV65" i="6"/>
  <c r="FW65" i="6"/>
  <c r="FX65" i="6"/>
  <c r="FY65" i="6"/>
  <c r="FZ65" i="6"/>
  <c r="GA65" i="6"/>
  <c r="GB65" i="6"/>
  <c r="GC65" i="6"/>
  <c r="GD65" i="6"/>
  <c r="GE65" i="6"/>
  <c r="GF65" i="6"/>
  <c r="GG65" i="6"/>
  <c r="GH65" i="6"/>
  <c r="GI65" i="6"/>
  <c r="GJ65" i="6"/>
  <c r="GK65" i="6"/>
  <c r="GL65" i="6"/>
  <c r="GM65" i="6"/>
  <c r="GN65" i="6"/>
  <c r="GO65" i="6"/>
  <c r="GP65" i="6"/>
  <c r="GQ65" i="6"/>
  <c r="GR65" i="6"/>
  <c r="GS65" i="6"/>
  <c r="GT65" i="6"/>
  <c r="GU65" i="6"/>
  <c r="GV65" i="6"/>
  <c r="GW65" i="6"/>
  <c r="GX65" i="6"/>
  <c r="GY65" i="6"/>
  <c r="GZ65" i="6"/>
  <c r="HA65" i="6"/>
  <c r="HB65" i="6"/>
  <c r="HC65" i="6"/>
  <c r="HD65" i="6"/>
  <c r="HE65" i="6"/>
  <c r="HF65" i="6"/>
  <c r="HG65" i="6"/>
  <c r="HH65" i="6"/>
  <c r="HI65" i="6"/>
  <c r="HJ65" i="6"/>
  <c r="HK65" i="6"/>
  <c r="HL65" i="6"/>
  <c r="HM65" i="6"/>
  <c r="HN65" i="6"/>
  <c r="HO65" i="6"/>
  <c r="HP65" i="6"/>
  <c r="HQ65" i="6"/>
  <c r="HR65" i="6"/>
  <c r="HS65" i="6"/>
  <c r="HT65" i="6"/>
  <c r="HU65" i="6"/>
  <c r="HV65" i="6"/>
  <c r="HW65" i="6"/>
  <c r="HX65" i="6"/>
  <c r="HY65" i="6"/>
  <c r="HZ65" i="6"/>
  <c r="IA65" i="6"/>
  <c r="IB65" i="6"/>
  <c r="IC65" i="6"/>
  <c r="ID65" i="6"/>
  <c r="IE65" i="6"/>
  <c r="IF65" i="6"/>
  <c r="IG65" i="6"/>
  <c r="IH65" i="6"/>
  <c r="II65" i="6"/>
  <c r="IJ65" i="6"/>
  <c r="IK65" i="6"/>
  <c r="IL65" i="6"/>
  <c r="IM65" i="6"/>
  <c r="IN65" i="6"/>
  <c r="IO65" i="6"/>
  <c r="IP65" i="6"/>
  <c r="IQ65" i="6"/>
  <c r="IR65" i="6"/>
  <c r="IS65" i="6"/>
  <c r="IT65" i="6"/>
  <c r="IU65" i="6"/>
  <c r="IV65"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Y66" i="6"/>
  <c r="CZ66" i="6"/>
  <c r="DA66" i="6"/>
  <c r="DB66" i="6"/>
  <c r="DC66" i="6"/>
  <c r="DD66" i="6"/>
  <c r="DE66" i="6"/>
  <c r="DF66" i="6"/>
  <c r="DG66" i="6"/>
  <c r="DH66" i="6"/>
  <c r="DI66" i="6"/>
  <c r="DJ66" i="6"/>
  <c r="DK66" i="6"/>
  <c r="DL66" i="6"/>
  <c r="DM66" i="6"/>
  <c r="DN66" i="6"/>
  <c r="DO66" i="6"/>
  <c r="DP66" i="6"/>
  <c r="DQ66" i="6"/>
  <c r="DR66" i="6"/>
  <c r="DS66" i="6"/>
  <c r="DT66" i="6"/>
  <c r="DU66" i="6"/>
  <c r="DV66" i="6"/>
  <c r="DW66" i="6"/>
  <c r="DX66" i="6"/>
  <c r="DY66" i="6"/>
  <c r="DZ66" i="6"/>
  <c r="EA66" i="6"/>
  <c r="EB66" i="6"/>
  <c r="EC66" i="6"/>
  <c r="ED66" i="6"/>
  <c r="EE66" i="6"/>
  <c r="EF66" i="6"/>
  <c r="EG66" i="6"/>
  <c r="EH66" i="6"/>
  <c r="EI66" i="6"/>
  <c r="EJ66" i="6"/>
  <c r="EK66" i="6"/>
  <c r="EL66" i="6"/>
  <c r="EM66" i="6"/>
  <c r="EN66" i="6"/>
  <c r="EO66" i="6"/>
  <c r="EP66" i="6"/>
  <c r="EQ66" i="6"/>
  <c r="ER66" i="6"/>
  <c r="ES66" i="6"/>
  <c r="ET66" i="6"/>
  <c r="EU66" i="6"/>
  <c r="EV66" i="6"/>
  <c r="EW66" i="6"/>
  <c r="EX66" i="6"/>
  <c r="EY66" i="6"/>
  <c r="EZ66" i="6"/>
  <c r="FA66" i="6"/>
  <c r="FB66" i="6"/>
  <c r="FC66" i="6"/>
  <c r="FD66" i="6"/>
  <c r="FE66" i="6"/>
  <c r="FF66" i="6"/>
  <c r="FG66" i="6"/>
  <c r="FH66" i="6"/>
  <c r="FI66" i="6"/>
  <c r="FJ66" i="6"/>
  <c r="FK66" i="6"/>
  <c r="FL66" i="6"/>
  <c r="FM66" i="6"/>
  <c r="FN66" i="6"/>
  <c r="FO66" i="6"/>
  <c r="FP66" i="6"/>
  <c r="FQ66" i="6"/>
  <c r="FR66" i="6"/>
  <c r="FS66" i="6"/>
  <c r="FT66" i="6"/>
  <c r="FU66" i="6"/>
  <c r="FV66" i="6"/>
  <c r="FW66" i="6"/>
  <c r="FX66" i="6"/>
  <c r="FY66" i="6"/>
  <c r="FZ66" i="6"/>
  <c r="GA66" i="6"/>
  <c r="GB66" i="6"/>
  <c r="GC66" i="6"/>
  <c r="GD66" i="6"/>
  <c r="GE66" i="6"/>
  <c r="GF66" i="6"/>
  <c r="GG66" i="6"/>
  <c r="GH66" i="6"/>
  <c r="GI66" i="6"/>
  <c r="GJ66" i="6"/>
  <c r="GK66" i="6"/>
  <c r="GL66" i="6"/>
  <c r="GM66" i="6"/>
  <c r="GN66" i="6"/>
  <c r="GO66" i="6"/>
  <c r="GP66" i="6"/>
  <c r="GQ66" i="6"/>
  <c r="GR66" i="6"/>
  <c r="GS66" i="6"/>
  <c r="GT66" i="6"/>
  <c r="GU66" i="6"/>
  <c r="GV66" i="6"/>
  <c r="GW66" i="6"/>
  <c r="GX66" i="6"/>
  <c r="GY66" i="6"/>
  <c r="GZ66" i="6"/>
  <c r="HA66" i="6"/>
  <c r="HB66" i="6"/>
  <c r="HC66" i="6"/>
  <c r="HD66" i="6"/>
  <c r="HE66" i="6"/>
  <c r="HF66" i="6"/>
  <c r="HG66" i="6"/>
  <c r="HH66" i="6"/>
  <c r="HI66" i="6"/>
  <c r="HJ66" i="6"/>
  <c r="HK66" i="6"/>
  <c r="HL66" i="6"/>
  <c r="HM66" i="6"/>
  <c r="HN66" i="6"/>
  <c r="HO66" i="6"/>
  <c r="HP66" i="6"/>
  <c r="HQ66" i="6"/>
  <c r="HR66" i="6"/>
  <c r="HS66" i="6"/>
  <c r="HT66" i="6"/>
  <c r="HU66" i="6"/>
  <c r="HV66" i="6"/>
  <c r="HW66" i="6"/>
  <c r="HX66" i="6"/>
  <c r="HY66" i="6"/>
  <c r="HZ66" i="6"/>
  <c r="IA66" i="6"/>
  <c r="IB66" i="6"/>
  <c r="IC66" i="6"/>
  <c r="ID66" i="6"/>
  <c r="IE66" i="6"/>
  <c r="IF66" i="6"/>
  <c r="IG66" i="6"/>
  <c r="IH66" i="6"/>
  <c r="II66" i="6"/>
  <c r="IJ66" i="6"/>
  <c r="IK66" i="6"/>
  <c r="IL66" i="6"/>
  <c r="IM66" i="6"/>
  <c r="IN66" i="6"/>
  <c r="IO66" i="6"/>
  <c r="IP66" i="6"/>
  <c r="IQ66" i="6"/>
  <c r="IR66" i="6"/>
  <c r="IS66" i="6"/>
  <c r="IT66" i="6"/>
  <c r="IU66" i="6"/>
  <c r="IV66"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BO67" i="6"/>
  <c r="BP67" i="6"/>
  <c r="BQ67" i="6"/>
  <c r="BR67" i="6"/>
  <c r="BS67" i="6"/>
  <c r="BT67" i="6"/>
  <c r="BU67" i="6"/>
  <c r="BV67" i="6"/>
  <c r="BW67" i="6"/>
  <c r="BX67" i="6"/>
  <c r="BY67" i="6"/>
  <c r="BZ67" i="6"/>
  <c r="CA67" i="6"/>
  <c r="CB67" i="6"/>
  <c r="CC67" i="6"/>
  <c r="CD67" i="6"/>
  <c r="CE67" i="6"/>
  <c r="CF67" i="6"/>
  <c r="CG67" i="6"/>
  <c r="CH67" i="6"/>
  <c r="CI67" i="6"/>
  <c r="CJ67" i="6"/>
  <c r="CK67" i="6"/>
  <c r="CL67" i="6"/>
  <c r="CM67" i="6"/>
  <c r="CN67" i="6"/>
  <c r="CO67" i="6"/>
  <c r="CP67" i="6"/>
  <c r="CQ67" i="6"/>
  <c r="CR67" i="6"/>
  <c r="CS67" i="6"/>
  <c r="CT67" i="6"/>
  <c r="CU67" i="6"/>
  <c r="CV67" i="6"/>
  <c r="CW67" i="6"/>
  <c r="CX67" i="6"/>
  <c r="CY67" i="6"/>
  <c r="CZ67" i="6"/>
  <c r="DA67" i="6"/>
  <c r="DB67" i="6"/>
  <c r="DC67" i="6"/>
  <c r="DD67" i="6"/>
  <c r="DE67" i="6"/>
  <c r="DF67" i="6"/>
  <c r="DG67" i="6"/>
  <c r="DH67" i="6"/>
  <c r="DI67" i="6"/>
  <c r="DJ67" i="6"/>
  <c r="DK67" i="6"/>
  <c r="DL67" i="6"/>
  <c r="DM67" i="6"/>
  <c r="DN67" i="6"/>
  <c r="DO67" i="6"/>
  <c r="DP67" i="6"/>
  <c r="DQ67" i="6"/>
  <c r="DR67" i="6"/>
  <c r="DS67" i="6"/>
  <c r="DT67" i="6"/>
  <c r="DU67" i="6"/>
  <c r="DV67" i="6"/>
  <c r="DW67" i="6"/>
  <c r="DX67" i="6"/>
  <c r="DY67" i="6"/>
  <c r="DZ67" i="6"/>
  <c r="EA67" i="6"/>
  <c r="EB67" i="6"/>
  <c r="EC67" i="6"/>
  <c r="ED67" i="6"/>
  <c r="EE67" i="6"/>
  <c r="EF67" i="6"/>
  <c r="EG67" i="6"/>
  <c r="EH67" i="6"/>
  <c r="EI67" i="6"/>
  <c r="EJ67" i="6"/>
  <c r="EK67" i="6"/>
  <c r="EL67" i="6"/>
  <c r="EM67" i="6"/>
  <c r="EN67" i="6"/>
  <c r="EO67" i="6"/>
  <c r="EP67" i="6"/>
  <c r="EQ67" i="6"/>
  <c r="ER67" i="6"/>
  <c r="ES67" i="6"/>
  <c r="ET67" i="6"/>
  <c r="EU67" i="6"/>
  <c r="EV67" i="6"/>
  <c r="EW67" i="6"/>
  <c r="EX67" i="6"/>
  <c r="EY67" i="6"/>
  <c r="EZ67" i="6"/>
  <c r="FA67" i="6"/>
  <c r="FB67" i="6"/>
  <c r="FC67" i="6"/>
  <c r="FD67" i="6"/>
  <c r="FE67" i="6"/>
  <c r="FF67" i="6"/>
  <c r="FG67" i="6"/>
  <c r="FH67" i="6"/>
  <c r="FI67" i="6"/>
  <c r="FJ67" i="6"/>
  <c r="FK67" i="6"/>
  <c r="FL67" i="6"/>
  <c r="FM67" i="6"/>
  <c r="FN67" i="6"/>
  <c r="FO67" i="6"/>
  <c r="FP67" i="6"/>
  <c r="FQ67" i="6"/>
  <c r="FR67" i="6"/>
  <c r="FS67" i="6"/>
  <c r="FT67" i="6"/>
  <c r="FU67" i="6"/>
  <c r="FV67" i="6"/>
  <c r="FW67" i="6"/>
  <c r="FX67" i="6"/>
  <c r="FY67" i="6"/>
  <c r="FZ67" i="6"/>
  <c r="GA67" i="6"/>
  <c r="GB67" i="6"/>
  <c r="GC67" i="6"/>
  <c r="GD67" i="6"/>
  <c r="GE67" i="6"/>
  <c r="GF67" i="6"/>
  <c r="GG67" i="6"/>
  <c r="GH67" i="6"/>
  <c r="GI67" i="6"/>
  <c r="GJ67" i="6"/>
  <c r="GK67" i="6"/>
  <c r="GL67" i="6"/>
  <c r="GM67" i="6"/>
  <c r="GN67" i="6"/>
  <c r="GO67" i="6"/>
  <c r="GP67" i="6"/>
  <c r="GQ67" i="6"/>
  <c r="GR67" i="6"/>
  <c r="GS67" i="6"/>
  <c r="GT67" i="6"/>
  <c r="GU67" i="6"/>
  <c r="GV67" i="6"/>
  <c r="GW67" i="6"/>
  <c r="GX67" i="6"/>
  <c r="GY67" i="6"/>
  <c r="GZ67" i="6"/>
  <c r="HA67" i="6"/>
  <c r="HB67" i="6"/>
  <c r="HC67" i="6"/>
  <c r="HD67" i="6"/>
  <c r="HE67" i="6"/>
  <c r="HF67" i="6"/>
  <c r="HG67" i="6"/>
  <c r="HH67" i="6"/>
  <c r="HI67" i="6"/>
  <c r="HJ67" i="6"/>
  <c r="HK67" i="6"/>
  <c r="HL67" i="6"/>
  <c r="HM67" i="6"/>
  <c r="HN67" i="6"/>
  <c r="HO67" i="6"/>
  <c r="HP67" i="6"/>
  <c r="HQ67" i="6"/>
  <c r="HR67" i="6"/>
  <c r="HS67" i="6"/>
  <c r="HT67" i="6"/>
  <c r="HU67" i="6"/>
  <c r="HV67" i="6"/>
  <c r="HW67" i="6"/>
  <c r="HX67" i="6"/>
  <c r="HY67" i="6"/>
  <c r="HZ67" i="6"/>
  <c r="IA67" i="6"/>
  <c r="IB67" i="6"/>
  <c r="IC67" i="6"/>
  <c r="ID67" i="6"/>
  <c r="IE67" i="6"/>
  <c r="IF67" i="6"/>
  <c r="IG67" i="6"/>
  <c r="IH67" i="6"/>
  <c r="II67" i="6"/>
  <c r="IJ67" i="6"/>
  <c r="IK67" i="6"/>
  <c r="IL67" i="6"/>
  <c r="IM67" i="6"/>
  <c r="IN67" i="6"/>
  <c r="IO67" i="6"/>
  <c r="IP67" i="6"/>
  <c r="IQ67" i="6"/>
  <c r="IR67" i="6"/>
  <c r="IS67" i="6"/>
  <c r="IT67" i="6"/>
  <c r="IU67" i="6"/>
  <c r="IV67"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AQ68" i="6"/>
  <c r="AR68" i="6"/>
  <c r="AS68" i="6"/>
  <c r="AT68" i="6"/>
  <c r="AU68" i="6"/>
  <c r="AV68" i="6"/>
  <c r="AW68" i="6"/>
  <c r="AX68" i="6"/>
  <c r="AY68" i="6"/>
  <c r="AZ68" i="6"/>
  <c r="BA68" i="6"/>
  <c r="BB68" i="6"/>
  <c r="BC68" i="6"/>
  <c r="BD68" i="6"/>
  <c r="BE68" i="6"/>
  <c r="BF68" i="6"/>
  <c r="BG68" i="6"/>
  <c r="BH68" i="6"/>
  <c r="BI68" i="6"/>
  <c r="BJ68" i="6"/>
  <c r="BK68" i="6"/>
  <c r="BL68" i="6"/>
  <c r="BM68" i="6"/>
  <c r="BN68" i="6"/>
  <c r="BO68" i="6"/>
  <c r="BP68" i="6"/>
  <c r="BQ68" i="6"/>
  <c r="BR68" i="6"/>
  <c r="BS68" i="6"/>
  <c r="BT68" i="6"/>
  <c r="BU68" i="6"/>
  <c r="BV68" i="6"/>
  <c r="BW68" i="6"/>
  <c r="BX68" i="6"/>
  <c r="BY68" i="6"/>
  <c r="BZ68" i="6"/>
  <c r="CA68" i="6"/>
  <c r="CB68" i="6"/>
  <c r="CC68" i="6"/>
  <c r="CD68" i="6"/>
  <c r="CE68" i="6"/>
  <c r="CF68" i="6"/>
  <c r="CG68" i="6"/>
  <c r="CH68" i="6"/>
  <c r="CI68" i="6"/>
  <c r="CJ68" i="6"/>
  <c r="CK68" i="6"/>
  <c r="CL68" i="6"/>
  <c r="CM68" i="6"/>
  <c r="CN68" i="6"/>
  <c r="CO68" i="6"/>
  <c r="CP68" i="6"/>
  <c r="CQ68" i="6"/>
  <c r="CR68" i="6"/>
  <c r="CS68" i="6"/>
  <c r="CT68" i="6"/>
  <c r="CU68" i="6"/>
  <c r="CV68" i="6"/>
  <c r="CW68" i="6"/>
  <c r="CX68" i="6"/>
  <c r="CY68" i="6"/>
  <c r="CZ68" i="6"/>
  <c r="DA68" i="6"/>
  <c r="DB68" i="6"/>
  <c r="DC68" i="6"/>
  <c r="DD68" i="6"/>
  <c r="DE68" i="6"/>
  <c r="DF68" i="6"/>
  <c r="DG68" i="6"/>
  <c r="DH68" i="6"/>
  <c r="DI68" i="6"/>
  <c r="DJ68" i="6"/>
  <c r="DK68" i="6"/>
  <c r="DL68" i="6"/>
  <c r="DM68" i="6"/>
  <c r="DN68" i="6"/>
  <c r="DO68" i="6"/>
  <c r="DP68" i="6"/>
  <c r="DQ68" i="6"/>
  <c r="DR68" i="6"/>
  <c r="DS68" i="6"/>
  <c r="DT68" i="6"/>
  <c r="DU68" i="6"/>
  <c r="DV68" i="6"/>
  <c r="DW68" i="6"/>
  <c r="DX68" i="6"/>
  <c r="DY68" i="6"/>
  <c r="DZ68" i="6"/>
  <c r="EA68" i="6"/>
  <c r="EB68" i="6"/>
  <c r="EC68" i="6"/>
  <c r="ED68" i="6"/>
  <c r="EE68" i="6"/>
  <c r="EF68" i="6"/>
  <c r="EG68" i="6"/>
  <c r="EH68" i="6"/>
  <c r="EI68" i="6"/>
  <c r="EJ68" i="6"/>
  <c r="EK68" i="6"/>
  <c r="EL68" i="6"/>
  <c r="EM68" i="6"/>
  <c r="EN68" i="6"/>
  <c r="EO68" i="6"/>
  <c r="EP68" i="6"/>
  <c r="EQ68" i="6"/>
  <c r="ER68" i="6"/>
  <c r="ES68" i="6"/>
  <c r="ET68" i="6"/>
  <c r="EU68" i="6"/>
  <c r="EV68" i="6"/>
  <c r="EW68" i="6"/>
  <c r="EX68" i="6"/>
  <c r="EY68" i="6"/>
  <c r="EZ68" i="6"/>
  <c r="FA68" i="6"/>
  <c r="FB68" i="6"/>
  <c r="FC68" i="6"/>
  <c r="FD68" i="6"/>
  <c r="FE68" i="6"/>
  <c r="FF68" i="6"/>
  <c r="FG68" i="6"/>
  <c r="FH68" i="6"/>
  <c r="FI68" i="6"/>
  <c r="FJ68" i="6"/>
  <c r="FK68" i="6"/>
  <c r="FL68" i="6"/>
  <c r="FM68" i="6"/>
  <c r="FN68" i="6"/>
  <c r="FO68" i="6"/>
  <c r="FP68" i="6"/>
  <c r="FQ68" i="6"/>
  <c r="FR68" i="6"/>
  <c r="FS68" i="6"/>
  <c r="FT68" i="6"/>
  <c r="FU68" i="6"/>
  <c r="FV68" i="6"/>
  <c r="FW68" i="6"/>
  <c r="FX68" i="6"/>
  <c r="FY68" i="6"/>
  <c r="FZ68" i="6"/>
  <c r="GA68" i="6"/>
  <c r="GB68" i="6"/>
  <c r="GC68" i="6"/>
  <c r="GD68" i="6"/>
  <c r="GE68" i="6"/>
  <c r="GF68" i="6"/>
  <c r="GG68" i="6"/>
  <c r="GH68" i="6"/>
  <c r="GI68" i="6"/>
  <c r="GJ68" i="6"/>
  <c r="GK68" i="6"/>
  <c r="GL68" i="6"/>
  <c r="GM68" i="6"/>
  <c r="GN68" i="6"/>
  <c r="GO68" i="6"/>
  <c r="GP68" i="6"/>
  <c r="GQ68" i="6"/>
  <c r="GR68" i="6"/>
  <c r="GS68" i="6"/>
  <c r="GT68" i="6"/>
  <c r="GU68" i="6"/>
  <c r="GV68" i="6"/>
  <c r="GW68" i="6"/>
  <c r="GX68" i="6"/>
  <c r="GY68" i="6"/>
  <c r="GZ68" i="6"/>
  <c r="HA68" i="6"/>
  <c r="HB68" i="6"/>
  <c r="HC68" i="6"/>
  <c r="HD68" i="6"/>
  <c r="HE68" i="6"/>
  <c r="HF68" i="6"/>
  <c r="HG68" i="6"/>
  <c r="HH68" i="6"/>
  <c r="HI68" i="6"/>
  <c r="HJ68" i="6"/>
  <c r="HK68" i="6"/>
  <c r="HL68" i="6"/>
  <c r="HM68" i="6"/>
  <c r="HN68" i="6"/>
  <c r="HO68" i="6"/>
  <c r="HP68" i="6"/>
  <c r="HQ68" i="6"/>
  <c r="HR68" i="6"/>
  <c r="HS68" i="6"/>
  <c r="HT68" i="6"/>
  <c r="HU68" i="6"/>
  <c r="HV68" i="6"/>
  <c r="HW68" i="6"/>
  <c r="HX68" i="6"/>
  <c r="HY68" i="6"/>
  <c r="HZ68" i="6"/>
  <c r="IA68" i="6"/>
  <c r="IB68" i="6"/>
  <c r="IC68" i="6"/>
  <c r="ID68" i="6"/>
  <c r="IE68" i="6"/>
  <c r="IF68" i="6"/>
  <c r="IG68" i="6"/>
  <c r="IH68" i="6"/>
  <c r="II68" i="6"/>
  <c r="IJ68" i="6"/>
  <c r="IK68" i="6"/>
  <c r="IL68" i="6"/>
  <c r="IM68" i="6"/>
  <c r="IN68" i="6"/>
  <c r="IO68" i="6"/>
  <c r="IP68" i="6"/>
  <c r="IQ68" i="6"/>
  <c r="IR68" i="6"/>
  <c r="IS68" i="6"/>
  <c r="IT68" i="6"/>
  <c r="IU68" i="6"/>
  <c r="IV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BO69" i="6"/>
  <c r="BP69" i="6"/>
  <c r="BQ69" i="6"/>
  <c r="BR69" i="6"/>
  <c r="BS69" i="6"/>
  <c r="BT69" i="6"/>
  <c r="BU69" i="6"/>
  <c r="BV69" i="6"/>
  <c r="BW69" i="6"/>
  <c r="BX69" i="6"/>
  <c r="BY69" i="6"/>
  <c r="BZ69" i="6"/>
  <c r="CA69" i="6"/>
  <c r="CB69" i="6"/>
  <c r="CC69" i="6"/>
  <c r="CD69" i="6"/>
  <c r="CE69" i="6"/>
  <c r="CF69" i="6"/>
  <c r="CG69" i="6"/>
  <c r="CH69" i="6"/>
  <c r="CI69" i="6"/>
  <c r="CJ69" i="6"/>
  <c r="CK69" i="6"/>
  <c r="CL69" i="6"/>
  <c r="CM69" i="6"/>
  <c r="CN69" i="6"/>
  <c r="CO69" i="6"/>
  <c r="CP69" i="6"/>
  <c r="CQ69" i="6"/>
  <c r="CR69" i="6"/>
  <c r="CS69" i="6"/>
  <c r="CT69" i="6"/>
  <c r="CU69" i="6"/>
  <c r="CV69" i="6"/>
  <c r="CW69" i="6"/>
  <c r="CX69" i="6"/>
  <c r="CY69" i="6"/>
  <c r="CZ69" i="6"/>
  <c r="DA69" i="6"/>
  <c r="DB69" i="6"/>
  <c r="DC69" i="6"/>
  <c r="DD69" i="6"/>
  <c r="DE69" i="6"/>
  <c r="DF69" i="6"/>
  <c r="DG69" i="6"/>
  <c r="DH69" i="6"/>
  <c r="DI69" i="6"/>
  <c r="DJ69" i="6"/>
  <c r="DK69" i="6"/>
  <c r="DL69" i="6"/>
  <c r="DM69" i="6"/>
  <c r="DN69" i="6"/>
  <c r="DO69" i="6"/>
  <c r="DP69" i="6"/>
  <c r="DQ69" i="6"/>
  <c r="DR69" i="6"/>
  <c r="DS69" i="6"/>
  <c r="DT69" i="6"/>
  <c r="DU69" i="6"/>
  <c r="DV69" i="6"/>
  <c r="DW69" i="6"/>
  <c r="DX69" i="6"/>
  <c r="DY69" i="6"/>
  <c r="DZ69" i="6"/>
  <c r="EA69" i="6"/>
  <c r="EB69" i="6"/>
  <c r="EC69" i="6"/>
  <c r="ED69" i="6"/>
  <c r="EE69" i="6"/>
  <c r="EF69" i="6"/>
  <c r="EG69" i="6"/>
  <c r="EH69" i="6"/>
  <c r="EI69" i="6"/>
  <c r="EJ69" i="6"/>
  <c r="EK69" i="6"/>
  <c r="EL69" i="6"/>
  <c r="EM69" i="6"/>
  <c r="EN69" i="6"/>
  <c r="EO69" i="6"/>
  <c r="EP69" i="6"/>
  <c r="EQ69" i="6"/>
  <c r="ER69" i="6"/>
  <c r="ES69" i="6"/>
  <c r="ET69" i="6"/>
  <c r="EU69" i="6"/>
  <c r="EV69" i="6"/>
  <c r="EW69" i="6"/>
  <c r="EX69" i="6"/>
  <c r="EY69" i="6"/>
  <c r="EZ69" i="6"/>
  <c r="FA69" i="6"/>
  <c r="FB69" i="6"/>
  <c r="FC69" i="6"/>
  <c r="FD69" i="6"/>
  <c r="FE69" i="6"/>
  <c r="FF69" i="6"/>
  <c r="FG69" i="6"/>
  <c r="FH69" i="6"/>
  <c r="FI69" i="6"/>
  <c r="FJ69" i="6"/>
  <c r="FK69" i="6"/>
  <c r="FL69" i="6"/>
  <c r="FM69" i="6"/>
  <c r="FN69" i="6"/>
  <c r="FO69" i="6"/>
  <c r="FP69" i="6"/>
  <c r="FQ69" i="6"/>
  <c r="FR69" i="6"/>
  <c r="FS69" i="6"/>
  <c r="FT69" i="6"/>
  <c r="FU69" i="6"/>
  <c r="FV69" i="6"/>
  <c r="FW69" i="6"/>
  <c r="FX69" i="6"/>
  <c r="FY69" i="6"/>
  <c r="FZ69" i="6"/>
  <c r="GA69" i="6"/>
  <c r="GB69" i="6"/>
  <c r="GC69" i="6"/>
  <c r="GD69" i="6"/>
  <c r="GE69" i="6"/>
  <c r="GF69" i="6"/>
  <c r="GG69" i="6"/>
  <c r="GH69" i="6"/>
  <c r="GI69" i="6"/>
  <c r="GJ69" i="6"/>
  <c r="GK69" i="6"/>
  <c r="GL69" i="6"/>
  <c r="GM69" i="6"/>
  <c r="GN69" i="6"/>
  <c r="GO69" i="6"/>
  <c r="GP69" i="6"/>
  <c r="GQ69" i="6"/>
  <c r="GR69" i="6"/>
  <c r="GS69" i="6"/>
  <c r="GT69" i="6"/>
  <c r="GU69" i="6"/>
  <c r="GV69" i="6"/>
  <c r="GW69" i="6"/>
  <c r="GX69" i="6"/>
  <c r="GY69" i="6"/>
  <c r="GZ69" i="6"/>
  <c r="HA69" i="6"/>
  <c r="HB69" i="6"/>
  <c r="HC69" i="6"/>
  <c r="HD69" i="6"/>
  <c r="HE69" i="6"/>
  <c r="HF69" i="6"/>
  <c r="HG69" i="6"/>
  <c r="HH69" i="6"/>
  <c r="HI69" i="6"/>
  <c r="HJ69" i="6"/>
  <c r="HK69" i="6"/>
  <c r="HL69" i="6"/>
  <c r="HM69" i="6"/>
  <c r="HN69" i="6"/>
  <c r="HO69" i="6"/>
  <c r="HP69" i="6"/>
  <c r="HQ69" i="6"/>
  <c r="HR69" i="6"/>
  <c r="HS69" i="6"/>
  <c r="HT69" i="6"/>
  <c r="HU69" i="6"/>
  <c r="HV69" i="6"/>
  <c r="HW69" i="6"/>
  <c r="HX69" i="6"/>
  <c r="HY69" i="6"/>
  <c r="HZ69" i="6"/>
  <c r="IA69" i="6"/>
  <c r="IB69" i="6"/>
  <c r="IC69" i="6"/>
  <c r="ID69" i="6"/>
  <c r="IE69" i="6"/>
  <c r="IF69" i="6"/>
  <c r="IG69" i="6"/>
  <c r="IH69" i="6"/>
  <c r="II69" i="6"/>
  <c r="IJ69" i="6"/>
  <c r="IK69" i="6"/>
  <c r="IL69" i="6"/>
  <c r="IM69" i="6"/>
  <c r="IN69" i="6"/>
  <c r="IO69" i="6"/>
  <c r="IP69" i="6"/>
  <c r="IQ69" i="6"/>
  <c r="IR69" i="6"/>
  <c r="IS69" i="6"/>
  <c r="IT69" i="6"/>
  <c r="IU69" i="6"/>
  <c r="IV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BG70" i="6"/>
  <c r="BH70" i="6"/>
  <c r="BI70" i="6"/>
  <c r="BJ70" i="6"/>
  <c r="BK70" i="6"/>
  <c r="BL70" i="6"/>
  <c r="BM70" i="6"/>
  <c r="BN70" i="6"/>
  <c r="BO70" i="6"/>
  <c r="BP70" i="6"/>
  <c r="BQ70" i="6"/>
  <c r="BR70" i="6"/>
  <c r="BS70" i="6"/>
  <c r="BT70" i="6"/>
  <c r="BU70" i="6"/>
  <c r="BV70" i="6"/>
  <c r="BW70" i="6"/>
  <c r="BX70" i="6"/>
  <c r="BY70" i="6"/>
  <c r="BZ70" i="6"/>
  <c r="CA70" i="6"/>
  <c r="CB70" i="6"/>
  <c r="CC70" i="6"/>
  <c r="CD70" i="6"/>
  <c r="CE70" i="6"/>
  <c r="CF70" i="6"/>
  <c r="CG70" i="6"/>
  <c r="CH70" i="6"/>
  <c r="CI70" i="6"/>
  <c r="CJ70" i="6"/>
  <c r="CK70" i="6"/>
  <c r="CL70" i="6"/>
  <c r="CM70" i="6"/>
  <c r="CN70" i="6"/>
  <c r="CO70" i="6"/>
  <c r="CP70" i="6"/>
  <c r="CQ70" i="6"/>
  <c r="CR70" i="6"/>
  <c r="CS70" i="6"/>
  <c r="CT70" i="6"/>
  <c r="CU70" i="6"/>
  <c r="CV70" i="6"/>
  <c r="CW70" i="6"/>
  <c r="CX70" i="6"/>
  <c r="CY70" i="6"/>
  <c r="CZ70" i="6"/>
  <c r="DA70" i="6"/>
  <c r="DB70" i="6"/>
  <c r="DC70" i="6"/>
  <c r="DD70" i="6"/>
  <c r="DE70" i="6"/>
  <c r="DF70" i="6"/>
  <c r="DG70" i="6"/>
  <c r="DH70" i="6"/>
  <c r="DI70" i="6"/>
  <c r="DJ70" i="6"/>
  <c r="DK70" i="6"/>
  <c r="DL70" i="6"/>
  <c r="DM70" i="6"/>
  <c r="DN70" i="6"/>
  <c r="DO70" i="6"/>
  <c r="DP70" i="6"/>
  <c r="DQ70" i="6"/>
  <c r="DR70" i="6"/>
  <c r="DS70" i="6"/>
  <c r="DT70" i="6"/>
  <c r="DU70" i="6"/>
  <c r="DV70" i="6"/>
  <c r="DW70" i="6"/>
  <c r="DX70" i="6"/>
  <c r="DY70" i="6"/>
  <c r="DZ70" i="6"/>
  <c r="EA70" i="6"/>
  <c r="EB70" i="6"/>
  <c r="EC70" i="6"/>
  <c r="ED70" i="6"/>
  <c r="EE70" i="6"/>
  <c r="EF70" i="6"/>
  <c r="EG70" i="6"/>
  <c r="EH70" i="6"/>
  <c r="EI70" i="6"/>
  <c r="EJ70" i="6"/>
  <c r="EK70" i="6"/>
  <c r="EL70" i="6"/>
  <c r="EM70" i="6"/>
  <c r="EN70" i="6"/>
  <c r="EO70" i="6"/>
  <c r="EP70" i="6"/>
  <c r="EQ70" i="6"/>
  <c r="ER70" i="6"/>
  <c r="ES70" i="6"/>
  <c r="ET70" i="6"/>
  <c r="EU70" i="6"/>
  <c r="EV70" i="6"/>
  <c r="EW70" i="6"/>
  <c r="EX70" i="6"/>
  <c r="EY70" i="6"/>
  <c r="EZ70" i="6"/>
  <c r="FA70" i="6"/>
  <c r="FB70" i="6"/>
  <c r="FC70" i="6"/>
  <c r="FD70" i="6"/>
  <c r="FE70" i="6"/>
  <c r="FF70" i="6"/>
  <c r="FG70" i="6"/>
  <c r="FH70" i="6"/>
  <c r="FI70" i="6"/>
  <c r="FJ70" i="6"/>
  <c r="FK70" i="6"/>
  <c r="FL70" i="6"/>
  <c r="FM70" i="6"/>
  <c r="FN70" i="6"/>
  <c r="FO70" i="6"/>
  <c r="FP70" i="6"/>
  <c r="FQ70" i="6"/>
  <c r="FR70" i="6"/>
  <c r="FS70" i="6"/>
  <c r="FT70" i="6"/>
  <c r="FU70" i="6"/>
  <c r="FV70" i="6"/>
  <c r="FW70" i="6"/>
  <c r="FX70" i="6"/>
  <c r="FY70" i="6"/>
  <c r="FZ70" i="6"/>
  <c r="GA70" i="6"/>
  <c r="GB70" i="6"/>
  <c r="GC70" i="6"/>
  <c r="GD70" i="6"/>
  <c r="GE70" i="6"/>
  <c r="GF70" i="6"/>
  <c r="GG70" i="6"/>
  <c r="GH70" i="6"/>
  <c r="GI70" i="6"/>
  <c r="GJ70" i="6"/>
  <c r="GK70" i="6"/>
  <c r="GL70" i="6"/>
  <c r="GM70" i="6"/>
  <c r="GN70" i="6"/>
  <c r="GO70" i="6"/>
  <c r="GP70" i="6"/>
  <c r="GQ70" i="6"/>
  <c r="GR70" i="6"/>
  <c r="GS70" i="6"/>
  <c r="GT70" i="6"/>
  <c r="GU70" i="6"/>
  <c r="GV70" i="6"/>
  <c r="GW70" i="6"/>
  <c r="GX70" i="6"/>
  <c r="GY70" i="6"/>
  <c r="GZ70" i="6"/>
  <c r="HA70" i="6"/>
  <c r="HB70" i="6"/>
  <c r="HC70" i="6"/>
  <c r="HD70" i="6"/>
  <c r="HE70" i="6"/>
  <c r="HF70" i="6"/>
  <c r="HG70" i="6"/>
  <c r="HH70" i="6"/>
  <c r="HI70" i="6"/>
  <c r="HJ70" i="6"/>
  <c r="HK70" i="6"/>
  <c r="HL70" i="6"/>
  <c r="HM70" i="6"/>
  <c r="HN70" i="6"/>
  <c r="HO70" i="6"/>
  <c r="HP70" i="6"/>
  <c r="HQ70" i="6"/>
  <c r="HR70" i="6"/>
  <c r="HS70" i="6"/>
  <c r="HT70" i="6"/>
  <c r="HU70" i="6"/>
  <c r="HV70" i="6"/>
  <c r="HW70" i="6"/>
  <c r="HX70" i="6"/>
  <c r="HY70" i="6"/>
  <c r="HZ70" i="6"/>
  <c r="IA70" i="6"/>
  <c r="IB70" i="6"/>
  <c r="IC70" i="6"/>
  <c r="ID70" i="6"/>
  <c r="IE70" i="6"/>
  <c r="IF70" i="6"/>
  <c r="IG70" i="6"/>
  <c r="IH70" i="6"/>
  <c r="II70" i="6"/>
  <c r="IJ70" i="6"/>
  <c r="IK70" i="6"/>
  <c r="IL70" i="6"/>
  <c r="IM70" i="6"/>
  <c r="IN70" i="6"/>
  <c r="IO70" i="6"/>
  <c r="IP70" i="6"/>
  <c r="IQ70" i="6"/>
  <c r="IR70" i="6"/>
  <c r="IS70" i="6"/>
  <c r="IT70" i="6"/>
  <c r="IU70" i="6"/>
  <c r="IV70"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BA71" i="6"/>
  <c r="BB71" i="6"/>
  <c r="BC71" i="6"/>
  <c r="BD71" i="6"/>
  <c r="BE71" i="6"/>
  <c r="BF71" i="6"/>
  <c r="BG71" i="6"/>
  <c r="BH71" i="6"/>
  <c r="BI71" i="6"/>
  <c r="BJ71" i="6"/>
  <c r="BK71" i="6"/>
  <c r="BL71" i="6"/>
  <c r="BM71" i="6"/>
  <c r="BN71" i="6"/>
  <c r="BO71" i="6"/>
  <c r="BP71" i="6"/>
  <c r="BQ71" i="6"/>
  <c r="BR71" i="6"/>
  <c r="BS71" i="6"/>
  <c r="BT71" i="6"/>
  <c r="BU71" i="6"/>
  <c r="BV71" i="6"/>
  <c r="BW71" i="6"/>
  <c r="BX71" i="6"/>
  <c r="BY71" i="6"/>
  <c r="BZ71" i="6"/>
  <c r="CA71" i="6"/>
  <c r="CB71" i="6"/>
  <c r="CC71" i="6"/>
  <c r="CD71" i="6"/>
  <c r="CE71" i="6"/>
  <c r="CF71" i="6"/>
  <c r="CG71" i="6"/>
  <c r="CH71" i="6"/>
  <c r="CI71" i="6"/>
  <c r="CJ71" i="6"/>
  <c r="CK71" i="6"/>
  <c r="CL71" i="6"/>
  <c r="CM71" i="6"/>
  <c r="CN71" i="6"/>
  <c r="CO71" i="6"/>
  <c r="CP71" i="6"/>
  <c r="CQ71" i="6"/>
  <c r="CR71" i="6"/>
  <c r="CS71" i="6"/>
  <c r="CT71" i="6"/>
  <c r="CU71" i="6"/>
  <c r="CV71" i="6"/>
  <c r="CW71" i="6"/>
  <c r="CX71" i="6"/>
  <c r="CY71" i="6"/>
  <c r="CZ71" i="6"/>
  <c r="DA71" i="6"/>
  <c r="DB71" i="6"/>
  <c r="DC71" i="6"/>
  <c r="DD71" i="6"/>
  <c r="DE71" i="6"/>
  <c r="DF71" i="6"/>
  <c r="DG71" i="6"/>
  <c r="DH71" i="6"/>
  <c r="DI71" i="6"/>
  <c r="DJ71" i="6"/>
  <c r="DK71" i="6"/>
  <c r="DL71" i="6"/>
  <c r="DM71" i="6"/>
  <c r="DN71" i="6"/>
  <c r="DO71" i="6"/>
  <c r="DP71" i="6"/>
  <c r="DQ71" i="6"/>
  <c r="DR71" i="6"/>
  <c r="DS71" i="6"/>
  <c r="DT71" i="6"/>
  <c r="DU71" i="6"/>
  <c r="DV71" i="6"/>
  <c r="DW71" i="6"/>
  <c r="DX71" i="6"/>
  <c r="DY71" i="6"/>
  <c r="DZ71" i="6"/>
  <c r="EA71" i="6"/>
  <c r="EB71" i="6"/>
  <c r="EC71" i="6"/>
  <c r="ED71" i="6"/>
  <c r="EE71" i="6"/>
  <c r="EF71" i="6"/>
  <c r="EG71" i="6"/>
  <c r="EH71" i="6"/>
  <c r="EI71" i="6"/>
  <c r="EJ71" i="6"/>
  <c r="EK71" i="6"/>
  <c r="EL71" i="6"/>
  <c r="EM71" i="6"/>
  <c r="EN71" i="6"/>
  <c r="EO71" i="6"/>
  <c r="EP71" i="6"/>
  <c r="EQ71" i="6"/>
  <c r="ER71" i="6"/>
  <c r="ES71" i="6"/>
  <c r="ET71" i="6"/>
  <c r="EU71" i="6"/>
  <c r="EV71" i="6"/>
  <c r="EW71" i="6"/>
  <c r="EX71" i="6"/>
  <c r="EY71" i="6"/>
  <c r="EZ71" i="6"/>
  <c r="FA71" i="6"/>
  <c r="FB71" i="6"/>
  <c r="FC71" i="6"/>
  <c r="FD71" i="6"/>
  <c r="FE71" i="6"/>
  <c r="FF71" i="6"/>
  <c r="FG71" i="6"/>
  <c r="FH71" i="6"/>
  <c r="FI71" i="6"/>
  <c r="FJ71" i="6"/>
  <c r="FK71" i="6"/>
  <c r="FL71" i="6"/>
  <c r="FM71" i="6"/>
  <c r="FN71" i="6"/>
  <c r="FO71" i="6"/>
  <c r="FP71" i="6"/>
  <c r="FQ71" i="6"/>
  <c r="FR71" i="6"/>
  <c r="FS71" i="6"/>
  <c r="FT71" i="6"/>
  <c r="FU71" i="6"/>
  <c r="FV71" i="6"/>
  <c r="FW71" i="6"/>
  <c r="FX71" i="6"/>
  <c r="FY71" i="6"/>
  <c r="FZ71" i="6"/>
  <c r="GA71" i="6"/>
  <c r="GB71" i="6"/>
  <c r="GC71" i="6"/>
  <c r="GD71" i="6"/>
  <c r="GE71" i="6"/>
  <c r="GF71" i="6"/>
  <c r="GG71" i="6"/>
  <c r="GH71" i="6"/>
  <c r="GI71" i="6"/>
  <c r="GJ71" i="6"/>
  <c r="GK71" i="6"/>
  <c r="GL71" i="6"/>
  <c r="GM71" i="6"/>
  <c r="GN71" i="6"/>
  <c r="GO71" i="6"/>
  <c r="GP71" i="6"/>
  <c r="GQ71" i="6"/>
  <c r="GR71" i="6"/>
  <c r="GS71" i="6"/>
  <c r="GT71" i="6"/>
  <c r="GU71" i="6"/>
  <c r="GV71" i="6"/>
  <c r="GW71" i="6"/>
  <c r="GX71" i="6"/>
  <c r="GY71" i="6"/>
  <c r="GZ71" i="6"/>
  <c r="HA71" i="6"/>
  <c r="HB71" i="6"/>
  <c r="HC71" i="6"/>
  <c r="HD71" i="6"/>
  <c r="HE71" i="6"/>
  <c r="HF71" i="6"/>
  <c r="HG71" i="6"/>
  <c r="HH71" i="6"/>
  <c r="HI71" i="6"/>
  <c r="HJ71" i="6"/>
  <c r="HK71" i="6"/>
  <c r="HL71" i="6"/>
  <c r="HM71" i="6"/>
  <c r="HN71" i="6"/>
  <c r="HO71" i="6"/>
  <c r="HP71" i="6"/>
  <c r="HQ71" i="6"/>
  <c r="HR71" i="6"/>
  <c r="HS71" i="6"/>
  <c r="HT71" i="6"/>
  <c r="HU71" i="6"/>
  <c r="HV71" i="6"/>
  <c r="HW71" i="6"/>
  <c r="HX71" i="6"/>
  <c r="HY71" i="6"/>
  <c r="HZ71" i="6"/>
  <c r="IA71" i="6"/>
  <c r="IB71" i="6"/>
  <c r="IC71" i="6"/>
  <c r="ID71" i="6"/>
  <c r="IE71" i="6"/>
  <c r="IF71" i="6"/>
  <c r="IG71" i="6"/>
  <c r="IH71" i="6"/>
  <c r="II71" i="6"/>
  <c r="IJ71" i="6"/>
  <c r="IK71" i="6"/>
  <c r="IL71" i="6"/>
  <c r="IM71" i="6"/>
  <c r="IN71" i="6"/>
  <c r="IO71" i="6"/>
  <c r="IP71" i="6"/>
  <c r="IQ71" i="6"/>
  <c r="IR71" i="6"/>
  <c r="IS71" i="6"/>
  <c r="IT71" i="6"/>
  <c r="IU71" i="6"/>
  <c r="IV71"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BO72" i="6"/>
  <c r="BP72" i="6"/>
  <c r="BQ72" i="6"/>
  <c r="BR72" i="6"/>
  <c r="BS72" i="6"/>
  <c r="BT72" i="6"/>
  <c r="BU72" i="6"/>
  <c r="BV72" i="6"/>
  <c r="BW72" i="6"/>
  <c r="BX72" i="6"/>
  <c r="BY72" i="6"/>
  <c r="BZ72" i="6"/>
  <c r="CA72" i="6"/>
  <c r="CB72" i="6"/>
  <c r="CC72" i="6"/>
  <c r="CD72" i="6"/>
  <c r="CE72" i="6"/>
  <c r="CF72" i="6"/>
  <c r="CG72" i="6"/>
  <c r="CH72" i="6"/>
  <c r="CI72" i="6"/>
  <c r="CJ72" i="6"/>
  <c r="CK72" i="6"/>
  <c r="CL72" i="6"/>
  <c r="CM72" i="6"/>
  <c r="CN72" i="6"/>
  <c r="CO72" i="6"/>
  <c r="CP72" i="6"/>
  <c r="CQ72" i="6"/>
  <c r="CR72" i="6"/>
  <c r="CS72" i="6"/>
  <c r="CT72" i="6"/>
  <c r="CU72" i="6"/>
  <c r="CV72" i="6"/>
  <c r="CW72" i="6"/>
  <c r="CX72" i="6"/>
  <c r="CY72" i="6"/>
  <c r="CZ72" i="6"/>
  <c r="DA72" i="6"/>
  <c r="DB72" i="6"/>
  <c r="DC72" i="6"/>
  <c r="DD72" i="6"/>
  <c r="DE72" i="6"/>
  <c r="DF72" i="6"/>
  <c r="DG72" i="6"/>
  <c r="DH72" i="6"/>
  <c r="DI72" i="6"/>
  <c r="DJ72" i="6"/>
  <c r="DK72" i="6"/>
  <c r="DL72" i="6"/>
  <c r="DM72" i="6"/>
  <c r="DN72" i="6"/>
  <c r="DO72" i="6"/>
  <c r="DP72" i="6"/>
  <c r="DQ72" i="6"/>
  <c r="DR72" i="6"/>
  <c r="DS72" i="6"/>
  <c r="DT72" i="6"/>
  <c r="DU72" i="6"/>
  <c r="DV72" i="6"/>
  <c r="DW72" i="6"/>
  <c r="DX72" i="6"/>
  <c r="DY72" i="6"/>
  <c r="DZ72" i="6"/>
  <c r="EA72" i="6"/>
  <c r="EB72" i="6"/>
  <c r="EC72" i="6"/>
  <c r="ED72" i="6"/>
  <c r="EE72" i="6"/>
  <c r="EF72" i="6"/>
  <c r="EG72" i="6"/>
  <c r="EH72" i="6"/>
  <c r="EI72" i="6"/>
  <c r="EJ72" i="6"/>
  <c r="EK72" i="6"/>
  <c r="EL72" i="6"/>
  <c r="EM72" i="6"/>
  <c r="EN72" i="6"/>
  <c r="EO72" i="6"/>
  <c r="EP72" i="6"/>
  <c r="EQ72" i="6"/>
  <c r="ER72" i="6"/>
  <c r="ES72" i="6"/>
  <c r="ET72" i="6"/>
  <c r="EU72" i="6"/>
  <c r="EV72" i="6"/>
  <c r="EW72" i="6"/>
  <c r="EX72" i="6"/>
  <c r="EY72" i="6"/>
  <c r="EZ72" i="6"/>
  <c r="FA72" i="6"/>
  <c r="FB72" i="6"/>
  <c r="FC72" i="6"/>
  <c r="FD72" i="6"/>
  <c r="FE72" i="6"/>
  <c r="FF72" i="6"/>
  <c r="FG72" i="6"/>
  <c r="FH72" i="6"/>
  <c r="FI72" i="6"/>
  <c r="FJ72" i="6"/>
  <c r="FK72" i="6"/>
  <c r="FL72" i="6"/>
  <c r="FM72" i="6"/>
  <c r="FN72" i="6"/>
  <c r="FO72" i="6"/>
  <c r="FP72" i="6"/>
  <c r="FQ72" i="6"/>
  <c r="FR72" i="6"/>
  <c r="FS72" i="6"/>
  <c r="FT72" i="6"/>
  <c r="FU72" i="6"/>
  <c r="FV72" i="6"/>
  <c r="FW72" i="6"/>
  <c r="FX72" i="6"/>
  <c r="FY72" i="6"/>
  <c r="FZ72" i="6"/>
  <c r="GA72" i="6"/>
  <c r="GB72" i="6"/>
  <c r="GC72" i="6"/>
  <c r="GD72" i="6"/>
  <c r="GE72" i="6"/>
  <c r="GF72" i="6"/>
  <c r="GG72" i="6"/>
  <c r="GH72" i="6"/>
  <c r="GI72" i="6"/>
  <c r="GJ72" i="6"/>
  <c r="GK72" i="6"/>
  <c r="GL72" i="6"/>
  <c r="GM72" i="6"/>
  <c r="GN72" i="6"/>
  <c r="GO72" i="6"/>
  <c r="GP72" i="6"/>
  <c r="GQ72" i="6"/>
  <c r="GR72" i="6"/>
  <c r="GS72" i="6"/>
  <c r="GT72" i="6"/>
  <c r="GU72" i="6"/>
  <c r="GV72" i="6"/>
  <c r="GW72" i="6"/>
  <c r="GX72" i="6"/>
  <c r="GY72" i="6"/>
  <c r="GZ72" i="6"/>
  <c r="HA72" i="6"/>
  <c r="HB72" i="6"/>
  <c r="HC72" i="6"/>
  <c r="HD72" i="6"/>
  <c r="HE72" i="6"/>
  <c r="HF72" i="6"/>
  <c r="HG72" i="6"/>
  <c r="HH72" i="6"/>
  <c r="HI72" i="6"/>
  <c r="HJ72" i="6"/>
  <c r="HK72" i="6"/>
  <c r="HL72" i="6"/>
  <c r="HM72" i="6"/>
  <c r="HN72" i="6"/>
  <c r="HO72" i="6"/>
  <c r="HP72" i="6"/>
  <c r="HQ72" i="6"/>
  <c r="HR72" i="6"/>
  <c r="HS72" i="6"/>
  <c r="HT72" i="6"/>
  <c r="HU72" i="6"/>
  <c r="HV72" i="6"/>
  <c r="HW72" i="6"/>
  <c r="HX72" i="6"/>
  <c r="HY72" i="6"/>
  <c r="HZ72" i="6"/>
  <c r="IA72" i="6"/>
  <c r="IB72" i="6"/>
  <c r="IC72" i="6"/>
  <c r="ID72" i="6"/>
  <c r="IE72" i="6"/>
  <c r="IF72" i="6"/>
  <c r="IG72" i="6"/>
  <c r="IH72" i="6"/>
  <c r="II72" i="6"/>
  <c r="IJ72" i="6"/>
  <c r="IK72" i="6"/>
  <c r="IL72" i="6"/>
  <c r="IM72" i="6"/>
  <c r="IN72" i="6"/>
  <c r="IO72" i="6"/>
  <c r="IP72" i="6"/>
  <c r="IQ72" i="6"/>
  <c r="IR72" i="6"/>
  <c r="IS72" i="6"/>
  <c r="IT72" i="6"/>
  <c r="IU72" i="6"/>
  <c r="IV72"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BO73" i="6"/>
  <c r="BP73" i="6"/>
  <c r="BQ73" i="6"/>
  <c r="BR73" i="6"/>
  <c r="BS73" i="6"/>
  <c r="BT73" i="6"/>
  <c r="BU73" i="6"/>
  <c r="BV73" i="6"/>
  <c r="BW73" i="6"/>
  <c r="BX73" i="6"/>
  <c r="BY73" i="6"/>
  <c r="BZ73" i="6"/>
  <c r="CA73" i="6"/>
  <c r="CB73" i="6"/>
  <c r="CC73" i="6"/>
  <c r="CD73" i="6"/>
  <c r="CE73" i="6"/>
  <c r="CF73" i="6"/>
  <c r="CG73" i="6"/>
  <c r="CH73" i="6"/>
  <c r="CI73" i="6"/>
  <c r="CJ73" i="6"/>
  <c r="CK73" i="6"/>
  <c r="CL73" i="6"/>
  <c r="CM73" i="6"/>
  <c r="CN73" i="6"/>
  <c r="CO73" i="6"/>
  <c r="CP73" i="6"/>
  <c r="CQ73" i="6"/>
  <c r="CR73" i="6"/>
  <c r="CS73" i="6"/>
  <c r="CT73" i="6"/>
  <c r="CU73" i="6"/>
  <c r="CV73" i="6"/>
  <c r="CW73" i="6"/>
  <c r="CX73" i="6"/>
  <c r="CY73" i="6"/>
  <c r="CZ73" i="6"/>
  <c r="DA73" i="6"/>
  <c r="DB73" i="6"/>
  <c r="DC73" i="6"/>
  <c r="DD73" i="6"/>
  <c r="DE73" i="6"/>
  <c r="DF73" i="6"/>
  <c r="DG73" i="6"/>
  <c r="DH73" i="6"/>
  <c r="DI73" i="6"/>
  <c r="DJ73" i="6"/>
  <c r="DK73" i="6"/>
  <c r="DL73" i="6"/>
  <c r="DM73" i="6"/>
  <c r="DN73" i="6"/>
  <c r="DO73" i="6"/>
  <c r="DP73" i="6"/>
  <c r="DQ73" i="6"/>
  <c r="DR73" i="6"/>
  <c r="DS73" i="6"/>
  <c r="DT73" i="6"/>
  <c r="DU73" i="6"/>
  <c r="DV73" i="6"/>
  <c r="DW73" i="6"/>
  <c r="DX73" i="6"/>
  <c r="DY73" i="6"/>
  <c r="DZ73" i="6"/>
  <c r="EA73" i="6"/>
  <c r="EB73" i="6"/>
  <c r="EC73" i="6"/>
  <c r="ED73" i="6"/>
  <c r="EE73" i="6"/>
  <c r="EF73" i="6"/>
  <c r="EG73" i="6"/>
  <c r="EH73" i="6"/>
  <c r="EI73" i="6"/>
  <c r="EJ73" i="6"/>
  <c r="EK73" i="6"/>
  <c r="EL73" i="6"/>
  <c r="EM73" i="6"/>
  <c r="EN73" i="6"/>
  <c r="EO73" i="6"/>
  <c r="EP73" i="6"/>
  <c r="EQ73" i="6"/>
  <c r="ER73" i="6"/>
  <c r="ES73" i="6"/>
  <c r="ET73" i="6"/>
  <c r="EU73" i="6"/>
  <c r="EV73" i="6"/>
  <c r="EW73" i="6"/>
  <c r="EX73" i="6"/>
  <c r="EY73" i="6"/>
  <c r="EZ73" i="6"/>
  <c r="FA73" i="6"/>
  <c r="FB73" i="6"/>
  <c r="FC73" i="6"/>
  <c r="FD73" i="6"/>
  <c r="FE73" i="6"/>
  <c r="FF73" i="6"/>
  <c r="FG73" i="6"/>
  <c r="FH73" i="6"/>
  <c r="FI73" i="6"/>
  <c r="FJ73" i="6"/>
  <c r="FK73" i="6"/>
  <c r="FL73" i="6"/>
  <c r="FM73" i="6"/>
  <c r="FN73" i="6"/>
  <c r="FO73" i="6"/>
  <c r="FP73" i="6"/>
  <c r="FQ73" i="6"/>
  <c r="FR73" i="6"/>
  <c r="FS73" i="6"/>
  <c r="FT73" i="6"/>
  <c r="FU73" i="6"/>
  <c r="FV73" i="6"/>
  <c r="FW73" i="6"/>
  <c r="FX73" i="6"/>
  <c r="FY73" i="6"/>
  <c r="FZ73" i="6"/>
  <c r="GA73" i="6"/>
  <c r="GB73" i="6"/>
  <c r="GC73" i="6"/>
  <c r="GD73" i="6"/>
  <c r="GE73" i="6"/>
  <c r="GF73" i="6"/>
  <c r="GG73" i="6"/>
  <c r="GH73" i="6"/>
  <c r="GI73" i="6"/>
  <c r="GJ73" i="6"/>
  <c r="GK73" i="6"/>
  <c r="GL73" i="6"/>
  <c r="GM73" i="6"/>
  <c r="GN73" i="6"/>
  <c r="GO73" i="6"/>
  <c r="GP73" i="6"/>
  <c r="GQ73" i="6"/>
  <c r="GR73" i="6"/>
  <c r="GS73" i="6"/>
  <c r="GT73" i="6"/>
  <c r="GU73" i="6"/>
  <c r="GV73" i="6"/>
  <c r="GW73" i="6"/>
  <c r="GX73" i="6"/>
  <c r="GY73" i="6"/>
  <c r="GZ73" i="6"/>
  <c r="HA73" i="6"/>
  <c r="HB73" i="6"/>
  <c r="HC73" i="6"/>
  <c r="HD73" i="6"/>
  <c r="HE73" i="6"/>
  <c r="HF73" i="6"/>
  <c r="HG73" i="6"/>
  <c r="HH73" i="6"/>
  <c r="HI73" i="6"/>
  <c r="HJ73" i="6"/>
  <c r="HK73" i="6"/>
  <c r="HL73" i="6"/>
  <c r="HM73" i="6"/>
  <c r="HN73" i="6"/>
  <c r="HO73" i="6"/>
  <c r="HP73" i="6"/>
  <c r="HQ73" i="6"/>
  <c r="HR73" i="6"/>
  <c r="HS73" i="6"/>
  <c r="HT73" i="6"/>
  <c r="HU73" i="6"/>
  <c r="HV73" i="6"/>
  <c r="HW73" i="6"/>
  <c r="HX73" i="6"/>
  <c r="HY73" i="6"/>
  <c r="HZ73" i="6"/>
  <c r="IA73" i="6"/>
  <c r="IB73" i="6"/>
  <c r="IC73" i="6"/>
  <c r="ID73" i="6"/>
  <c r="IE73" i="6"/>
  <c r="IF73" i="6"/>
  <c r="IG73" i="6"/>
  <c r="IH73" i="6"/>
  <c r="II73" i="6"/>
  <c r="IJ73" i="6"/>
  <c r="IK73" i="6"/>
  <c r="IL73" i="6"/>
  <c r="IM73" i="6"/>
  <c r="IN73" i="6"/>
  <c r="IO73" i="6"/>
  <c r="IP73" i="6"/>
  <c r="IQ73" i="6"/>
  <c r="IR73" i="6"/>
  <c r="IS73" i="6"/>
  <c r="IT73" i="6"/>
  <c r="IU73" i="6"/>
  <c r="IV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Y74" i="6"/>
  <c r="CZ74" i="6"/>
  <c r="DA74" i="6"/>
  <c r="DB74" i="6"/>
  <c r="DC74" i="6"/>
  <c r="DD74" i="6"/>
  <c r="DE74" i="6"/>
  <c r="DF74" i="6"/>
  <c r="DG74" i="6"/>
  <c r="DH74" i="6"/>
  <c r="DI74" i="6"/>
  <c r="DJ74" i="6"/>
  <c r="DK74" i="6"/>
  <c r="DL74" i="6"/>
  <c r="DM74" i="6"/>
  <c r="DN74" i="6"/>
  <c r="DO74" i="6"/>
  <c r="DP74" i="6"/>
  <c r="DQ74" i="6"/>
  <c r="DR74" i="6"/>
  <c r="DS74" i="6"/>
  <c r="DT74" i="6"/>
  <c r="DU74" i="6"/>
  <c r="DV74" i="6"/>
  <c r="DW74" i="6"/>
  <c r="DX74" i="6"/>
  <c r="DY74" i="6"/>
  <c r="DZ74" i="6"/>
  <c r="EA74" i="6"/>
  <c r="EB74" i="6"/>
  <c r="EC74" i="6"/>
  <c r="ED74" i="6"/>
  <c r="EE74" i="6"/>
  <c r="EF74" i="6"/>
  <c r="EG74" i="6"/>
  <c r="EH74" i="6"/>
  <c r="EI74" i="6"/>
  <c r="EJ74" i="6"/>
  <c r="EK74" i="6"/>
  <c r="EL74" i="6"/>
  <c r="EM74" i="6"/>
  <c r="EN74" i="6"/>
  <c r="EO74" i="6"/>
  <c r="EP74" i="6"/>
  <c r="EQ74" i="6"/>
  <c r="ER74" i="6"/>
  <c r="ES74" i="6"/>
  <c r="ET74" i="6"/>
  <c r="EU74" i="6"/>
  <c r="EV74" i="6"/>
  <c r="EW74" i="6"/>
  <c r="EX74" i="6"/>
  <c r="EY74" i="6"/>
  <c r="EZ74" i="6"/>
  <c r="FA74" i="6"/>
  <c r="FB74" i="6"/>
  <c r="FC74" i="6"/>
  <c r="FD74" i="6"/>
  <c r="FE74" i="6"/>
  <c r="FF74" i="6"/>
  <c r="FG74" i="6"/>
  <c r="FH74" i="6"/>
  <c r="FI74" i="6"/>
  <c r="FJ74" i="6"/>
  <c r="FK74" i="6"/>
  <c r="FL74" i="6"/>
  <c r="FM74" i="6"/>
  <c r="FN74" i="6"/>
  <c r="FO74" i="6"/>
  <c r="FP74" i="6"/>
  <c r="FQ74" i="6"/>
  <c r="FR74" i="6"/>
  <c r="FS74" i="6"/>
  <c r="FT74" i="6"/>
  <c r="FU74" i="6"/>
  <c r="FV74" i="6"/>
  <c r="FW74" i="6"/>
  <c r="FX74" i="6"/>
  <c r="FY74" i="6"/>
  <c r="FZ74" i="6"/>
  <c r="GA74" i="6"/>
  <c r="GB74" i="6"/>
  <c r="GC74" i="6"/>
  <c r="GD74" i="6"/>
  <c r="GE74" i="6"/>
  <c r="GF74" i="6"/>
  <c r="GG74" i="6"/>
  <c r="GH74" i="6"/>
  <c r="GI74" i="6"/>
  <c r="GJ74" i="6"/>
  <c r="GK74" i="6"/>
  <c r="GL74" i="6"/>
  <c r="GM74" i="6"/>
  <c r="GN74" i="6"/>
  <c r="GO74" i="6"/>
  <c r="GP74" i="6"/>
  <c r="GQ74" i="6"/>
  <c r="GR74" i="6"/>
  <c r="GS74" i="6"/>
  <c r="GT74" i="6"/>
  <c r="GU74" i="6"/>
  <c r="GV74" i="6"/>
  <c r="GW74" i="6"/>
  <c r="GX74" i="6"/>
  <c r="GY74" i="6"/>
  <c r="GZ74" i="6"/>
  <c r="HA74" i="6"/>
  <c r="HB74" i="6"/>
  <c r="HC74" i="6"/>
  <c r="HD74" i="6"/>
  <c r="HE74" i="6"/>
  <c r="HF74" i="6"/>
  <c r="HG74" i="6"/>
  <c r="HH74" i="6"/>
  <c r="HI74" i="6"/>
  <c r="HJ74" i="6"/>
  <c r="HK74" i="6"/>
  <c r="HL74" i="6"/>
  <c r="HM74" i="6"/>
  <c r="HN74" i="6"/>
  <c r="HO74" i="6"/>
  <c r="HP74" i="6"/>
  <c r="HQ74" i="6"/>
  <c r="HR74" i="6"/>
  <c r="HS74" i="6"/>
  <c r="HT74" i="6"/>
  <c r="HU74" i="6"/>
  <c r="HV74" i="6"/>
  <c r="HW74" i="6"/>
  <c r="HX74" i="6"/>
  <c r="HY74" i="6"/>
  <c r="HZ74" i="6"/>
  <c r="IA74" i="6"/>
  <c r="IB74" i="6"/>
  <c r="IC74" i="6"/>
  <c r="ID74" i="6"/>
  <c r="IE74" i="6"/>
  <c r="IF74" i="6"/>
  <c r="IG74" i="6"/>
  <c r="IH74" i="6"/>
  <c r="II74" i="6"/>
  <c r="IJ74" i="6"/>
  <c r="IK74" i="6"/>
  <c r="IL74" i="6"/>
  <c r="IM74" i="6"/>
  <c r="IN74" i="6"/>
  <c r="IO74" i="6"/>
  <c r="IP74" i="6"/>
  <c r="IQ74" i="6"/>
  <c r="IR74" i="6"/>
  <c r="IS74" i="6"/>
  <c r="IT74" i="6"/>
  <c r="IU74" i="6"/>
  <c r="IV74"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AP75" i="6"/>
  <c r="AQ75" i="6"/>
  <c r="AR75" i="6"/>
  <c r="AS75" i="6"/>
  <c r="AT75" i="6"/>
  <c r="AU75" i="6"/>
  <c r="AV75" i="6"/>
  <c r="AW75" i="6"/>
  <c r="AX75" i="6"/>
  <c r="AY75" i="6"/>
  <c r="AZ75" i="6"/>
  <c r="BA75" i="6"/>
  <c r="BB75" i="6"/>
  <c r="BC75" i="6"/>
  <c r="BD75" i="6"/>
  <c r="BE75" i="6"/>
  <c r="BF75" i="6"/>
  <c r="BG75" i="6"/>
  <c r="BH75" i="6"/>
  <c r="BI75" i="6"/>
  <c r="BJ75" i="6"/>
  <c r="BK75" i="6"/>
  <c r="BL75" i="6"/>
  <c r="BM75" i="6"/>
  <c r="BN75" i="6"/>
  <c r="BO75" i="6"/>
  <c r="BP75" i="6"/>
  <c r="BQ75" i="6"/>
  <c r="BR75" i="6"/>
  <c r="BS75" i="6"/>
  <c r="BT75" i="6"/>
  <c r="BU75" i="6"/>
  <c r="BV75" i="6"/>
  <c r="BW75" i="6"/>
  <c r="BX75" i="6"/>
  <c r="BY75" i="6"/>
  <c r="BZ75" i="6"/>
  <c r="CA75" i="6"/>
  <c r="CB75" i="6"/>
  <c r="CC75" i="6"/>
  <c r="CD75" i="6"/>
  <c r="CE75" i="6"/>
  <c r="CF75" i="6"/>
  <c r="CG75" i="6"/>
  <c r="CH75" i="6"/>
  <c r="CI75" i="6"/>
  <c r="CJ75" i="6"/>
  <c r="CK75" i="6"/>
  <c r="CL75" i="6"/>
  <c r="CM75" i="6"/>
  <c r="CN75" i="6"/>
  <c r="CO75" i="6"/>
  <c r="CP75" i="6"/>
  <c r="CQ75" i="6"/>
  <c r="CR75" i="6"/>
  <c r="CS75" i="6"/>
  <c r="CT75" i="6"/>
  <c r="CU75" i="6"/>
  <c r="CV75" i="6"/>
  <c r="CW75" i="6"/>
  <c r="CX75" i="6"/>
  <c r="CY75" i="6"/>
  <c r="CZ75" i="6"/>
  <c r="DA75" i="6"/>
  <c r="DB75" i="6"/>
  <c r="DC75" i="6"/>
  <c r="DD75" i="6"/>
  <c r="DE75" i="6"/>
  <c r="DF75" i="6"/>
  <c r="DG75" i="6"/>
  <c r="DH75" i="6"/>
  <c r="DI75" i="6"/>
  <c r="DJ75" i="6"/>
  <c r="DK75" i="6"/>
  <c r="DL75" i="6"/>
  <c r="DM75" i="6"/>
  <c r="DN75" i="6"/>
  <c r="DO75" i="6"/>
  <c r="DP75" i="6"/>
  <c r="DQ75" i="6"/>
  <c r="DR75" i="6"/>
  <c r="DS75" i="6"/>
  <c r="DT75" i="6"/>
  <c r="DU75" i="6"/>
  <c r="DV75" i="6"/>
  <c r="DW75" i="6"/>
  <c r="DX75" i="6"/>
  <c r="DY75" i="6"/>
  <c r="DZ75" i="6"/>
  <c r="EA75" i="6"/>
  <c r="EB75" i="6"/>
  <c r="EC75" i="6"/>
  <c r="ED75" i="6"/>
  <c r="EE75" i="6"/>
  <c r="EF75" i="6"/>
  <c r="EG75" i="6"/>
  <c r="EH75" i="6"/>
  <c r="EI75" i="6"/>
  <c r="EJ75" i="6"/>
  <c r="EK75" i="6"/>
  <c r="EL75" i="6"/>
  <c r="EM75" i="6"/>
  <c r="EN75" i="6"/>
  <c r="EO75" i="6"/>
  <c r="EP75" i="6"/>
  <c r="EQ75" i="6"/>
  <c r="ER75" i="6"/>
  <c r="ES75" i="6"/>
  <c r="ET75" i="6"/>
  <c r="EU75" i="6"/>
  <c r="EV75" i="6"/>
  <c r="EW75" i="6"/>
  <c r="EX75" i="6"/>
  <c r="EY75" i="6"/>
  <c r="EZ75" i="6"/>
  <c r="FA75" i="6"/>
  <c r="FB75" i="6"/>
  <c r="FC75" i="6"/>
  <c r="FD75" i="6"/>
  <c r="FE75" i="6"/>
  <c r="FF75" i="6"/>
  <c r="FG75" i="6"/>
  <c r="FH75" i="6"/>
  <c r="FI75" i="6"/>
  <c r="FJ75" i="6"/>
  <c r="FK75" i="6"/>
  <c r="FL75" i="6"/>
  <c r="FM75" i="6"/>
  <c r="FN75" i="6"/>
  <c r="FO75" i="6"/>
  <c r="FP75" i="6"/>
  <c r="FQ75" i="6"/>
  <c r="FR75" i="6"/>
  <c r="FS75" i="6"/>
  <c r="FT75" i="6"/>
  <c r="FU75" i="6"/>
  <c r="FV75" i="6"/>
  <c r="FW75" i="6"/>
  <c r="FX75" i="6"/>
  <c r="FY75" i="6"/>
  <c r="FZ75" i="6"/>
  <c r="GA75" i="6"/>
  <c r="GB75" i="6"/>
  <c r="GC75" i="6"/>
  <c r="GD75" i="6"/>
  <c r="GE75" i="6"/>
  <c r="GF75" i="6"/>
  <c r="GG75" i="6"/>
  <c r="GH75" i="6"/>
  <c r="GI75" i="6"/>
  <c r="GJ75" i="6"/>
  <c r="GK75" i="6"/>
  <c r="GL75" i="6"/>
  <c r="GM75" i="6"/>
  <c r="GN75" i="6"/>
  <c r="GO75" i="6"/>
  <c r="GP75" i="6"/>
  <c r="GQ75" i="6"/>
  <c r="GR75" i="6"/>
  <c r="GS75" i="6"/>
  <c r="GT75" i="6"/>
  <c r="GU75" i="6"/>
  <c r="GV75" i="6"/>
  <c r="GW75" i="6"/>
  <c r="GX75" i="6"/>
  <c r="GY75" i="6"/>
  <c r="GZ75" i="6"/>
  <c r="HA75" i="6"/>
  <c r="HB75" i="6"/>
  <c r="HC75" i="6"/>
  <c r="HD75" i="6"/>
  <c r="HE75" i="6"/>
  <c r="HF75" i="6"/>
  <c r="HG75" i="6"/>
  <c r="HH75" i="6"/>
  <c r="HI75" i="6"/>
  <c r="HJ75" i="6"/>
  <c r="HK75" i="6"/>
  <c r="HL75" i="6"/>
  <c r="HM75" i="6"/>
  <c r="HN75" i="6"/>
  <c r="HO75" i="6"/>
  <c r="HP75" i="6"/>
  <c r="HQ75" i="6"/>
  <c r="HR75" i="6"/>
  <c r="HS75" i="6"/>
  <c r="HT75" i="6"/>
  <c r="HU75" i="6"/>
  <c r="HV75" i="6"/>
  <c r="HW75" i="6"/>
  <c r="HX75" i="6"/>
  <c r="HY75" i="6"/>
  <c r="HZ75" i="6"/>
  <c r="IA75" i="6"/>
  <c r="IB75" i="6"/>
  <c r="IC75" i="6"/>
  <c r="ID75" i="6"/>
  <c r="IE75" i="6"/>
  <c r="IF75" i="6"/>
  <c r="IG75" i="6"/>
  <c r="IH75" i="6"/>
  <c r="II75" i="6"/>
  <c r="IJ75" i="6"/>
  <c r="IK75" i="6"/>
  <c r="IL75" i="6"/>
  <c r="IM75" i="6"/>
  <c r="IN75" i="6"/>
  <c r="IO75" i="6"/>
  <c r="IP75" i="6"/>
  <c r="IQ75" i="6"/>
  <c r="IR75" i="6"/>
  <c r="IS75" i="6"/>
  <c r="IT75" i="6"/>
  <c r="IU75" i="6"/>
  <c r="IV75"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AQ76" i="6"/>
  <c r="AR76" i="6"/>
  <c r="AS76" i="6"/>
  <c r="AT76" i="6"/>
  <c r="AU76" i="6"/>
  <c r="AV76" i="6"/>
  <c r="AW76" i="6"/>
  <c r="AX76" i="6"/>
  <c r="AY76" i="6"/>
  <c r="AZ76" i="6"/>
  <c r="BA76" i="6"/>
  <c r="BB76" i="6"/>
  <c r="BC76" i="6"/>
  <c r="BD76" i="6"/>
  <c r="BE76" i="6"/>
  <c r="BF76" i="6"/>
  <c r="BG76" i="6"/>
  <c r="BH76" i="6"/>
  <c r="BI76" i="6"/>
  <c r="BJ76" i="6"/>
  <c r="BK76" i="6"/>
  <c r="BL76" i="6"/>
  <c r="BM76" i="6"/>
  <c r="BN76" i="6"/>
  <c r="BO76" i="6"/>
  <c r="BP76" i="6"/>
  <c r="BQ76" i="6"/>
  <c r="BR76" i="6"/>
  <c r="BS76" i="6"/>
  <c r="BT76" i="6"/>
  <c r="BU76" i="6"/>
  <c r="BV76" i="6"/>
  <c r="BW76" i="6"/>
  <c r="BX76" i="6"/>
  <c r="BY76" i="6"/>
  <c r="BZ76" i="6"/>
  <c r="CA76" i="6"/>
  <c r="CB76" i="6"/>
  <c r="CC76" i="6"/>
  <c r="CD76" i="6"/>
  <c r="CE76" i="6"/>
  <c r="CF76" i="6"/>
  <c r="CG76" i="6"/>
  <c r="CH76" i="6"/>
  <c r="CI76" i="6"/>
  <c r="CJ76" i="6"/>
  <c r="CK76" i="6"/>
  <c r="CL76" i="6"/>
  <c r="CM76" i="6"/>
  <c r="CN76" i="6"/>
  <c r="CO76" i="6"/>
  <c r="CP76" i="6"/>
  <c r="CQ76" i="6"/>
  <c r="CR76" i="6"/>
  <c r="CS76" i="6"/>
  <c r="CT76" i="6"/>
  <c r="CU76" i="6"/>
  <c r="CV76" i="6"/>
  <c r="CW76" i="6"/>
  <c r="CX76" i="6"/>
  <c r="CY76" i="6"/>
  <c r="CZ76" i="6"/>
  <c r="DA76" i="6"/>
  <c r="DB76" i="6"/>
  <c r="DC76" i="6"/>
  <c r="DD76" i="6"/>
  <c r="DE76" i="6"/>
  <c r="DF76" i="6"/>
  <c r="DG76" i="6"/>
  <c r="DH76" i="6"/>
  <c r="DI76" i="6"/>
  <c r="DJ76" i="6"/>
  <c r="DK76" i="6"/>
  <c r="DL76" i="6"/>
  <c r="DM76" i="6"/>
  <c r="DN76" i="6"/>
  <c r="DO76" i="6"/>
  <c r="DP76" i="6"/>
  <c r="DQ76" i="6"/>
  <c r="DR76" i="6"/>
  <c r="DS76" i="6"/>
  <c r="DT76" i="6"/>
  <c r="DU76" i="6"/>
  <c r="DV76" i="6"/>
  <c r="DW76" i="6"/>
  <c r="DX76" i="6"/>
  <c r="DY76" i="6"/>
  <c r="DZ76" i="6"/>
  <c r="EA76" i="6"/>
  <c r="EB76" i="6"/>
  <c r="EC76" i="6"/>
  <c r="ED76" i="6"/>
  <c r="EE76" i="6"/>
  <c r="EF76" i="6"/>
  <c r="EG76" i="6"/>
  <c r="EH76" i="6"/>
  <c r="EI76" i="6"/>
  <c r="EJ76" i="6"/>
  <c r="EK76" i="6"/>
  <c r="EL76" i="6"/>
  <c r="EM76" i="6"/>
  <c r="EN76" i="6"/>
  <c r="EO76" i="6"/>
  <c r="EP76" i="6"/>
  <c r="EQ76" i="6"/>
  <c r="ER76" i="6"/>
  <c r="ES76" i="6"/>
  <c r="ET76" i="6"/>
  <c r="EU76" i="6"/>
  <c r="EV76" i="6"/>
  <c r="EW76" i="6"/>
  <c r="EX76" i="6"/>
  <c r="EY76" i="6"/>
  <c r="EZ76" i="6"/>
  <c r="FA76" i="6"/>
  <c r="FB76" i="6"/>
  <c r="FC76" i="6"/>
  <c r="FD76" i="6"/>
  <c r="FE76" i="6"/>
  <c r="FF76" i="6"/>
  <c r="FG76" i="6"/>
  <c r="FH76" i="6"/>
  <c r="FI76" i="6"/>
  <c r="FJ76" i="6"/>
  <c r="FK76" i="6"/>
  <c r="FL76" i="6"/>
  <c r="FM76" i="6"/>
  <c r="FN76" i="6"/>
  <c r="FO76" i="6"/>
  <c r="FP76" i="6"/>
  <c r="FQ76" i="6"/>
  <c r="FR76" i="6"/>
  <c r="FS76" i="6"/>
  <c r="FT76" i="6"/>
  <c r="FU76" i="6"/>
  <c r="FV76" i="6"/>
  <c r="FW76" i="6"/>
  <c r="FX76" i="6"/>
  <c r="FY76" i="6"/>
  <c r="FZ76" i="6"/>
  <c r="GA76" i="6"/>
  <c r="GB76" i="6"/>
  <c r="GC76" i="6"/>
  <c r="GD76" i="6"/>
  <c r="GE76" i="6"/>
  <c r="GF76" i="6"/>
  <c r="GG76" i="6"/>
  <c r="GH76" i="6"/>
  <c r="GI76" i="6"/>
  <c r="GJ76" i="6"/>
  <c r="GK76" i="6"/>
  <c r="GL76" i="6"/>
  <c r="GM76" i="6"/>
  <c r="GN76" i="6"/>
  <c r="GO76" i="6"/>
  <c r="GP76" i="6"/>
  <c r="GQ76" i="6"/>
  <c r="GR76" i="6"/>
  <c r="GS76" i="6"/>
  <c r="GT76" i="6"/>
  <c r="GU76" i="6"/>
  <c r="GV76" i="6"/>
  <c r="GW76" i="6"/>
  <c r="GX76" i="6"/>
  <c r="GY76" i="6"/>
  <c r="GZ76" i="6"/>
  <c r="HA76" i="6"/>
  <c r="HB76" i="6"/>
  <c r="HC76" i="6"/>
  <c r="HD76" i="6"/>
  <c r="HE76" i="6"/>
  <c r="HF76" i="6"/>
  <c r="HG76" i="6"/>
  <c r="HH76" i="6"/>
  <c r="HI76" i="6"/>
  <c r="HJ76" i="6"/>
  <c r="HK76" i="6"/>
  <c r="HL76" i="6"/>
  <c r="HM76" i="6"/>
  <c r="HN76" i="6"/>
  <c r="HO76" i="6"/>
  <c r="HP76" i="6"/>
  <c r="HQ76" i="6"/>
  <c r="HR76" i="6"/>
  <c r="HS76" i="6"/>
  <c r="HT76" i="6"/>
  <c r="HU76" i="6"/>
  <c r="HV76" i="6"/>
  <c r="HW76" i="6"/>
  <c r="HX76" i="6"/>
  <c r="HY76" i="6"/>
  <c r="HZ76" i="6"/>
  <c r="IA76" i="6"/>
  <c r="IB76" i="6"/>
  <c r="IC76" i="6"/>
  <c r="ID76" i="6"/>
  <c r="IE76" i="6"/>
  <c r="IF76" i="6"/>
  <c r="IG76" i="6"/>
  <c r="IH76" i="6"/>
  <c r="II76" i="6"/>
  <c r="IJ76" i="6"/>
  <c r="IK76" i="6"/>
  <c r="IL76" i="6"/>
  <c r="IM76" i="6"/>
  <c r="IN76" i="6"/>
  <c r="IO76" i="6"/>
  <c r="IP76" i="6"/>
  <c r="IQ76" i="6"/>
  <c r="IR76" i="6"/>
  <c r="IS76" i="6"/>
  <c r="IT76" i="6"/>
  <c r="IU76" i="6"/>
  <c r="IV76"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AQ77" i="6"/>
  <c r="AR77" i="6"/>
  <c r="AS77" i="6"/>
  <c r="AT77" i="6"/>
  <c r="AU77" i="6"/>
  <c r="AV77" i="6"/>
  <c r="AW77" i="6"/>
  <c r="AX77" i="6"/>
  <c r="AY77" i="6"/>
  <c r="AZ77" i="6"/>
  <c r="BA77" i="6"/>
  <c r="BB77" i="6"/>
  <c r="BC77" i="6"/>
  <c r="BD77" i="6"/>
  <c r="BE77" i="6"/>
  <c r="BF77" i="6"/>
  <c r="BG77" i="6"/>
  <c r="BH77" i="6"/>
  <c r="BI77" i="6"/>
  <c r="BJ77" i="6"/>
  <c r="BK77" i="6"/>
  <c r="BL77" i="6"/>
  <c r="BM77" i="6"/>
  <c r="BN77" i="6"/>
  <c r="BO77" i="6"/>
  <c r="BP77" i="6"/>
  <c r="BQ77" i="6"/>
  <c r="BR77" i="6"/>
  <c r="BS77" i="6"/>
  <c r="BT77" i="6"/>
  <c r="BU77" i="6"/>
  <c r="BV77" i="6"/>
  <c r="BW77" i="6"/>
  <c r="BX77" i="6"/>
  <c r="BY77" i="6"/>
  <c r="BZ77" i="6"/>
  <c r="CA77" i="6"/>
  <c r="CB77" i="6"/>
  <c r="CC77" i="6"/>
  <c r="CD77" i="6"/>
  <c r="CE77" i="6"/>
  <c r="CF77" i="6"/>
  <c r="CG77" i="6"/>
  <c r="CH77" i="6"/>
  <c r="CI77" i="6"/>
  <c r="CJ77" i="6"/>
  <c r="CK77" i="6"/>
  <c r="CL77" i="6"/>
  <c r="CM77" i="6"/>
  <c r="CN77" i="6"/>
  <c r="CO77" i="6"/>
  <c r="CP77" i="6"/>
  <c r="CQ77" i="6"/>
  <c r="CR77" i="6"/>
  <c r="CS77" i="6"/>
  <c r="CT77" i="6"/>
  <c r="CU77" i="6"/>
  <c r="CV77" i="6"/>
  <c r="CW77" i="6"/>
  <c r="CX77" i="6"/>
  <c r="CY77" i="6"/>
  <c r="CZ77" i="6"/>
  <c r="DA77" i="6"/>
  <c r="DB77" i="6"/>
  <c r="DC77" i="6"/>
  <c r="DD77" i="6"/>
  <c r="DE77" i="6"/>
  <c r="DF77" i="6"/>
  <c r="DG77" i="6"/>
  <c r="DH77" i="6"/>
  <c r="DI77" i="6"/>
  <c r="DJ77" i="6"/>
  <c r="DK77" i="6"/>
  <c r="DL77" i="6"/>
  <c r="DM77" i="6"/>
  <c r="DN77" i="6"/>
  <c r="DO77" i="6"/>
  <c r="DP77" i="6"/>
  <c r="DQ77" i="6"/>
  <c r="DR77" i="6"/>
  <c r="DS77" i="6"/>
  <c r="DT77" i="6"/>
  <c r="DU77" i="6"/>
  <c r="DV77" i="6"/>
  <c r="DW77" i="6"/>
  <c r="DX77" i="6"/>
  <c r="DY77" i="6"/>
  <c r="DZ77" i="6"/>
  <c r="EA77" i="6"/>
  <c r="EB77" i="6"/>
  <c r="EC77" i="6"/>
  <c r="ED77" i="6"/>
  <c r="EE77" i="6"/>
  <c r="EF77" i="6"/>
  <c r="EG77" i="6"/>
  <c r="EH77" i="6"/>
  <c r="EI77" i="6"/>
  <c r="EJ77" i="6"/>
  <c r="EK77" i="6"/>
  <c r="EL77" i="6"/>
  <c r="EM77" i="6"/>
  <c r="EN77" i="6"/>
  <c r="EO77" i="6"/>
  <c r="EP77" i="6"/>
  <c r="EQ77" i="6"/>
  <c r="ER77" i="6"/>
  <c r="ES77" i="6"/>
  <c r="ET77" i="6"/>
  <c r="EU77" i="6"/>
  <c r="EV77" i="6"/>
  <c r="EW77" i="6"/>
  <c r="EX77" i="6"/>
  <c r="EY77" i="6"/>
  <c r="EZ77" i="6"/>
  <c r="FA77" i="6"/>
  <c r="FB77" i="6"/>
  <c r="FC77" i="6"/>
  <c r="FD77" i="6"/>
  <c r="FE77" i="6"/>
  <c r="FF77" i="6"/>
  <c r="FG77" i="6"/>
  <c r="FH77" i="6"/>
  <c r="FI77" i="6"/>
  <c r="FJ77" i="6"/>
  <c r="FK77" i="6"/>
  <c r="FL77" i="6"/>
  <c r="FM77" i="6"/>
  <c r="FN77" i="6"/>
  <c r="FO77" i="6"/>
  <c r="FP77" i="6"/>
  <c r="FQ77" i="6"/>
  <c r="FR77" i="6"/>
  <c r="FS77" i="6"/>
  <c r="FT77" i="6"/>
  <c r="FU77" i="6"/>
  <c r="FV77" i="6"/>
  <c r="FW77" i="6"/>
  <c r="FX77" i="6"/>
  <c r="FY77" i="6"/>
  <c r="FZ77" i="6"/>
  <c r="GA77" i="6"/>
  <c r="GB77" i="6"/>
  <c r="GC77" i="6"/>
  <c r="GD77" i="6"/>
  <c r="GE77" i="6"/>
  <c r="GF77" i="6"/>
  <c r="GG77" i="6"/>
  <c r="GH77" i="6"/>
  <c r="GI77" i="6"/>
  <c r="GJ77" i="6"/>
  <c r="GK77" i="6"/>
  <c r="GL77" i="6"/>
  <c r="GM77" i="6"/>
  <c r="GN77" i="6"/>
  <c r="GO77" i="6"/>
  <c r="GP77" i="6"/>
  <c r="GQ77" i="6"/>
  <c r="GR77" i="6"/>
  <c r="GS77" i="6"/>
  <c r="GT77"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AK1" i="6"/>
  <c r="AL1" i="6"/>
  <c r="AM1" i="6"/>
  <c r="AN1" i="6"/>
  <c r="AO1" i="6"/>
  <c r="AP1" i="6"/>
  <c r="AQ1" i="6"/>
  <c r="AR1" i="6"/>
  <c r="AS1" i="6"/>
  <c r="AT1" i="6"/>
  <c r="AU1" i="6"/>
  <c r="AV1" i="6"/>
  <c r="AW1" i="6"/>
  <c r="AX1" i="6"/>
  <c r="AY1" i="6"/>
  <c r="AZ1" i="6"/>
  <c r="BA1" i="6"/>
  <c r="BB1" i="6"/>
  <c r="BC1" i="6"/>
  <c r="BD1" i="6"/>
  <c r="BE1" i="6"/>
  <c r="BF1" i="6"/>
  <c r="BG1" i="6"/>
  <c r="BH1" i="6"/>
  <c r="BI1" i="6"/>
  <c r="BJ1" i="6"/>
  <c r="BK1" i="6"/>
  <c r="BL1" i="6"/>
  <c r="BM1" i="6"/>
  <c r="BN1" i="6"/>
  <c r="BO1" i="6"/>
  <c r="BP1" i="6"/>
  <c r="BQ1" i="6"/>
  <c r="BR1" i="6"/>
  <c r="BS1" i="6"/>
  <c r="BT1" i="6"/>
  <c r="BU1" i="6"/>
  <c r="BV1" i="6"/>
  <c r="BW1" i="6"/>
  <c r="BX1" i="6"/>
  <c r="BY1" i="6"/>
  <c r="BZ1" i="6"/>
  <c r="CA1" i="6"/>
  <c r="CB1" i="6"/>
  <c r="CC1" i="6"/>
  <c r="CD1" i="6"/>
  <c r="CE1" i="6"/>
  <c r="CF1" i="6"/>
  <c r="CG1" i="6"/>
  <c r="CH1" i="6"/>
  <c r="CI1" i="6"/>
  <c r="CJ1" i="6"/>
  <c r="CK1" i="6"/>
  <c r="CL1" i="6"/>
  <c r="CM1" i="6"/>
  <c r="CN1" i="6"/>
  <c r="CO1" i="6"/>
  <c r="CP1" i="6"/>
  <c r="CQ1" i="6"/>
  <c r="CR1" i="6"/>
  <c r="CS1" i="6"/>
  <c r="CT1" i="6"/>
  <c r="CU1" i="6"/>
  <c r="CV1" i="6"/>
  <c r="CW1" i="6"/>
  <c r="CX1" i="6"/>
  <c r="CY1" i="6"/>
  <c r="CZ1" i="6"/>
  <c r="DA1" i="6"/>
  <c r="DB1" i="6"/>
  <c r="DC1" i="6"/>
  <c r="DD1" i="6"/>
  <c r="DE1" i="6"/>
  <c r="DF1" i="6"/>
  <c r="DG1" i="6"/>
  <c r="DH1" i="6"/>
  <c r="DI1" i="6"/>
  <c r="DJ1" i="6"/>
  <c r="DK1" i="6"/>
  <c r="DL1" i="6"/>
  <c r="DM1" i="6"/>
  <c r="DN1" i="6"/>
  <c r="DO1" i="6"/>
  <c r="DP1" i="6"/>
  <c r="DQ1" i="6"/>
  <c r="DR1" i="6"/>
  <c r="DS1" i="6"/>
  <c r="DT1" i="6"/>
  <c r="DU1" i="6"/>
  <c r="DV1" i="6"/>
  <c r="DW1" i="6"/>
  <c r="DX1" i="6"/>
  <c r="DY1" i="6"/>
  <c r="DZ1" i="6"/>
  <c r="EA1" i="6"/>
  <c r="EB1" i="6"/>
  <c r="EC1" i="6"/>
  <c r="ED1" i="6"/>
  <c r="EE1" i="6"/>
  <c r="EF1" i="6"/>
  <c r="EG1" i="6"/>
  <c r="EH1" i="6"/>
  <c r="EI1" i="6"/>
  <c r="EJ1" i="6"/>
  <c r="EK1" i="6"/>
  <c r="EL1" i="6"/>
  <c r="EM1" i="6"/>
  <c r="EN1" i="6"/>
  <c r="EO1" i="6"/>
  <c r="EP1" i="6"/>
  <c r="EQ1" i="6"/>
  <c r="ER1" i="6"/>
  <c r="ES1" i="6"/>
  <c r="ET1" i="6"/>
  <c r="EU1" i="6"/>
  <c r="EV1" i="6"/>
  <c r="EW1" i="6"/>
  <c r="EX1" i="6"/>
  <c r="EY1" i="6"/>
  <c r="EZ1" i="6"/>
  <c r="FA1" i="6"/>
  <c r="FB1" i="6"/>
  <c r="FC1" i="6"/>
  <c r="FD1" i="6"/>
  <c r="FE1" i="6"/>
  <c r="FF1" i="6"/>
  <c r="FG1" i="6"/>
  <c r="FH1" i="6"/>
  <c r="FI1" i="6"/>
  <c r="FJ1" i="6"/>
  <c r="FK1" i="6"/>
  <c r="FL1" i="6"/>
  <c r="FM1" i="6"/>
  <c r="FN1" i="6"/>
  <c r="FO1" i="6"/>
  <c r="FP1" i="6"/>
  <c r="FQ1" i="6"/>
  <c r="FR1" i="6"/>
  <c r="FS1" i="6"/>
  <c r="FT1" i="6"/>
  <c r="FU1" i="6"/>
  <c r="FV1" i="6"/>
  <c r="FW1" i="6"/>
  <c r="FX1" i="6"/>
  <c r="FY1" i="6"/>
  <c r="FZ1" i="6"/>
  <c r="GA1" i="6"/>
  <c r="GB1" i="6"/>
  <c r="GC1" i="6"/>
  <c r="GD1" i="6"/>
  <c r="GE1" i="6"/>
  <c r="GF1" i="6"/>
  <c r="GG1" i="6"/>
  <c r="GH1" i="6"/>
  <c r="GI1" i="6"/>
  <c r="GJ1" i="6"/>
  <c r="GK1" i="6"/>
  <c r="GL1" i="6"/>
  <c r="GM1" i="6"/>
  <c r="GN1" i="6"/>
  <c r="GO1" i="6"/>
  <c r="GP1" i="6"/>
  <c r="GQ1" i="6"/>
  <c r="GR1" i="6"/>
  <c r="GS1" i="6"/>
  <c r="GT1" i="6"/>
  <c r="GU1" i="6"/>
  <c r="GV1" i="6"/>
  <c r="GW1" i="6"/>
  <c r="GX1" i="6"/>
  <c r="GY1" i="6"/>
  <c r="GZ1" i="6"/>
  <c r="HA1" i="6"/>
  <c r="HB1" i="6"/>
  <c r="HC1" i="6"/>
  <c r="HD1" i="6"/>
  <c r="HE1" i="6"/>
  <c r="HF1" i="6"/>
  <c r="HG1" i="6"/>
  <c r="HH1" i="6"/>
  <c r="HI1" i="6"/>
  <c r="HJ1" i="6"/>
  <c r="HK1" i="6"/>
  <c r="HL1" i="6"/>
  <c r="HM1" i="6"/>
  <c r="HN1" i="6"/>
  <c r="HO1" i="6"/>
  <c r="HP1" i="6"/>
  <c r="HQ1" i="6"/>
  <c r="HR1" i="6"/>
  <c r="HS1" i="6"/>
  <c r="HT1" i="6"/>
  <c r="HU1" i="6"/>
  <c r="HV1" i="6"/>
  <c r="HW1" i="6"/>
  <c r="HX1" i="6"/>
  <c r="HY1" i="6"/>
  <c r="HZ1" i="6"/>
  <c r="IA1" i="6"/>
  <c r="IB1" i="6"/>
  <c r="IC1" i="6"/>
  <c r="ID1" i="6"/>
  <c r="IE1" i="6"/>
  <c r="IF1" i="6"/>
  <c r="IG1" i="6"/>
  <c r="IH1" i="6"/>
  <c r="II1" i="6"/>
  <c r="IJ1" i="6"/>
  <c r="IK1" i="6"/>
  <c r="IL1" i="6"/>
  <c r="IM1" i="6"/>
  <c r="IN1" i="6"/>
  <c r="IO1" i="6"/>
  <c r="IP1" i="6"/>
  <c r="IQ1" i="6"/>
  <c r="IR1" i="6"/>
  <c r="IS1" i="6"/>
  <c r="IT1" i="6"/>
  <c r="IU1" i="6"/>
  <c r="IV1" i="6"/>
</calcChain>
</file>

<file path=xl/comments1.xml><?xml version="1.0" encoding="utf-8"?>
<comments xmlns="http://schemas.openxmlformats.org/spreadsheetml/2006/main">
  <authors>
    <author>Sreenath Kanumarth</author>
    <author>Ramakrishna Medipally</author>
  </authors>
  <commentList>
    <comment ref="A1" authorId="0" shapeId="0">
      <text>
        <r>
          <rPr>
            <b/>
            <sz val="9"/>
            <color indexed="81"/>
            <rFont val="Tahoma"/>
            <family val="2"/>
          </rPr>
          <t>Sreenath Kanumarth:</t>
        </r>
        <r>
          <rPr>
            <sz val="9"/>
            <color indexed="81"/>
            <rFont val="Tahoma"/>
            <family val="2"/>
          </rPr>
          <t xml:space="preserve">
Green Screen 
Field Name
</t>
        </r>
      </text>
    </comment>
    <comment ref="F26" authorId="1"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F27" authorId="1"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List>
</comments>
</file>

<file path=xl/comments10.xml><?xml version="1.0" encoding="utf-8"?>
<comments xmlns="http://schemas.openxmlformats.org/spreadsheetml/2006/main">
  <authors>
    <author>Ramakrishna Medipally</author>
    <author>Badam, Vijay (CAI - Groton - CON)</author>
  </authors>
  <commentList>
    <comment ref="H16" authorId="0"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H17" authorId="0"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A32" authorId="1" shapeId="0">
      <text>
        <r>
          <rPr>
            <b/>
            <sz val="9"/>
            <color indexed="81"/>
            <rFont val="Tahoma"/>
            <family val="2"/>
          </rPr>
          <t>Badam, Vijay (CAI - Groton - CON):</t>
        </r>
        <r>
          <rPr>
            <sz val="9"/>
            <color indexed="81"/>
            <rFont val="Tahoma"/>
            <family val="2"/>
          </rPr>
          <t xml:space="preserve">
Mapping not decided</t>
        </r>
      </text>
    </comment>
  </commentList>
</comments>
</file>

<file path=xl/comments2.xml><?xml version="1.0" encoding="utf-8"?>
<comments xmlns="http://schemas.openxmlformats.org/spreadsheetml/2006/main">
  <authors>
    <author>Sreenath Kanumarth</author>
    <author>Ramakrishna Medipally</author>
  </authors>
  <commentList>
    <comment ref="B1" authorId="0" shapeId="0">
      <text>
        <r>
          <rPr>
            <b/>
            <sz val="9"/>
            <color indexed="81"/>
            <rFont val="Tahoma"/>
            <family val="2"/>
          </rPr>
          <t>Sreenath Kanumarth:</t>
        </r>
        <r>
          <rPr>
            <sz val="9"/>
            <color indexed="81"/>
            <rFont val="Tahoma"/>
            <family val="2"/>
          </rPr>
          <t xml:space="preserve">
Green Screen 
Field Name</t>
        </r>
      </text>
    </comment>
    <comment ref="F13" authorId="1"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F14" authorId="1"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B65" authorId="1" shapeId="0">
      <text>
        <r>
          <rPr>
            <b/>
            <sz val="9"/>
            <color indexed="81"/>
            <rFont val="Tahoma"/>
            <family val="2"/>
          </rPr>
          <t>Ramakrishna Medipally:</t>
        </r>
        <r>
          <rPr>
            <sz val="9"/>
            <color indexed="81"/>
            <rFont val="Tahoma"/>
            <family val="2"/>
          </rPr>
          <t xml:space="preserve">
Total Fees + Total Tax
</t>
        </r>
      </text>
    </comment>
    <comment ref="B68" authorId="1" shapeId="0">
      <text>
        <r>
          <rPr>
            <b/>
            <sz val="9"/>
            <color indexed="81"/>
            <rFont val="Tahoma"/>
            <family val="2"/>
          </rPr>
          <t>Ramakrishna Medipally:</t>
        </r>
        <r>
          <rPr>
            <sz val="9"/>
            <color indexed="81"/>
            <rFont val="Tahoma"/>
            <family val="2"/>
          </rPr>
          <t xml:space="preserve">
Ex: PRIV AUTO</t>
        </r>
      </text>
    </comment>
  </commentList>
</comments>
</file>

<file path=xl/comments3.xml><?xml version="1.0" encoding="utf-8"?>
<comments xmlns="http://schemas.openxmlformats.org/spreadsheetml/2006/main">
  <authors>
    <author>Sreenath Kanumarth</author>
    <author>Ramakrishna Medipally</author>
  </authors>
  <commentList>
    <comment ref="A1" authorId="0" shapeId="0">
      <text>
        <r>
          <rPr>
            <b/>
            <sz val="9"/>
            <color indexed="81"/>
            <rFont val="Tahoma"/>
            <family val="2"/>
          </rPr>
          <t>Sreenath Kanumarth:</t>
        </r>
        <r>
          <rPr>
            <sz val="9"/>
            <color indexed="81"/>
            <rFont val="Tahoma"/>
            <family val="2"/>
          </rPr>
          <t xml:space="preserve">
Green Screen 
Field Name
</t>
        </r>
      </text>
    </comment>
    <comment ref="A11" authorId="1" shapeId="0">
      <text>
        <r>
          <rPr>
            <b/>
            <sz val="9"/>
            <color indexed="81"/>
            <rFont val="Tahoma"/>
            <family val="2"/>
          </rPr>
          <t>Ramakrishna Medipally:</t>
        </r>
        <r>
          <rPr>
            <sz val="9"/>
            <color indexed="81"/>
            <rFont val="Tahoma"/>
            <family val="2"/>
          </rPr>
          <t xml:space="preserve">
To perform ELTR_M, First we need to perform ELTR_I and then need to change the ELTR Type
 to M</t>
        </r>
      </text>
    </comment>
    <comment ref="A12" authorId="1" shapeId="0">
      <text>
        <r>
          <rPr>
            <b/>
            <sz val="9"/>
            <color indexed="81"/>
            <rFont val="Tahoma"/>
            <family val="2"/>
          </rPr>
          <t>Ramakrishna Medipally:</t>
        </r>
        <r>
          <rPr>
            <sz val="9"/>
            <color indexed="81"/>
            <rFont val="Tahoma"/>
            <family val="2"/>
          </rPr>
          <t xml:space="preserve">
To perform ELTR_M, First we need to perform ELTR_I and then need to change the ELTR Type
 to M</t>
        </r>
      </text>
    </comment>
    <comment ref="A13" authorId="1" shapeId="0">
      <text>
        <r>
          <rPr>
            <b/>
            <sz val="9"/>
            <color indexed="81"/>
            <rFont val="Tahoma"/>
            <family val="2"/>
          </rPr>
          <t>Ramakrishna Medipally:</t>
        </r>
        <r>
          <rPr>
            <sz val="9"/>
            <color indexed="81"/>
            <rFont val="Tahoma"/>
            <family val="2"/>
          </rPr>
          <t xml:space="preserve">
To perform ELTR_M, First we need to perform ELTR_I and then need to change the ELTR Type
 to M</t>
        </r>
      </text>
    </comment>
    <comment ref="A14" authorId="1" shapeId="0">
      <text>
        <r>
          <rPr>
            <b/>
            <sz val="9"/>
            <color indexed="81"/>
            <rFont val="Tahoma"/>
            <family val="2"/>
          </rPr>
          <t>Ramakrishna Medipally:</t>
        </r>
        <r>
          <rPr>
            <sz val="9"/>
            <color indexed="81"/>
            <rFont val="Tahoma"/>
            <family val="2"/>
          </rPr>
          <t xml:space="preserve">
To perform ELTR_M, First we need to perform ELTR_I and then need to change the ELTR Type
 to M</t>
        </r>
      </text>
    </comment>
    <comment ref="A15" authorId="1" shapeId="0">
      <text>
        <r>
          <rPr>
            <b/>
            <sz val="9"/>
            <color indexed="81"/>
            <rFont val="Tahoma"/>
            <family val="2"/>
          </rPr>
          <t>Ramakrishna Medipally:</t>
        </r>
        <r>
          <rPr>
            <sz val="9"/>
            <color indexed="81"/>
            <rFont val="Tahoma"/>
            <family val="2"/>
          </rPr>
          <t xml:space="preserve">
To perform ELTR_M, First we need to perform ELTR_I and then need to change the ELTR Type
 to M</t>
        </r>
      </text>
    </comment>
    <comment ref="A16" authorId="1" shapeId="0">
      <text>
        <r>
          <rPr>
            <b/>
            <sz val="9"/>
            <color indexed="81"/>
            <rFont val="Tahoma"/>
            <family val="2"/>
          </rPr>
          <t>Ramakrishna Medipally:</t>
        </r>
        <r>
          <rPr>
            <sz val="9"/>
            <color indexed="81"/>
            <rFont val="Tahoma"/>
            <family val="2"/>
          </rPr>
          <t xml:space="preserve">
To perform ELTR_M, First we need to perform ELTR_I and then need to change the ELTR Type
 to M</t>
        </r>
      </text>
    </comment>
    <comment ref="A17" authorId="1" shapeId="0">
      <text>
        <r>
          <rPr>
            <b/>
            <sz val="9"/>
            <color indexed="81"/>
            <rFont val="Tahoma"/>
            <family val="2"/>
          </rPr>
          <t>Ramakrishna Medipally:</t>
        </r>
        <r>
          <rPr>
            <sz val="9"/>
            <color indexed="81"/>
            <rFont val="Tahoma"/>
            <family val="2"/>
          </rPr>
          <t xml:space="preserve">
To perform ELTR_M, First we need to perform ELTR_I and then need to change the ELTR Type
 to M</t>
        </r>
      </text>
    </comment>
    <comment ref="A18" authorId="1" shapeId="0">
      <text>
        <r>
          <rPr>
            <b/>
            <sz val="9"/>
            <color indexed="81"/>
            <rFont val="Tahoma"/>
            <family val="2"/>
          </rPr>
          <t>Ramakrishna Medipally:</t>
        </r>
        <r>
          <rPr>
            <sz val="9"/>
            <color indexed="81"/>
            <rFont val="Tahoma"/>
            <family val="2"/>
          </rPr>
          <t xml:space="preserve">
To perform ELTR_M, First we need to perform ELTR_I and then need to change the ELTR Type
 to M</t>
        </r>
      </text>
    </comment>
    <comment ref="A19" authorId="1" shapeId="0">
      <text>
        <r>
          <rPr>
            <b/>
            <sz val="9"/>
            <color indexed="81"/>
            <rFont val="Tahoma"/>
            <family val="2"/>
          </rPr>
          <t>Ramakrishna Medipally:</t>
        </r>
        <r>
          <rPr>
            <sz val="9"/>
            <color indexed="81"/>
            <rFont val="Tahoma"/>
            <family val="2"/>
          </rPr>
          <t xml:space="preserve">
To perform ELTR_M, First we need to perform ELTR_I and then need to change the ELTR Type
 to M</t>
        </r>
      </text>
    </comment>
    <comment ref="B20" authorId="1" shapeId="0">
      <text>
        <r>
          <rPr>
            <b/>
            <sz val="9"/>
            <color indexed="81"/>
            <rFont val="Tahoma"/>
            <family val="2"/>
          </rPr>
          <t>Ramakrishna Medipally:</t>
        </r>
        <r>
          <rPr>
            <sz val="9"/>
            <color indexed="81"/>
            <rFont val="Tahoma"/>
            <family val="2"/>
          </rPr>
          <t xml:space="preserve">
Only position is required because here we put the cursor and submit to state</t>
        </r>
      </text>
    </comment>
  </commentList>
</comments>
</file>

<file path=xl/comments4.xml><?xml version="1.0" encoding="utf-8"?>
<comments xmlns="http://schemas.openxmlformats.org/spreadsheetml/2006/main">
  <authors>
    <author>Sreenath Kanumarth</author>
    <author>Ramakrishna Medipally</author>
  </authors>
  <commentList>
    <comment ref="B1" authorId="0" shapeId="0">
      <text>
        <r>
          <rPr>
            <b/>
            <sz val="9"/>
            <color indexed="81"/>
            <rFont val="Tahoma"/>
            <family val="2"/>
          </rPr>
          <t>Sreenath Kanumarth:</t>
        </r>
        <r>
          <rPr>
            <sz val="9"/>
            <color indexed="81"/>
            <rFont val="Tahoma"/>
            <family val="2"/>
          </rPr>
          <t xml:space="preserve">
Green Screen 
Field Name</t>
        </r>
      </text>
    </comment>
    <comment ref="H27" authorId="1"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H28" authorId="1"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C31" authorId="0" shapeId="0">
      <text>
        <r>
          <rPr>
            <b/>
            <sz val="9"/>
            <color indexed="81"/>
            <rFont val="Tahoma"/>
            <family val="2"/>
          </rPr>
          <t>Sreenath Kanumarth:</t>
        </r>
        <r>
          <rPr>
            <sz val="9"/>
            <color indexed="81"/>
            <rFont val="Tahoma"/>
            <family val="2"/>
          </rPr>
          <t xml:space="preserve">
&lt;Comments&gt;
   &lt;Comment&gt;&lt;/Comment&gt;
   &lt;Comment&gt;&lt;/Comment&gt;
   &lt;Comment&gt;&lt;/Comment&gt;
&lt;/Comments&gt;</t>
        </r>
      </text>
    </comment>
  </commentList>
</comments>
</file>

<file path=xl/comments5.xml><?xml version="1.0" encoding="utf-8"?>
<comments xmlns="http://schemas.openxmlformats.org/spreadsheetml/2006/main">
  <authors>
    <author>Sreenath Kanumarth</author>
    <author>Raghavendra Vaddi</author>
  </authors>
  <commentList>
    <comment ref="A1" authorId="0" shapeId="0">
      <text>
        <r>
          <rPr>
            <b/>
            <sz val="9"/>
            <color indexed="81"/>
            <rFont val="Tahoma"/>
            <family val="2"/>
          </rPr>
          <t>Sreenath Kanumarth:</t>
        </r>
        <r>
          <rPr>
            <sz val="9"/>
            <color indexed="81"/>
            <rFont val="Tahoma"/>
            <family val="2"/>
          </rPr>
          <t xml:space="preserve">
Green Screen 
Field Name
</t>
        </r>
      </text>
    </comment>
    <comment ref="F12" authorId="1" shapeId="0">
      <text>
        <r>
          <rPr>
            <b/>
            <sz val="9"/>
            <color indexed="81"/>
            <rFont val="Tahoma"/>
            <family val="2"/>
          </rPr>
          <t>Raghavendra Vaddi:</t>
        </r>
        <r>
          <rPr>
            <sz val="9"/>
            <color indexed="81"/>
            <rFont val="Tahoma"/>
            <family val="2"/>
          </rPr>
          <t xml:space="preserve">
date format (DDMMYYYY)</t>
        </r>
      </text>
    </comment>
  </commentList>
</comments>
</file>

<file path=xl/comments6.xml><?xml version="1.0" encoding="utf-8"?>
<comments xmlns="http://schemas.openxmlformats.org/spreadsheetml/2006/main">
  <authors>
    <author>Sreenath Kanumarth</author>
    <author>Raghavendra Vaddi</author>
  </authors>
  <commentList>
    <comment ref="A1" authorId="0" shapeId="0">
      <text>
        <r>
          <rPr>
            <b/>
            <sz val="9"/>
            <color indexed="81"/>
            <rFont val="Tahoma"/>
            <family val="2"/>
          </rPr>
          <t>Sreenath Kanumarth:</t>
        </r>
        <r>
          <rPr>
            <sz val="9"/>
            <color indexed="81"/>
            <rFont val="Tahoma"/>
            <family val="2"/>
          </rPr>
          <t xml:space="preserve">
Green Screen 
Field Name
</t>
        </r>
      </text>
    </comment>
    <comment ref="E12" authorId="1" shapeId="0">
      <text>
        <r>
          <rPr>
            <b/>
            <sz val="9"/>
            <color indexed="81"/>
            <rFont val="Tahoma"/>
            <family val="2"/>
          </rPr>
          <t>Raghavendra Vaddi:</t>
        </r>
        <r>
          <rPr>
            <sz val="9"/>
            <color indexed="81"/>
            <rFont val="Tahoma"/>
            <family val="2"/>
          </rPr>
          <t xml:space="preserve">
date format (DDMMYYYY)</t>
        </r>
      </text>
    </comment>
    <comment ref="B31" authorId="1" shapeId="0">
      <text>
        <r>
          <rPr>
            <b/>
            <sz val="9"/>
            <color indexed="81"/>
            <rFont val="Tahoma"/>
            <family val="2"/>
          </rPr>
          <t>Raghavendra Vaddi:</t>
        </r>
        <r>
          <rPr>
            <sz val="9"/>
            <color indexed="81"/>
            <rFont val="Tahoma"/>
            <family val="2"/>
          </rPr>
          <t xml:space="preserve">
How Many times customer apply for Duplicate License
</t>
        </r>
      </text>
    </comment>
  </commentList>
</comments>
</file>

<file path=xl/comments7.xml><?xml version="1.0" encoding="utf-8"?>
<comments xmlns="http://schemas.openxmlformats.org/spreadsheetml/2006/main">
  <authors>
    <author>Ramakrishna Medipally</author>
    <author>Raghavendra Vaddi</author>
  </authors>
  <commentList>
    <comment ref="E88" authorId="0"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E89" authorId="0"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E90" authorId="0"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E91" authorId="0"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B106" authorId="1" shapeId="0">
      <text>
        <r>
          <rPr>
            <b/>
            <sz val="8"/>
            <color indexed="81"/>
            <rFont val="Tahoma"/>
            <family val="2"/>
          </rPr>
          <t>Raghavendra Vaddi:</t>
        </r>
        <r>
          <rPr>
            <sz val="8"/>
            <color indexed="81"/>
            <rFont val="Tahoma"/>
            <family val="2"/>
          </rPr>
          <t xml:space="preserve">
To maintain in Error Tag
</t>
        </r>
      </text>
    </comment>
  </commentList>
</comments>
</file>

<file path=xl/comments8.xml><?xml version="1.0" encoding="utf-8"?>
<comments xmlns="http://schemas.openxmlformats.org/spreadsheetml/2006/main">
  <authors>
    <author>Lakshmi</author>
    <author>Raghavendra Vaddi</author>
  </authors>
  <commentList>
    <comment ref="D17" authorId="0" shapeId="0">
      <text>
        <r>
          <rPr>
            <b/>
            <sz val="9"/>
            <color indexed="81"/>
            <rFont val="Tahoma"/>
            <family val="2"/>
          </rPr>
          <t xml:space="preserve">For more response fields, please expand the group 'PLEASE EXPAND FOR ALL FIELDS OF Response'
</t>
        </r>
        <r>
          <rPr>
            <sz val="9"/>
            <color indexed="81"/>
            <rFont val="Tahoma"/>
            <family val="2"/>
          </rPr>
          <t xml:space="preserve">
</t>
        </r>
      </text>
    </comment>
    <comment ref="E21" authorId="1" shapeId="0">
      <text>
        <r>
          <rPr>
            <b/>
            <sz val="8"/>
            <color indexed="81"/>
            <rFont val="Tahoma"/>
            <family val="2"/>
          </rPr>
          <t>Raghavendra Vaddi:</t>
        </r>
        <r>
          <rPr>
            <sz val="8"/>
            <color indexed="81"/>
            <rFont val="Tahoma"/>
            <family val="2"/>
          </rPr>
          <t xml:space="preserve">
Date Format : YYYY-MM-DD
</t>
        </r>
      </text>
    </comment>
    <comment ref="E22" authorId="1" shapeId="0">
      <text>
        <r>
          <rPr>
            <b/>
            <sz val="8"/>
            <color indexed="81"/>
            <rFont val="Tahoma"/>
            <family val="2"/>
          </rPr>
          <t>Raghavendra Vaddi:</t>
        </r>
        <r>
          <rPr>
            <sz val="8"/>
            <color indexed="81"/>
            <rFont val="Tahoma"/>
            <family val="2"/>
          </rPr>
          <t xml:space="preserve">
Date Format : YYYY-MM-DD
</t>
        </r>
      </text>
    </comment>
  </commentList>
</comments>
</file>

<file path=xl/comments9.xml><?xml version="1.0" encoding="utf-8"?>
<comments xmlns="http://schemas.openxmlformats.org/spreadsheetml/2006/main">
  <authors>
    <author>Ramakrishna Medipally</author>
    <author>Lakshmi</author>
  </authors>
  <commentList>
    <comment ref="H73" authorId="0"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H74" authorId="0" shapeId="0">
      <text>
        <r>
          <rPr>
            <b/>
            <sz val="9"/>
            <color indexed="81"/>
            <rFont val="Tahoma"/>
            <family val="2"/>
          </rPr>
          <t>Ramakrishna Medipally:</t>
        </r>
        <r>
          <rPr>
            <sz val="9"/>
            <color indexed="81"/>
            <rFont val="Tahoma"/>
            <family val="2"/>
          </rPr>
          <t xml:space="preserve">
CODED_VALUE_TYPE.TYPEID =13  CODED_VALUE_VEHICLE_COLOR &amp; CODED_VALUES_DESCRIPTION  - USING THE </t>
        </r>
      </text>
    </comment>
    <comment ref="C128" authorId="1" shapeId="0">
      <text>
        <r>
          <rPr>
            <b/>
            <sz val="9"/>
            <color indexed="81"/>
            <rFont val="Tahoma"/>
            <charset val="1"/>
          </rPr>
          <t>Lakshmi:</t>
        </r>
        <r>
          <rPr>
            <sz val="9"/>
            <color indexed="81"/>
            <rFont val="Tahoma"/>
            <charset val="1"/>
          </rPr>
          <t xml:space="preserve">
Always its value is 10. So  that Comments will be entered
</t>
        </r>
      </text>
    </comment>
  </commentList>
</comments>
</file>

<file path=xl/sharedStrings.xml><?xml version="1.0" encoding="utf-8"?>
<sst xmlns="http://schemas.openxmlformats.org/spreadsheetml/2006/main" count="12005" uniqueCount="3309">
  <si>
    <t>Trade VIN</t>
  </si>
  <si>
    <t>Block</t>
  </si>
  <si>
    <t>Dealer Name</t>
  </si>
  <si>
    <t>Built in CAS</t>
  </si>
  <si>
    <t>Dealer Code</t>
  </si>
  <si>
    <t>Setup</t>
  </si>
  <si>
    <t>Customer</t>
  </si>
  <si>
    <t>Purchase Type</t>
  </si>
  <si>
    <t>Vehicle Type</t>
  </si>
  <si>
    <t>Owners</t>
  </si>
  <si>
    <t>Lien</t>
  </si>
  <si>
    <t>Import from DMS
Choices are:
New
Used</t>
  </si>
  <si>
    <t>Import from DMS
Choices are:
1
2</t>
  </si>
  <si>
    <t>Import from DMS
Choices are:
0
1
2</t>
  </si>
  <si>
    <t>Trade Ins</t>
  </si>
  <si>
    <t>Import from DMS
Choices are:
0
1</t>
  </si>
  <si>
    <t>Vehicle</t>
  </si>
  <si>
    <t>VIN</t>
  </si>
  <si>
    <t>Notes/Questions</t>
  </si>
  <si>
    <t>Make</t>
  </si>
  <si>
    <t>Body</t>
  </si>
  <si>
    <t>Year</t>
  </si>
  <si>
    <t>Mileage</t>
  </si>
  <si>
    <t>If vehicle is a manufactured home, is it used as a residence?</t>
  </si>
  <si>
    <t>Control Number</t>
  </si>
  <si>
    <t>Date Prepared</t>
  </si>
  <si>
    <t>EFT Code</t>
  </si>
  <si>
    <t>Transfer</t>
  </si>
  <si>
    <t>Expiration date</t>
  </si>
  <si>
    <t>Trade</t>
  </si>
  <si>
    <t>Trade License #</t>
  </si>
  <si>
    <t>License #</t>
  </si>
  <si>
    <t>Owner</t>
  </si>
  <si>
    <t>Owner Type</t>
  </si>
  <si>
    <t>Individual</t>
  </si>
  <si>
    <t>Business</t>
  </si>
  <si>
    <t>Favorites</t>
  </si>
  <si>
    <t>ID</t>
  </si>
  <si>
    <t>Address</t>
  </si>
  <si>
    <t>Zip</t>
  </si>
  <si>
    <t>City</t>
  </si>
  <si>
    <t>State</t>
  </si>
  <si>
    <t>Parish</t>
  </si>
  <si>
    <t>Are you residing within the corporate limits of a municipality?</t>
  </si>
  <si>
    <t>Residing within a special tax district or ward?</t>
  </si>
  <si>
    <t>Can we auto-determine?</t>
  </si>
  <si>
    <t>Co-Owner</t>
  </si>
  <si>
    <t>Address Type</t>
  </si>
  <si>
    <t>Mail Renewal to:</t>
  </si>
  <si>
    <t>Owner (Default)
Co-Owner
Note: Only shown if Lessee, Rentor, Mail to, or Domicile is selected in Address Type.</t>
  </si>
  <si>
    <t>Domicile Code</t>
  </si>
  <si>
    <t>Auto-determine
For lease deals, this field is for Lessee info.</t>
  </si>
  <si>
    <t>Finance</t>
  </si>
  <si>
    <t>ELT Code</t>
  </si>
  <si>
    <t>Find</t>
  </si>
  <si>
    <t>The favorites list allows user to select from frequently used lienholders that have been previously added. NOTE : There may be lienholders recalled that have codes and some lienholders that have been added without codes.</t>
  </si>
  <si>
    <t>First Lienholder Name</t>
  </si>
  <si>
    <t>Second Lienholder Name</t>
  </si>
  <si>
    <t xml:space="preserve">City </t>
  </si>
  <si>
    <t>Sales</t>
  </si>
  <si>
    <t>Tax Date</t>
  </si>
  <si>
    <t>Date Acquired (Sales Date)</t>
  </si>
  <si>
    <t>Previous Title Number</t>
  </si>
  <si>
    <t>Previous Title State</t>
  </si>
  <si>
    <t>Cost of Vehicle</t>
  </si>
  <si>
    <t>Trade Amount</t>
  </si>
  <si>
    <t>Title Fee</t>
  </si>
  <si>
    <t>Lic Pen Credit</t>
  </si>
  <si>
    <t>Handling Fee</t>
  </si>
  <si>
    <t>Rebate</t>
  </si>
  <si>
    <t>Tax Value</t>
  </si>
  <si>
    <t>Mortgage Fee</t>
  </si>
  <si>
    <t>Tax</t>
  </si>
  <si>
    <t>Tow Fee</t>
  </si>
  <si>
    <t>License Fee</t>
  </si>
  <si>
    <t>Tax Penalty</t>
  </si>
  <si>
    <t>Miscellaneous Fee</t>
  </si>
  <si>
    <t>Lic Transfer Fee</t>
  </si>
  <si>
    <t>Interest</t>
  </si>
  <si>
    <t>Total Fees</t>
  </si>
  <si>
    <t>License Credit</t>
  </si>
  <si>
    <t>Vendor's Comp</t>
  </si>
  <si>
    <t>Total Taxes</t>
  </si>
  <si>
    <t>License Penalty</t>
  </si>
  <si>
    <t>Tax Credit</t>
  </si>
  <si>
    <t>Grand Total</t>
  </si>
  <si>
    <t>Onlly show fee if applicable to transaction</t>
  </si>
  <si>
    <t>Sales Price Alert</t>
  </si>
  <si>
    <t>Allow user to choose DMS info vs. State info</t>
  </si>
  <si>
    <t>Sticker #</t>
  </si>
  <si>
    <t>Default to date submitted</t>
  </si>
  <si>
    <t>Inventory</t>
  </si>
  <si>
    <t>The New/Used designation is currently much lower down the page in the existing application.  We'll need to vet with users.</t>
  </si>
  <si>
    <t>Type of Plate</t>
  </si>
  <si>
    <t>Personalized Plate</t>
  </si>
  <si>
    <t>In LA, transfers are only allowed for B plates for trucks, handicap plates, personalized plates, and specialty plates.</t>
  </si>
  <si>
    <t>Checkbox selection - if selected, will open transfer fields</t>
  </si>
  <si>
    <t>New field</t>
  </si>
  <si>
    <t xml:space="preserve">Requirements: https://expresslane.dps.louisiana.gov/plate/plate.aspx </t>
  </si>
  <si>
    <t>Transfer checkbox</t>
  </si>
  <si>
    <t>Import from DMS
Choices are:
Sale
Lease
If Sale, 2 Owners allowed.
If Lease, 1 Lessor and 1 Lessee allowed.
If Lease, the Lessee's address is used to determine the domicile code (as most lessors are not located inside LA).</t>
  </si>
  <si>
    <t>Field Group = Vehicle Attributes</t>
  </si>
  <si>
    <t>Only if applicable, should be built in CAS</t>
  </si>
  <si>
    <t>Auto-determine
Choices are:
Yes
No
For lease deals, this field is for Lessee info.</t>
  </si>
  <si>
    <r>
      <t xml:space="preserve">Imported from DMS and/or system-assigned.  </t>
    </r>
    <r>
      <rPr>
        <sz val="11"/>
        <color rgb="FFFF0000"/>
        <rFont val="Calibri"/>
        <family val="2"/>
        <scheme val="minor"/>
      </rPr>
      <t>Deal ID/Stock ID?</t>
    </r>
  </si>
  <si>
    <t>Model</t>
  </si>
  <si>
    <t>CL</t>
  </si>
  <si>
    <t>L</t>
  </si>
  <si>
    <t>Weight</t>
  </si>
  <si>
    <t xml:space="preserve">Field Group = If Transfer </t>
  </si>
  <si>
    <t>DL
EIN
Field min length: 1, max length: 15.</t>
  </si>
  <si>
    <t>Allow user to save Business/Lien Names and Addresses that are used most often.
Allow user to create a list of favorite businesses from within transaction.
Allow only business owners to be in favorites list.
Allow user to add to favorites list if business and all required data has been provided.
Allow user to delete business from favorites list.
There is one list, shared by Owner, Lessor, Co-Owner, and Lessee.
Allow user to add to "Favorites" if owner is a business and required information has been provided.
Required:  Business Name, Address 1, Zip, City, State</t>
  </si>
  <si>
    <t>Must be numerics.
Must be 5 characters (what about extra 4 digits after hyphen?).</t>
  </si>
  <si>
    <t>MK</t>
  </si>
  <si>
    <t>BD</t>
  </si>
  <si>
    <t>Should we add additional fields to collect transfer FROM information?</t>
  </si>
  <si>
    <t>LIC</t>
  </si>
  <si>
    <t>Plate number that will be assigned to this transaction.
Can also be NONE or REMOVED.</t>
  </si>
  <si>
    <t>Expiration date (month, year) of the license plate.
Must consist of 2-digit month code and a 4-digit year code, i.e. 012002.
No expiration date should be entered if NONE or REMOVED is displayed in license plate field (don't show this field if that's the case).
For lease vehicles:  Expiration date should be the same month the lease was signed (i.e. a vehicle leased in December should be issued a December sticker).</t>
  </si>
  <si>
    <t>CLR</t>
  </si>
  <si>
    <t>YR</t>
  </si>
  <si>
    <t>OD</t>
  </si>
  <si>
    <t>MW</t>
  </si>
  <si>
    <t>NME</t>
  </si>
  <si>
    <t>CS</t>
  </si>
  <si>
    <t>ADR</t>
  </si>
  <si>
    <t>ZIP</t>
  </si>
  <si>
    <t>2NM</t>
  </si>
  <si>
    <t>Choices are:
Individual
Business
If Individual, 1 is entered in first space of field on state screen.
If Business, 2 is entered in first space of field on state screen.</t>
  </si>
  <si>
    <t>If Business, allow user to Select from Favorites Menu and/or Create New (with option to Add to Favorites)
Business Name cannot be blank if Owner Type = Business.</t>
  </si>
  <si>
    <t>2NST</t>
  </si>
  <si>
    <t>RMTO</t>
  </si>
  <si>
    <t>2AD</t>
  </si>
  <si>
    <t>LIEN1</t>
  </si>
  <si>
    <t>N/U</t>
  </si>
  <si>
    <t>DAQ</t>
  </si>
  <si>
    <t>PRT</t>
  </si>
  <si>
    <t>PRS</t>
  </si>
  <si>
    <t>ELT</t>
  </si>
  <si>
    <t>TXD</t>
  </si>
  <si>
    <t>DLR</t>
  </si>
  <si>
    <t>Title Fee - $68.50.</t>
  </si>
  <si>
    <t>Purchase date of vehicle, date vehicle brought into state, or date of delivery</t>
  </si>
  <si>
    <t>Two-digit alpha character code of the state where the previous title was issued</t>
  </si>
  <si>
    <t>Indicates rebate amount, if applicable.  Not taxable</t>
  </si>
  <si>
    <t>Net sales price (Gross sales price minus any trade-in amount and/or rebate)</t>
  </si>
  <si>
    <r>
      <t xml:space="preserve">Mortgage Fee - $10 per mortgage recorded.
Charge $15 if recording mortgage with a UCC-1 or UCC-3 mortgage document.
</t>
    </r>
    <r>
      <rPr>
        <sz val="11"/>
        <color rgb="FFFF0000"/>
        <rFont val="Calibri"/>
        <family val="2"/>
        <scheme val="minor"/>
      </rPr>
      <t>Should user select mortage type to determine appropriate fee?</t>
    </r>
  </si>
  <si>
    <t>Tow fee - $150 due for issuance or renewal of a tow plate.</t>
  </si>
  <si>
    <t>License plate fee.  See DPS website for details.</t>
  </si>
  <si>
    <t>Gross sales (SPOV) price off vehicle</t>
  </si>
  <si>
    <t>Tax penalty is due if file is not remitted by the 40th day following the date of sale and will accrue at a rate of 5% per 30 days of fraction thereof (not to exceed 25%).  Penalty on mobile home files is due if the file is not remitted by the 20th of the month following the month of purchase or delivery date, whichever is applicable.</t>
  </si>
  <si>
    <t>Duplicate registration - $4.00</t>
  </si>
  <si>
    <r>
      <t xml:space="preserve">License plate transfer fee.  </t>
    </r>
    <r>
      <rPr>
        <sz val="11"/>
        <color rgb="FFFF0000"/>
        <rFont val="Calibri"/>
        <family val="2"/>
        <scheme val="minor"/>
      </rPr>
      <t>What is this?</t>
    </r>
  </si>
  <si>
    <t>Interest is due if file is not remitted by the 40th day following the date of sale and will accrue at a rate of 1.25% of sales tax due for 30 days or fraction thereof (no maximum).  Interest on mobile home files is due if the file is not remitted by the 20th of the month following the month of purchase or delivery date, whichever is applicable.</t>
  </si>
  <si>
    <t>Link to policy</t>
  </si>
  <si>
    <t>N/A</t>
  </si>
  <si>
    <t>Flags</t>
  </si>
  <si>
    <t>FLAGS</t>
  </si>
  <si>
    <t>EXPIR DATE</t>
  </si>
  <si>
    <t>DL
EIN</t>
  </si>
  <si>
    <t>DL - Louisiana DL number of owner or lessee.
EIN - Must be entered if owner or lessee is a company.
Field min length: 1, max length: 15.</t>
  </si>
  <si>
    <t>Co-Owner Type</t>
  </si>
  <si>
    <t>Field group = Co-Owner</t>
  </si>
  <si>
    <t>If Business, 2 is entered in first space of field on state screen.</t>
  </si>
  <si>
    <t>Second name status:
Lessee
Operator
Renter
Mail To
Domicile</t>
  </si>
  <si>
    <t>TIV</t>
  </si>
  <si>
    <t>Not taxable
NA if no trade</t>
  </si>
  <si>
    <t>REBT</t>
  </si>
  <si>
    <t>Credit which is allowed on the unused portion of a license plate, usually when processing a TT22 or TT42.</t>
  </si>
  <si>
    <t>LIPC</t>
  </si>
  <si>
    <t>LICR</t>
  </si>
  <si>
    <t>VC</t>
  </si>
  <si>
    <t>If taxes were paid in another state that has a reciprocal agreement with LA, enter that state's 2-character abbreviation.</t>
  </si>
  <si>
    <t>Link to Cheat Sheet</t>
  </si>
  <si>
    <t>TXCR</t>
  </si>
  <si>
    <t>MANUF-HSE</t>
  </si>
  <si>
    <t>Y entered on all transactions in which P&amp;I are not due.
State vendor's compensation is 0.985%.  The rate for parishes/municipalities vaies (refer to Parish and Municipality Tax Tables).</t>
  </si>
  <si>
    <t>Total amount of title, license, mortgage, and miscellaneous fees due.</t>
  </si>
  <si>
    <t>What is this?</t>
  </si>
  <si>
    <t>Total amount of tax due.</t>
  </si>
  <si>
    <t xml:space="preserve">An $8.00 service or title handling fee will be charged when processing the following transactions:
• TT11 - New record to the file - title application. 
• TT19 - New record to the file - first application of a multiple transfer. 
• TT21 - Transfer of ownership with transfer of license. 
• TT22 - Transfer of ownership with lost plate or conversion. 
• TT24 - Transfer of ownership with transfer of a plate from another vehicle. 
• TT25 - Transfer of ownership with a new plate and/or sticker. • TT28 - First transfer of multiple transfer - new plate issued. 
• TT29 - First transfer of a multiple transfer - same plate. 
• TT31 - Transfer of ownership with change or correction - same plate. 
• TT32 - Change of title information or cancellation and/or recordation of lien, not ownership change. 
• TT33 - Change of address or vehicle color. A $4.00 registration fee is also assessed. 
• TT35 - Transfer of ownership with change or correction - new plate and/or sticker issued. 
• TT41 - Lost sticker. 
• TT42 - Lost plate or conversion. 
• TT44 - Transfer of plate from another vehicle. 
• TT57 - Transfer of ownership with transfer and renewal of plate from another vehicle (TT24 &amp; TT51). 
• TT58 - Transfer and renewal of license plate from another vehicle (TT44 &amp; TT51). 
• TT59 - Transfer of ownership with change or correction and transfer of plate from another vehicle (TT24 &amp; TT32). 
• TT60 - New vehicle to the file with transfer and renewal of plate from another vehicle (TT11T &amp; TT51). 
• TT61 - Duplicate title.
• TT62 - Duplicate title with cancellation and/or recordation of lien. 
• TT63 - Lien termination and continuation statements. 
• LA - Duplicate registration processed by license number. 
• VA - Duplicate registration processed by VIN number. 
• LS/VS - Chattel Mortgage Certificates for sheriffs (processed by Prestige Plate Unit, HQ) 
• IRP - Replacement apportioned license plates, weight increases, weight decreases, conversions, transfers, states added, and duplicate cab cards.
A Handling fee is not charged on the following transactions:
• TT16 - New record to the file issuing a Permit to Sell or Permit to Dismantle 
• TT26 - Permit to Sell or Permit to Dismantle for vehicle with record on file 
• TT32 - No-charge corrected title due to office error. However, if a lien is recorded on the title and the lien has been released/satisfied, a $5.00 mortgage cancellation fee must be collected so that a clear corrected title will be issued. The $68.50 title fee is not due. 
• TT33 - No-charge corrected registration due to office error 
• TT41 - Free replacement sticker 
• TT51 - Renewal of registration 
• TT61 - No-charge duplicate title 
• LA - No-charge printout • VA - No-charge printout 
• Refunds - if due to an office error
</t>
  </si>
  <si>
    <t>Onlly show fee if applicable to transaction
Rules:  IV Motor Vehicle Registration Requirements, Number 91.00.  Authority:  R.S. 32:412 1
https://coxautoinc.app.box.com/files/1/f/11891636017/1/f_99721100236</t>
  </si>
  <si>
    <t>Tax Exemption</t>
  </si>
  <si>
    <t>Criteria necessary to qualify as a trade-in: https://coxautoinc.app.box.com/files/4/f/11891636017/1/f_99721992463</t>
  </si>
  <si>
    <t>Built in CAS - https://coxautoinc.app.box.com/files/4/f/11891636017/1/f_99740997236</t>
  </si>
  <si>
    <t>Tax amount due
Sales tax on vehicle transfers - https://coxautoinc.app.box.com/files/9/f/11891636017/1/f_99687725400</t>
  </si>
  <si>
    <t>D%$&amp;01_f9e891805d4345c7be62d41d35baccf2</t>
  </si>
  <si>
    <t>All records must display a lien flag (CL, 1L, 2L, or 3L)</t>
  </si>
  <si>
    <t>EFT</t>
  </si>
  <si>
    <t>SF (special fee field) - refer to type/use charts for specific codes for certain plates.</t>
  </si>
  <si>
    <t>2-character codes that indicate the flags set against a record.  
All records must display a lien flag (CL, 1L, 2L, or 3L).
Full list of Flags and Flag definitions is available here: https://fuel.coxautoinc.com/docs/DOC-108552</t>
  </si>
  <si>
    <t>Transaction string</t>
  </si>
  <si>
    <t>VR</t>
  </si>
  <si>
    <t>First_Middle I_Last_Suffix
Owner name can consist of up to 57 characters.</t>
  </si>
  <si>
    <t>No</t>
  </si>
  <si>
    <t>Yes</t>
  </si>
  <si>
    <t>If Individual, 1 is entered in first space of field on state screen.
If Individual: First_Middle I_Last_Suffix</t>
  </si>
  <si>
    <t>Field group = Trade vehicle</t>
  </si>
  <si>
    <t>Yes, if applicable</t>
  </si>
  <si>
    <t>Field group = Second lienholder</t>
  </si>
  <si>
    <t>Field group = First lienholder</t>
  </si>
  <si>
    <r>
      <t xml:space="preserve">Must be letters and 3-4 characters (if ELT code is applicable to transaction).
Field min length: 0, max length: 4.  </t>
    </r>
    <r>
      <rPr>
        <sz val="11"/>
        <color rgb="FFFF0000"/>
        <rFont val="Calibri"/>
        <family val="2"/>
        <scheme val="minor"/>
      </rPr>
      <t>If deal has no lien, just zeros entered on state system?</t>
    </r>
  </si>
  <si>
    <t>ELT file (PDF, provided by the state on a daily basis via PTA website).  Per Bob Paige, it is possible we could automatically load this updated .pdf file on a daily basis, read out the interesting information, and update our database. We already do this for CA on a quarterly basis.</t>
  </si>
  <si>
    <t>SRI / Framework Panel</t>
  </si>
  <si>
    <t>Show Field Name in UI?</t>
  </si>
  <si>
    <r>
      <t xml:space="preserve">The VIN must be 17 characters.
The VIN must alphanumeric and cannot contain the letters: I, O, and Q.
No special characters (slashes, hyphens, ampersands, etc.) are allowed.
</t>
    </r>
    <r>
      <rPr>
        <sz val="11"/>
        <color rgb="FFFF0000"/>
        <rFont val="Calibri"/>
        <family val="2"/>
        <scheme val="minor"/>
      </rPr>
      <t>Should we first decode the VIN from our decoder or send a lookup to the state?  Allow user to choose appropriate data.</t>
    </r>
  </si>
  <si>
    <r>
      <t xml:space="preserve">Display Year.
Must be the full 4-digit year, i.e. 1999.
</t>
    </r>
    <r>
      <rPr>
        <sz val="11"/>
        <color rgb="FFFF0000"/>
        <rFont val="Calibri"/>
        <family val="2"/>
        <scheme val="minor"/>
      </rPr>
      <t>Auto-populated from VIN decode/lookup?</t>
    </r>
  </si>
  <si>
    <r>
      <t xml:space="preserve">If Plate Type 0201 (Truck) - Model is required.
If Plate Type 0701 (Trailer) - Model is required.
Model number is a 3-character code.
For Offroad vehicles:  ORV should be entered. 
If Sports Utility Vehicle is issued an automobile plate, NA should be entered in the model/weight field instead of 6,000.
</t>
    </r>
    <r>
      <rPr>
        <sz val="11"/>
        <color rgb="FFFF0000"/>
        <rFont val="Calibri"/>
        <family val="2"/>
        <scheme val="minor"/>
      </rPr>
      <t>Auto-populated from VIN decode/lookup?</t>
    </r>
  </si>
  <si>
    <r>
      <t xml:space="preserve">Choices are:
Yes
No
Enter Y if mobile home is residential.  Leave blank if mobile home is commercial.
</t>
    </r>
    <r>
      <rPr>
        <sz val="11"/>
        <color rgb="FFFF0000"/>
        <rFont val="Calibri"/>
        <family val="2"/>
        <scheme val="minor"/>
      </rPr>
      <t>Can we auto-determine?</t>
    </r>
  </si>
  <si>
    <t>Field Group = Personalized plate</t>
  </si>
  <si>
    <t>SPOV</t>
  </si>
  <si>
    <t>Allow user to set a sales price alert.</t>
  </si>
  <si>
    <t>Class code</t>
  </si>
  <si>
    <t>Possible transaction codes:  21, 35, 24, 57, 25, 59, 31 - See TX determination chart - https://fuel.coxautoinc.com/docs/DOC-116929</t>
  </si>
  <si>
    <t>Katherine Guffin_4867_Dealertrack, Inc._Windows (64-bit) NT 6.02_K-GUFFIN_Katherine.Guffin$$$28042017</t>
  </si>
  <si>
    <t>"z?u!119"</t>
  </si>
  <si>
    <t>NOTX</t>
  </si>
  <si>
    <t>Dropdown - see Tax Exemption spreadsheet for tax exemptions and codes
This should trigger appropriate details in the end of transaction checklist as well such that The user is advised on what details are needed for that specific tax exemption.
2-digit tax exemption code should be entered.</t>
  </si>
  <si>
    <t>Class (type/use) code used to identify type of vehicle.  State system will auto-determine based on license plate and special fee code unless a TT17 is being processed or NONE is in the plate field.
0000 - None
0101 - Passenger
0201 - Truck
0301 - Motorcycle
0401 - Bus
0601 - House Trailer
0701 - Trailer
0901 - Off Road</t>
  </si>
  <si>
    <r>
      <t xml:space="preserve">Deafult dropdown to "Select".
Refer to All Body Styles spreadsheet.
2-digit body code
</t>
    </r>
    <r>
      <rPr>
        <sz val="11"/>
        <color rgb="FFFF0000"/>
        <rFont val="Calibri"/>
        <family val="2"/>
        <scheme val="minor"/>
      </rPr>
      <t>Auto-populated from VIN decode/lookup?</t>
    </r>
  </si>
  <si>
    <r>
      <t xml:space="preserve">If Plate Type 0201 (Truck) - Weight is required (X/B Plate).
Weight must be numbers only (min length: 1, max length: 6).
</t>
    </r>
    <r>
      <rPr>
        <sz val="11"/>
        <color rgb="FFFF0000"/>
        <rFont val="Calibri"/>
        <family val="2"/>
        <scheme val="minor"/>
      </rPr>
      <t>Auto-populated from VIN decode/lookup?</t>
    </r>
  </si>
  <si>
    <t>Title?</t>
  </si>
  <si>
    <t>T field on state screen - enter Y to charge for title</t>
  </si>
  <si>
    <t>T</t>
  </si>
  <si>
    <t>License code</t>
  </si>
  <si>
    <t>State screen field "L" needs transaction type + license field code (ex: 25U or 11N)</t>
  </si>
  <si>
    <t>Katherine Guffin_4867_Dealertrack, Inc._Windows (64-bit) NT 6.02_K-GUFFIN_katherine.guffin$$$02052017</t>
  </si>
  <si>
    <t>";Hb!19293"</t>
  </si>
  <si>
    <t>deal.vehicle.vin</t>
  </si>
  <si>
    <t>deal.vehicle.make</t>
  </si>
  <si>
    <t>deal.vehicle.bodystyle</t>
  </si>
  <si>
    <t>deal.vehicle.primarycolor</t>
  </si>
  <si>
    <t>deal.vehicle.year</t>
  </si>
  <si>
    <t>deal.vehicle.odometerreading</t>
  </si>
  <si>
    <t>deal.vehicle.model</t>
  </si>
  <si>
    <t>deal.vehicle.grossweight</t>
  </si>
  <si>
    <t>deal.vehicle.platenumber</t>
  </si>
  <si>
    <t>deal.vehicle.regexpiration</t>
  </si>
  <si>
    <t>deal.vehicle.ownerlessor.1.businessname</t>
  </si>
  <si>
    <t>deal.vehicle.ownerlessor.1.mailingaddress.street1</t>
  </si>
  <si>
    <t>deal.vehicle.ownerlessor.1.mailingaddress.zip</t>
  </si>
  <si>
    <t>deal.vehicle.ownerlessor.1.mailingaddress.city</t>
  </si>
  <si>
    <t>deal.vehicle.ownerlessor.1.mailingaddress.state</t>
  </si>
  <si>
    <t>deal.vehicle.ownerlessor.1.mailingaddress.county.code</t>
  </si>
  <si>
    <t>deal.trade.1.vin</t>
  </si>
  <si>
    <t>deal.vehicle.lien.1.lienholder.businessname</t>
  </si>
  <si>
    <t>deal.vehicle.lien.1.lienholder.mailingaddress.street1</t>
  </si>
  <si>
    <t>deal.vehicle.lien.1.lienholder.mailingaddress.city</t>
  </si>
  <si>
    <t>deal.vehicle.lien.1.lienholder.mailingaddress.state</t>
  </si>
  <si>
    <t>deal.vehicle.lien.1.lienholder.mailingaddress.zip</t>
  </si>
  <si>
    <t>deal.vehicle.lien.2.lienholder.mailingaddress.street1</t>
  </si>
  <si>
    <t>deal.vehicle.lien.2.lienholder.mailingaddress.city</t>
  </si>
  <si>
    <t>deal.vehicle.lien.2.lienholder.mailingaddress.state</t>
  </si>
  <si>
    <t>deal.vehicle.lien.2.lienholder.mailingaddress.zip</t>
  </si>
  <si>
    <t>deal.sales.purchasedate</t>
  </si>
  <si>
    <t>deal.sales.taxstatus</t>
  </si>
  <si>
    <t>deal.vehicle.previoustitlenumber</t>
  </si>
  <si>
    <t>deal.vehicle.previoustitlestate</t>
  </si>
  <si>
    <t>deal.sales.grosssalesprice</t>
  </si>
  <si>
    <t>deal.vehicle.ownerlessor.2.businessname</t>
  </si>
  <si>
    <t>deal.trade.1.tradeamount</t>
  </si>
  <si>
    <t>deal.transfervehicle.platenumber</t>
  </si>
  <si>
    <t>deal.sales.acquireddate</t>
  </si>
  <si>
    <t>LA_SALES.ACQUIRED_DATE</t>
  </si>
  <si>
    <t>deal.sales.netsalesprice</t>
  </si>
  <si>
    <t>LA_REGTRANSACTION.REBATE_AMOUNT</t>
  </si>
  <si>
    <t>LA_REGTRANSACTION.TOW_FEE</t>
  </si>
  <si>
    <t>LA_REGTRANSACTION.LICENSE_FEE</t>
  </si>
  <si>
    <t>LA_REGTRANSACTION.TAX_PENALTY</t>
  </si>
  <si>
    <t>LA_REGTRANSACTION.HANDLING_FEE</t>
  </si>
  <si>
    <t>LA_REGTRANSACTION.MORTGAGE_FEE</t>
  </si>
  <si>
    <t>LA_REGTRANSACTION.LICENSE_CREDIT</t>
  </si>
  <si>
    <t>deal.transfervehicle.regexpiration</t>
  </si>
  <si>
    <t>deal.sales.taxamount</t>
  </si>
  <si>
    <t>deal.totalfees</t>
  </si>
  <si>
    <t>deal.totaltax</t>
  </si>
  <si>
    <t>deal.totalfeescollected</t>
  </si>
  <si>
    <t>deal.titlefee</t>
  </si>
  <si>
    <t>deal.sales.salestaxcredit</t>
  </si>
  <si>
    <t>deal.sales.salesTaxRate</t>
  </si>
  <si>
    <t>deal.rebateamount</t>
  </si>
  <si>
    <t>Dictionary Mapping</t>
  </si>
  <si>
    <t>deal.dmsdealid</t>
  </si>
  <si>
    <t>deal.vehicle.platetype</t>
  </si>
  <si>
    <t>deal.vehicle.personalizedplate</t>
  </si>
  <si>
    <t>deal.rtsuiattributes.isTransfer</t>
  </si>
  <si>
    <t>deal.vehicle.domicile</t>
  </si>
  <si>
    <t>deal.miscfee</t>
  </si>
  <si>
    <t>deal.vehicle.islease</t>
  </si>
  <si>
    <t>deal.vehicle.isused</t>
  </si>
  <si>
    <t>deal.vehicle.ownercount</t>
  </si>
  <si>
    <t>deal.vehicle.liencount</t>
  </si>
  <si>
    <t>Database Columns</t>
  </si>
  <si>
    <t>deal.vehicle.tradeincount</t>
  </si>
  <si>
    <t>Sale</t>
  </si>
  <si>
    <t>Mortgage Type</t>
  </si>
  <si>
    <t>Proxy Service Field</t>
  </si>
  <si>
    <t>Business Object Field</t>
  </si>
  <si>
    <t>LA_REGISTRATION.DOMICILE</t>
  </si>
  <si>
    <t>LA_REGISTRATION.TAXDISTRICT</t>
  </si>
  <si>
    <t>LA_REGISTRATION.ADDRESS_TYPE</t>
  </si>
  <si>
    <t>LA_REGISTRATION.LIMITS_MUNICIPALITY</t>
  </si>
  <si>
    <t>LA_VEHICLE.MANUFACTURED_HOME_RESIDENCE</t>
  </si>
  <si>
    <t>LA_REGTRANSACTION.TOTAL_TAX</t>
  </si>
  <si>
    <t>LA_REGTRANSACTION.LICENSE_PENALTY</t>
  </si>
  <si>
    <t>LA_REGATRANSACTION.VENDOR_COMPENSATION</t>
  </si>
  <si>
    <t>LA_REGTRANSACTION.TOTAL_FEES</t>
  </si>
  <si>
    <t>LA_REAGTRANSACTION.LIC_TRANSFER_FEE</t>
  </si>
  <si>
    <t>LA_REGTRANSACTION.LIC_PENCREDIT</t>
  </si>
  <si>
    <t>LA_REGTRANSACTION.TITLE_FEE</t>
  </si>
  <si>
    <t>LA_REGISTRATION.MAIL_TO</t>
  </si>
  <si>
    <t>deal.vehicle.ownerlessor.2.mailingaddress.street1</t>
  </si>
  <si>
    <t>deal.vehicle.ownerlessor.2.mailingaddress.zip</t>
  </si>
  <si>
    <t>deal.vehicle.ownerlessor.2.mailingaddress.city</t>
  </si>
  <si>
    <t>deal.vehicle.ownerlessor.2.mailingaddress.state</t>
  </si>
  <si>
    <t>deal.vehicle.ownerlessor.2.mailingaddress.county.code</t>
  </si>
  <si>
    <t>deal.mortgagetype</t>
  </si>
  <si>
    <t>deal.licensepenalty</t>
  </si>
  <si>
    <t>deal.vendorcompensation</t>
  </si>
  <si>
    <t>deal.licensecredit</t>
  </si>
  <si>
    <t>deal.lictransferfee</t>
  </si>
  <si>
    <t>deal.taxpenalty</t>
  </si>
  <si>
    <t>deal.licensefee</t>
  </si>
  <si>
    <t>deal.towfee</t>
  </si>
  <si>
    <t>deal.mortgagefee</t>
  </si>
  <si>
    <t>deal.handlingfee</t>
  </si>
  <si>
    <t>deal.licpencredit</t>
  </si>
  <si>
    <t>deal.vehicle.mailto</t>
  </si>
  <si>
    <t>deal.vehicle.addresstype</t>
  </si>
  <si>
    <t>deal.vehicle.istaxdistrict</t>
  </si>
  <si>
    <t>deal.vehicle.islimitsmunicipality</t>
  </si>
  <si>
    <t>deal.vehicle.ismanufacturedhomeresidence</t>
  </si>
  <si>
    <t>VEHICLE.LEASE</t>
  </si>
  <si>
    <t>VEHICLE.USED</t>
  </si>
  <si>
    <t>VEHICLE.EXPECTED_OWNER_COUNT</t>
  </si>
  <si>
    <t>VEHICLE.EXPECTED_LIEN_COUNT</t>
  </si>
  <si>
    <t>REGTRANSACTION.EXP_TRADEIN_COUNT</t>
  </si>
  <si>
    <t>TRANSACTION.DMS_DEAL_ID</t>
  </si>
  <si>
    <t>VEHICLE.VIN</t>
  </si>
  <si>
    <t>VEHICLE.MAKE</t>
  </si>
  <si>
    <t>VEHICLE.BODYSTYLE_ID</t>
  </si>
  <si>
    <t>VEHICLE.MODEL_YEAR</t>
  </si>
  <si>
    <t>VEHICLE.ODOM_READING</t>
  </si>
  <si>
    <t>VEHICLE.MODEL_ID</t>
  </si>
  <si>
    <t>REGISTRATION.GROSS_WEIGHT</t>
  </si>
  <si>
    <t>REGISTRATION.PLATE_TYPE</t>
  </si>
  <si>
    <t>STREGISTRATION.PERSONALIZED_PLATE</t>
  </si>
  <si>
    <t>REGISTRATION.EXPIRATION_DAT</t>
  </si>
  <si>
    <t>TRADEINS.TRADEIN_VIN</t>
  </si>
  <si>
    <t>SALES.SALES_DATE</t>
  </si>
  <si>
    <t>SALES.TAX_STATUS_ID</t>
  </si>
  <si>
    <t>SALES.GROSS_SALES_PRICE</t>
  </si>
  <si>
    <t>TRADEINS.TRADEIN_VALUE</t>
  </si>
  <si>
    <t>SALES.NET_SALES_PRICE</t>
  </si>
  <si>
    <t>SALES.SALES_TAX</t>
  </si>
  <si>
    <t>TRANSACTION.MISCELLANEOUS_FEE</t>
  </si>
  <si>
    <t>SALES.SALES_TAX_RATE</t>
  </si>
  <si>
    <t>SALES.SALES_TAX_CREDIT</t>
  </si>
  <si>
    <t>TRANSACTION.TOTAL_FEES_COLLECTED</t>
  </si>
  <si>
    <t>TITLE.PREV_TITLE_NUMBER</t>
  </si>
  <si>
    <t>TITLE.PREV_TITLE_STATE</t>
  </si>
  <si>
    <t>TRADEINS.TRADEIN_PLATE_NO</t>
  </si>
  <si>
    <t>deal.trade.1.platenumber</t>
  </si>
  <si>
    <t>LA_REGTRANSACTION.MORTGAGE_TYPE</t>
  </si>
  <si>
    <t>deal.vehicle.ownerlessor.1.dmvidno</t>
  </si>
  <si>
    <t>ADDRESS.STREET1</t>
  </si>
  <si>
    <t>ADDRESS.ZIP</t>
  </si>
  <si>
    <t>ADDRESS.CITY</t>
  </si>
  <si>
    <t>ADDRESS.STATE</t>
  </si>
  <si>
    <t>ADDRESS.COUNTYCODE</t>
  </si>
  <si>
    <t>PARTY.DMVID</t>
  </si>
  <si>
    <t>PARTY.NAME</t>
  </si>
  <si>
    <t>PARTY.FIRST_NAME + PARTY.MIDDLE_NAME + PARTY.LAST_NAME + PARTY.SUFFIX</t>
  </si>
  <si>
    <t>deal.vehicle.lien.2.lienholder.businessname</t>
  </si>
  <si>
    <t>deal.vehicle.lien.1.code</t>
  </si>
  <si>
    <t>LIEN.CODE</t>
  </si>
  <si>
    <t>deal.transfervehicle.regyearsticker.sequencenumber</t>
  </si>
  <si>
    <t>Transaction Type</t>
  </si>
  <si>
    <t>HLLAPI Field Name</t>
  </si>
  <si>
    <t>HLL API Position</t>
  </si>
  <si>
    <t>HLL API Width</t>
  </si>
  <si>
    <t>vin</t>
  </si>
  <si>
    <t>make</t>
  </si>
  <si>
    <t>body</t>
  </si>
  <si>
    <t>year</t>
  </si>
  <si>
    <t>VEHICLE.PRIMARY_COLOR_ID</t>
  </si>
  <si>
    <r>
      <t xml:space="preserve">Default dropdown to "Select".
Refer to Colors Alphabetical spreadsheet.
3-digit color code. If Color code is null or has length more than 3 then value is 'NA' else code supplied.
</t>
    </r>
    <r>
      <rPr>
        <sz val="11"/>
        <color rgb="FFFF0000"/>
        <rFont val="Calibri"/>
        <family val="2"/>
        <scheme val="minor"/>
      </rPr>
      <t>Auto-populated from VIN decode/lookup?</t>
    </r>
  </si>
  <si>
    <t>Color 1</t>
  </si>
  <si>
    <t>Color 2</t>
  </si>
  <si>
    <t>deal.vehicle.secondarycolor</t>
  </si>
  <si>
    <t>VEHICLE.SECONDARY_COLOR_ID</t>
  </si>
  <si>
    <t>color_primary</t>
  </si>
  <si>
    <t>color_secondary</t>
  </si>
  <si>
    <t>Primary color is for Body color</t>
  </si>
  <si>
    <t>Secondary color is for Roof color</t>
  </si>
  <si>
    <t>Odom Status</t>
  </si>
  <si>
    <t>deal.vehicle.odometerbrand</t>
  </si>
  <si>
    <t>regTransaction.newVehicle.odometerBrandObject</t>
  </si>
  <si>
    <t>VEHICLE.ODOMETER_BRAND_ID</t>
  </si>
  <si>
    <r>
      <t xml:space="preserve">Mileage must be numbers only (min length: 1, max length: 6).
If Plate Type 0201 (Truck) and weight is &gt;= 16,000 lbs. and Model Year is ten years or older, then mileage is 'EXEMPT'.
Must be greater than the previous odometer reading unless an ME or NM flag is set.
For Trailers:  Enter NA.
For Exempt vehicles:  Enter EXEMPT.
</t>
    </r>
    <r>
      <rPr>
        <sz val="11"/>
        <color rgb="FFFF0000"/>
        <rFont val="Calibri"/>
        <family val="2"/>
        <scheme val="minor"/>
      </rPr>
      <t>Auto-populated from VIN decode/lookup?</t>
    </r>
  </si>
  <si>
    <t>We will be setting terminal FLAG based on this field related to Odometer Mileage.</t>
  </si>
  <si>
    <t>flags</t>
  </si>
  <si>
    <t>modelOrWeight</t>
  </si>
  <si>
    <t>regTransaction.newVehicle.vin</t>
  </si>
  <si>
    <t>regTransaction.newVehicle.makeObject</t>
  </si>
  <si>
    <t>regTransaction.newVehicle.bodyStyleObject</t>
  </si>
  <si>
    <t>regTransaction.newVehicle.primaryColor</t>
  </si>
  <si>
    <t>regTransaction.newVehicle.secondaryColor</t>
  </si>
  <si>
    <t>regTransaction.newVehicle.modelYear</t>
  </si>
  <si>
    <t>regTransaction.newVehicle.odomReading</t>
  </si>
  <si>
    <t>odometerReading</t>
  </si>
  <si>
    <t>INV.INV_SEQUENCE_NUMBER USING DSCR</t>
  </si>
  <si>
    <t>plateNumber</t>
  </si>
  <si>
    <t>regExpirationDate</t>
  </si>
  <si>
    <t>Individual - driverLicense                Business - fedid</t>
  </si>
  <si>
    <t>DL  EIN</t>
  </si>
  <si>
    <t>DL = 360
EIN = 382</t>
  </si>
  <si>
    <t>regTransaction.newVehicle.modelObject</t>
  </si>
  <si>
    <t>deal.vehicle.ownerlessor.#.isindividual</t>
  </si>
  <si>
    <t>regTransaction.newVehicle.title.legalparties[0].partyType</t>
  </si>
  <si>
    <t>isIndividual</t>
  </si>
  <si>
    <t>newOwnerName</t>
  </si>
  <si>
    <t>jointOwnerName</t>
  </si>
  <si>
    <t>newOwnerStreet1</t>
  </si>
  <si>
    <t>newOwnerCity</t>
  </si>
  <si>
    <t>newOwnerState</t>
  </si>
  <si>
    <t>newOwnerZip</t>
  </si>
  <si>
    <t>secondNameStatus</t>
  </si>
  <si>
    <t>renewalNoticeMailTo</t>
  </si>
  <si>
    <t>limitedLMODStreet1</t>
  </si>
  <si>
    <t>LmodCity</t>
  </si>
  <si>
    <t>LmodState</t>
  </si>
  <si>
    <t>LmodZip</t>
  </si>
  <si>
    <t>regTransaction.newVehicle.lease</t>
  </si>
  <si>
    <t>regTransaction.newVehicle.used</t>
  </si>
  <si>
    <t>regTransaction.newVehicle.expectedOwnerCount</t>
  </si>
  <si>
    <t>regTransaction.newVehicle.expectedLienCount</t>
  </si>
  <si>
    <t>regTransaction.expectedTradeInVehicleCount</t>
  </si>
  <si>
    <t>regTransaction.DMSDealId</t>
  </si>
  <si>
    <t>regTransaction.newVehicle.registration.grossWeight</t>
  </si>
  <si>
    <t>regTransaction.newVehicle.manufacturedHomeResidence</t>
  </si>
  <si>
    <t>regTransaction.newVehicle.registration.personalizedPlate</t>
  </si>
  <si>
    <t>regTransaction.newVehicle.registration.plate.plateNumber</t>
  </si>
  <si>
    <t>regTransaction.newVehicle.registration.expirationDate</t>
  </si>
  <si>
    <t>regTransaction.oldVehicle.registration.plate.plateNumber</t>
  </si>
  <si>
    <t>regTransaction.oldVehicle.registration.expirationDate</t>
  </si>
  <si>
    <t>deal.vehicle.ownerlessor.1.firstname + deal.vehicle.ownerlessor.1.middlename + deal.vehicle.ownerlessor.1.lastname + deal.vehicle.ownerlessor.1.suffix</t>
  </si>
  <si>
    <t>regTransaction.newVehicle.title.legalparties[0].firstName  (Individual) + regTransaction.newVehicle.registration.legalparties[0].middleName (Individual) + regTransaction.newVehicle.registration.legalparties[0].lastName (Individual) + regTransaction.newVehicle.registration.legalparties[0].suffix (Individual)</t>
  </si>
  <si>
    <t>regTransaction.newVehicle.registration.legalparties[0].businessName  (Business)</t>
  </si>
  <si>
    <t>regTransaction.newVehicle.title.legalparties[0].dmvID(Individual) regTransaction.newVehicle.title.legalparties[0].feidNumber(Business)</t>
  </si>
  <si>
    <t>regTransaction.newVehicle.title.legalparties[0].addresses[0].street1</t>
  </si>
  <si>
    <t>regTransaction.newVehicle.title.legalparties[0].addresses[0].zipCode</t>
  </si>
  <si>
    <t>regTransaction.newVehicle.title.legalparties[0].addresses[0].city</t>
  </si>
  <si>
    <t>regTransaction.newVehicle.title.legalparties[0].addresses[0].state</t>
  </si>
  <si>
    <t>regTransaction.newVehicle.title.legalparties[0].addresses[0].county</t>
  </si>
  <si>
    <t>regTransaction.newVehicle.registration.domicile</t>
  </si>
  <si>
    <t>regTransaction.newVehicle.registration.limitsMunicipality</t>
  </si>
  <si>
    <t>regTransaction.newVehicle.registration.taxDistrict</t>
  </si>
  <si>
    <t>deal.vehicle.ownerlessor.1.dmvidno(Individual) deal.vehicle.ownerlessor.1.fedid(Business)</t>
  </si>
  <si>
    <t>regTransaction.newVehicle.title.legalparties[1].partyType</t>
  </si>
  <si>
    <t>regTransaction.newVehicle.title.legalparties[1].firstName  (Individual) + regTransaction.newVehicle.registration.legalparties[1].middleName (Individual) + regTransaction.newVehicle.registration.legalparties[1].lastName (Individual) + regTransaction.newVehicle.registration.legalparties[1].suffix (Individual)</t>
  </si>
  <si>
    <t>regTransaction.newVehicle.registration.legalparties[1].businessName  (Business)</t>
  </si>
  <si>
    <t>regTransaction.newVehicle.title.legalparties[1].dmvID(Individual) regTransaction.newVehicle.title.legalparties[1].feidNumber(Business)</t>
  </si>
  <si>
    <t>regTransaction.newVehicle.registration.addressType</t>
  </si>
  <si>
    <t>regTransaction.newVehicle.title.legalparties[1].addresses[0].street1</t>
  </si>
  <si>
    <t>regTransaction.newVehicle.title.legalparties[1].addresses[0].zipCode</t>
  </si>
  <si>
    <t>regTransaction.newVehicle.title.legalparties[1].addresses[0].city</t>
  </si>
  <si>
    <t>regTransaction.newVehicle.title.legalparties[1].addresses[0].state</t>
  </si>
  <si>
    <t>regTransaction.newVehicle.title.legalparties[1].addresses[0].county</t>
  </si>
  <si>
    <t>regTransaction.newVehicle.registration.mailTo</t>
  </si>
  <si>
    <t>regTransaction.sale.tradeIns[0].vin</t>
  </si>
  <si>
    <t>regTransaction.sale.tradeIns[0].platenumber</t>
  </si>
  <si>
    <t>deal.vehicle.ownerlessor.2.firstname + deal.vehicle.ownerlessor.2.middlename + deal.vehicle.ownerlessor.2.lastname + deal.vehicle.ownerlessor.2.suffix</t>
  </si>
  <si>
    <t>deal.vehicle.ownerlessor.2.dmvidno(Individual) deal.vehicle.ownerlessor.2.fedid(Business)</t>
  </si>
  <si>
    <t>regTransaction.newVehicle.title.lien.code</t>
  </si>
  <si>
    <t>regTransaction.newVehicle.title.lien.1.lienHolder.businessName (Business)</t>
  </si>
  <si>
    <t>regTransaction.newVehicle.title.lien.1.lienHolder.address.street1</t>
  </si>
  <si>
    <t>regTransaction.newVehicle.title.lien.1.lienHolder.address.city</t>
  </si>
  <si>
    <t>regTransaction.newVehicle.title.lien.1.lienHolder.address.state</t>
  </si>
  <si>
    <t>regTransaction.newVehicle.title.lien.1.lienHolder.address.zipCode</t>
  </si>
  <si>
    <t>regTransaction.newVehicle.title.lien.2.lienHolder.businessName (Business)</t>
  </si>
  <si>
    <t>regTransaction.newVehicle.title.lien.2.lienHolder.address.street1</t>
  </si>
  <si>
    <t>regTransaction.newVehicle.title.lien.2.lienHolder.address.city</t>
  </si>
  <si>
    <t>regTransaction.newVehicle.title.lien.2.lienHolder.address.state</t>
  </si>
  <si>
    <t>regTransaction.newVehicle.title.lien.2.lienHolder.address.zipCode</t>
  </si>
  <si>
    <t>regTransaction.sales.acquiredDate</t>
  </si>
  <si>
    <t>regTransaction.sales.salesDate</t>
  </si>
  <si>
    <t>regTransaction.sales.taxStatus</t>
  </si>
  <si>
    <t>regTransaction.newVehicle.title.previousTitleNumber</t>
  </si>
  <si>
    <t>regTransaction.newVehicle.title.previousTitleState</t>
  </si>
  <si>
    <t>regTransaction.sales.grossSalesPrice</t>
  </si>
  <si>
    <t>regTransaction.sale.tradeIns[0].value</t>
  </si>
  <si>
    <t>regTransaction.titleFee</t>
  </si>
  <si>
    <t>regTransaction.licPenCredit</t>
  </si>
  <si>
    <t>regTransaction.handlingFee</t>
  </si>
  <si>
    <t>regTransaction.rebateAmount</t>
  </si>
  <si>
    <t>regTransaction.sales.netSalesPrice</t>
  </si>
  <si>
    <t>regTransaction.mortgageFee</t>
  </si>
  <si>
    <t>regTransaction.sales.salesTax</t>
  </si>
  <si>
    <t>regTransaction.towFee</t>
  </si>
  <si>
    <t>regTransaction.licenseFee</t>
  </si>
  <si>
    <t>regTransaction.taxPenalty</t>
  </si>
  <si>
    <t>regTransaction.miscFee</t>
  </si>
  <si>
    <t>regTransaction.licTransferFee</t>
  </si>
  <si>
    <t>regTransaction.sales.salesTaxRate</t>
  </si>
  <si>
    <t>regTransaction.totalFees</t>
  </si>
  <si>
    <t>regTransaction.licenseCredit</t>
  </si>
  <si>
    <t>regTransaction.vendorCompensation</t>
  </si>
  <si>
    <t>regTransaction.totalTax</t>
  </si>
  <si>
    <t>regTransaction.licensePenalty</t>
  </si>
  <si>
    <t>regTransaction.sales.salesTaxCredit</t>
  </si>
  <si>
    <t>regTransaction.sales.totalFeesCollected</t>
  </si>
  <si>
    <t>regTransaction.mortgageType</t>
  </si>
  <si>
    <t>deal.vehicle.ownerlessor.2.isindividual</t>
  </si>
  <si>
    <t>regTransaction.newVehicle.registration.plateType</t>
  </si>
  <si>
    <r>
      <t xml:space="preserve">UI Field Groups - </t>
    </r>
    <r>
      <rPr>
        <sz val="11"/>
        <color theme="1"/>
        <rFont val="Calibri"/>
        <family val="2"/>
        <scheme val="minor"/>
      </rPr>
      <t xml:space="preserve">applicable to grouped fields.  Show/Hide group of fields within a block.  Ex: If user selects truck, show certain fields.  </t>
    </r>
  </si>
  <si>
    <r>
      <t>Field Name</t>
    </r>
    <r>
      <rPr>
        <sz val="11"/>
        <color theme="1"/>
        <rFont val="Calibri"/>
        <family val="2"/>
        <scheme val="minor"/>
      </rPr>
      <t xml:space="preserve"> </t>
    </r>
  </si>
  <si>
    <r>
      <t xml:space="preserve">Business Rule - </t>
    </r>
    <r>
      <rPr>
        <sz val="11"/>
        <color theme="1"/>
        <rFont val="Calibri"/>
        <family val="2"/>
        <scheme val="minor"/>
      </rPr>
      <t>note if it applies to field / field group.  Include specific rules /UI validation, backend validation, etc.  EX: VIN 17 digits, Zip decode, Make/Model - is that coming from VIN decode vs. tables, etc.?  Just list rules.  State documentation, trial/error to state - get response, legacy application.</t>
    </r>
  </si>
  <si>
    <r>
      <t xml:space="preserve">State screen field </t>
    </r>
    <r>
      <rPr>
        <sz val="11"/>
        <color theme="1"/>
        <rFont val="Calibri"/>
        <family val="2"/>
        <scheme val="minor"/>
      </rPr>
      <t>(see State Screen tab) - If field data is submitted to state screen, relevant state screen field name is listed below.</t>
    </r>
  </si>
  <si>
    <r>
      <rPr>
        <b/>
        <sz val="11"/>
        <color theme="1"/>
        <rFont val="Calibri"/>
        <family val="2"/>
        <scheme val="minor"/>
      </rPr>
      <t xml:space="preserve">Note: </t>
    </r>
    <r>
      <rPr>
        <sz val="11"/>
        <color theme="1"/>
        <rFont val="Calibri"/>
        <family val="2"/>
        <scheme val="minor"/>
      </rPr>
      <t xml:space="preserve"> This information will need to map to the forms and be sent to the state as part of the transaction data; however, we do not need to show actual fields in the UI for these details.</t>
    </r>
  </si>
  <si>
    <r>
      <t xml:space="preserve">Display Make.
Allow type ahead if a "blank" is returned.
Typically a 4-digit alpha character code.
</t>
    </r>
    <r>
      <rPr>
        <b/>
        <sz val="11"/>
        <color theme="1"/>
        <rFont val="Calibri"/>
        <family val="2"/>
        <scheme val="minor"/>
      </rPr>
      <t xml:space="preserve">Note:  </t>
    </r>
    <r>
      <rPr>
        <sz val="11"/>
        <color theme="1"/>
        <rFont val="Calibri"/>
        <family val="2"/>
        <scheme val="minor"/>
      </rPr>
      <t xml:space="preserve">See coded value table.
</t>
    </r>
    <r>
      <rPr>
        <sz val="11"/>
        <color rgb="FFFF0000"/>
        <rFont val="Calibri"/>
        <family val="2"/>
        <scheme val="minor"/>
      </rPr>
      <t>Auto-populated from VIN decode/lookup?</t>
    </r>
  </si>
  <si>
    <r>
      <t>Selection menu
Refer to Type Use Class Codes PDF -</t>
    </r>
    <r>
      <rPr>
        <sz val="11"/>
        <color rgb="FFFF0000"/>
        <rFont val="Calibri"/>
        <family val="2"/>
        <scheme val="minor"/>
      </rPr>
      <t xml:space="preserve"> should we just include a subset of the full list?
</t>
    </r>
    <r>
      <rPr>
        <sz val="11"/>
        <rFont val="Calibri"/>
        <family val="2"/>
        <scheme val="minor"/>
      </rPr>
      <t>Auto: 
PS - Personalized
AH - Handicap
UA - University
Truck:
OY - One Year
PT - Personalized (Q) 6000 lbs
+++</t>
    </r>
    <r>
      <rPr>
        <sz val="11"/>
        <color theme="1"/>
        <rFont val="Calibri"/>
        <family val="2"/>
        <scheme val="minor"/>
      </rPr>
      <t xml:space="preserve">
</t>
    </r>
  </si>
  <si>
    <t>firstLienHolderName</t>
  </si>
  <si>
    <t>lienDate</t>
  </si>
  <si>
    <t>DATE</t>
  </si>
  <si>
    <t>lienCode</t>
  </si>
  <si>
    <t>lienHolderStreet1</t>
  </si>
  <si>
    <t>lienHolderCity</t>
  </si>
  <si>
    <t>lienHolderState</t>
  </si>
  <si>
    <t>lienHolderZip</t>
  </si>
  <si>
    <t>HCST</t>
  </si>
  <si>
    <t>hcst</t>
  </si>
  <si>
    <t>newOrUsed</t>
  </si>
  <si>
    <t>dateAcquired</t>
  </si>
  <si>
    <t>Always enter the date the vehicle was actually acquired. If the
vehicle was purchased on 08/12/95 in Arkansas but was brought into Louisiana
on 11/19/97, you still must enter 081295 as the date acquired. Taxes are not
based on the date entered in this field.</t>
  </si>
  <si>
    <t>previousLouisianaTitleNumber</t>
  </si>
  <si>
    <t>If plate type is handicap then value HCP has to be sent.</t>
  </si>
  <si>
    <t>previousTitleState</t>
  </si>
  <si>
    <t>PRL</t>
  </si>
  <si>
    <t>previousLicensePlate</t>
  </si>
  <si>
    <t>Need to find purpose of this and how we are using this in legacy.</t>
  </si>
  <si>
    <t>EXP DATE</t>
  </si>
  <si>
    <t>Expiration date of Previous License Plate</t>
  </si>
  <si>
    <t>previousLicensePlateExpirationDate</t>
  </si>
  <si>
    <t>OST</t>
  </si>
  <si>
    <t>outOfStateTitleToSurrender</t>
  </si>
  <si>
    <t>Title number of the out-of-state title which is being surrendered.</t>
  </si>
  <si>
    <t>If user is surrendering his out of state title then we need to populate this.</t>
  </si>
  <si>
    <t>SAV</t>
  </si>
  <si>
    <t>State-assigned VIN. Enter the $5.00 or $10.00 fee which is indicated on the
DPSSP 3504 form, which is submitted when State Police assigns a VIN to a
vehicle.</t>
  </si>
  <si>
    <t>stateAssignedVin</t>
  </si>
  <si>
    <t>TTA</t>
  </si>
  <si>
    <t>Transaction type of the last title transaction processed.</t>
  </si>
  <si>
    <t>lastTitleTransactionType</t>
  </si>
  <si>
    <t>TRDA</t>
  </si>
  <si>
    <t>Date on which the last title transaction was processed.</t>
  </si>
  <si>
    <t>TTB</t>
  </si>
  <si>
    <t>Transaction type of the last non-title transaction processed.</t>
  </si>
  <si>
    <t>lastTitleTransactionDate</t>
  </si>
  <si>
    <t>lastNonTitleTransactionType</t>
  </si>
  <si>
    <t>TRDB</t>
  </si>
  <si>
    <t>lastNonTitleTransactionDate</t>
  </si>
  <si>
    <t>Date on which the last non-title transaction was processed.</t>
  </si>
  <si>
    <t>MF</t>
  </si>
  <si>
    <t>Microfilm number.</t>
  </si>
  <si>
    <t>microFilmNumber</t>
  </si>
  <si>
    <t>NMG</t>
  </si>
  <si>
    <t>Mortgage code field for recording liens with a UCC-1 or UCC-3. Enter 1(unless
recording more than one lien by UCC) in the NMG field to record. Charges $15.00
per lien.</t>
  </si>
  <si>
    <t>mortagageCodeWithUCC</t>
  </si>
  <si>
    <t>sellingPriceOfVehicle</t>
  </si>
  <si>
    <t>Selling price of vehicle, including trade and rebate. Value of vehicle must be entered
for donations and for vehicles which were registered in the applicant’s name in
another state. P/P 47.0.</t>
  </si>
  <si>
    <t>DOM</t>
  </si>
  <si>
    <t>Domicile code for the owner’s principle residence address or business location. The
four digit code is located on the tax table.</t>
  </si>
  <si>
    <t>domicileCode</t>
  </si>
  <si>
    <t>taxDate</t>
  </si>
  <si>
    <t>Tax date is the date acquired, the date the vehicle was brought into the state, or in
the of a specially ordered vehicle or mobile home, the delivery date.</t>
  </si>
  <si>
    <t>EFFD</t>
  </si>
  <si>
    <t>Effective date, which is the date the file is received in the office. You cannot enter
an effective date if it is six (6) months prior to the transaction date. If the effective
date is not entered by an operator, the transaction date will print on the registration
in the effective date field.</t>
  </si>
  <si>
    <t>effectiveDate</t>
  </si>
  <si>
    <t>TXV</t>
  </si>
  <si>
    <t>Taxable value of vehicle. This is the total selling price of vehicle, minus the trade-in
allowance and rebate.</t>
  </si>
  <si>
    <t>taxableValueOfVehicle</t>
  </si>
  <si>
    <t>licenseCode</t>
  </si>
  <si>
    <t>License code.
C = Conversion
F = Free
L = Lost
N = New
R = Renewal
T = Transfer
U = Non-Use*
If there is NONE in the license field leave blank. * Also used on TT25 with new plate</t>
  </si>
  <si>
    <t>titleCode</t>
  </si>
  <si>
    <t>Title code. Y = Yes, charge for the title
N = No, do not charge for the title</t>
  </si>
  <si>
    <t>MTG</t>
  </si>
  <si>
    <t>Mortgage code field for recording liens with any form (such as a chattel or other
security agreement) other than a UCC-1 or UCC-3. Enter 1 (unless recording more
than one lien) in the MTG field to record. Charges $10.00 per lien. Do not enter
anything in the field to cancel the mortgage.</t>
  </si>
  <si>
    <t>mortagageCodeWithOutUCC</t>
  </si>
  <si>
    <t>Trade-in value. Description of trade-in vehicle must be indicated on the bill of sale
or invoice. Enter NA if no trade.</t>
  </si>
  <si>
    <t>tradeInValue</t>
  </si>
  <si>
    <t>vendorCompensation</t>
  </si>
  <si>
    <t>$CD</t>
  </si>
  <si>
    <t>Money code. 1 = Cash
2 = Check or money order
4 = EFT (electronic fund transfer)</t>
  </si>
  <si>
    <t>moneyCode</t>
  </si>
  <si>
    <t>REMIT</t>
  </si>
  <si>
    <t>remit</t>
  </si>
  <si>
    <t>PSTG</t>
  </si>
  <si>
    <t>pstg / titleServiceHandlingFee</t>
  </si>
  <si>
    <t>Title or service handling fee. The $8.00 fee will automatically be calculated when
applicable.</t>
  </si>
  <si>
    <t>MISC</t>
  </si>
  <si>
    <t>miscellaneousFee</t>
  </si>
  <si>
    <t>SPECL/FEE</t>
  </si>
  <si>
    <t>specialPlateFirstTimeIssuance</t>
  </si>
  <si>
    <t>Onlly show fee if applicable to transaction. Rebate amount allowed from a dealer or manufacturer. Must be indicated on the bill
of sale or invoice.</t>
  </si>
  <si>
    <t>rebateAmount</t>
  </si>
  <si>
    <t>of sale or invoice.</t>
  </si>
  <si>
    <t>TXPC</t>
  </si>
  <si>
    <t>Tax penalty credit. Only the Department of Revenue &amp; Taxation and the
Commissioner of Motor Vehicles can approve the waiver of tax penalty.</t>
  </si>
  <si>
    <t>taxPenalityCredit</t>
  </si>
  <si>
    <t>LicenseCredit</t>
  </si>
  <si>
    <t>licensePenalityCredit</t>
  </si>
  <si>
    <t>specialFees</t>
  </si>
  <si>
    <t>SF</t>
  </si>
  <si>
    <t>electronicFundTransfer</t>
  </si>
  <si>
    <t>PASS</t>
  </si>
  <si>
    <t>Number of passengers transported in vehicles which have been issued certain forhire
license plates.</t>
  </si>
  <si>
    <t>numberOfPassengers</t>
  </si>
  <si>
    <t>WHLF</t>
  </si>
  <si>
    <t>wheelChairLift</t>
  </si>
  <si>
    <t>No-tax code must be entered to exempt all or partial taxes.</t>
  </si>
  <si>
    <t>taxExemptionCode</t>
  </si>
  <si>
    <t>CITDATE</t>
  </si>
  <si>
    <t>Citation date must be entered for the collection of penalty when a ticket has been
issued.</t>
  </si>
  <si>
    <t>citationDate</t>
  </si>
  <si>
    <t>dealerCode</t>
  </si>
  <si>
    <t>INIT-FEE</t>
  </si>
  <si>
    <t>initialFees</t>
  </si>
  <si>
    <t>Initial fee needed for the issuance of certain special plates.</t>
  </si>
  <si>
    <t>classCode</t>
  </si>
  <si>
    <t>Class (type/use) code used to identify the type of vehicle. Computer will
automatically enter correct code based on the license plate and special fee code
unless a TT17 is being processed or NONE is displayed in the plate field.</t>
  </si>
  <si>
    <t>IN-CITY
LMTS</t>
  </si>
  <si>
    <t>inCityLimits</t>
  </si>
  <si>
    <t>manufactureHouseResidential</t>
  </si>
  <si>
    <t>taxCredit</t>
  </si>
  <si>
    <t>P/M TX</t>
  </si>
  <si>
    <t>Parish/Municipality Tax – For out of state tax credit when the percentage of
taxes owed exceeds the percentage of reciprocal credit allowed. See out of
state tax credit.</t>
  </si>
  <si>
    <t>parishOrMunicipalityTax</t>
  </si>
  <si>
    <t>DMF</t>
  </si>
  <si>
    <t>DISC</t>
  </si>
  <si>
    <t>COMMENTS</t>
  </si>
  <si>
    <t>comments</t>
  </si>
  <si>
    <t>ORI</t>
  </si>
  <si>
    <t>OCA</t>
  </si>
  <si>
    <t>SN</t>
  </si>
  <si>
    <t>The number assigned to a personal stop placed by headquarters or the office
number (set internally) in which an NV flag is set.</t>
  </si>
  <si>
    <t>TITLE</t>
  </si>
  <si>
    <t>title</t>
  </si>
  <si>
    <t>RES</t>
  </si>
  <si>
    <t>mobileHomeAsResidence</t>
  </si>
  <si>
    <t>VR38</t>
  </si>
  <si>
    <t>STK</t>
  </si>
  <si>
    <t>sticker</t>
  </si>
  <si>
    <t>TDVC</t>
  </si>
  <si>
    <t>Tourism VC</t>
  </si>
  <si>
    <r>
      <t xml:space="preserve">The current Louisiana title number, dismantle permit number, permit to sell
number, suspense file number, or FOREIGN. </t>
    </r>
    <r>
      <rPr>
        <sz val="11"/>
        <color rgb="FF0070C0"/>
        <rFont val="Calibri"/>
        <family val="2"/>
        <scheme val="minor"/>
      </rPr>
      <t xml:space="preserve"> </t>
    </r>
    <r>
      <rPr>
        <sz val="11"/>
        <color rgb="FFC00000"/>
        <rFont val="Calibri"/>
        <family val="2"/>
        <scheme val="minor"/>
      </rPr>
      <t>For VR38 there is another TITLE field where we need to enter Title fee.</t>
    </r>
  </si>
  <si>
    <t>AMT</t>
  </si>
  <si>
    <t>Amount of lien. LEAVE BLANK.</t>
  </si>
  <si>
    <t>Wheelchair lift. Sales price of the wheelchair lift is entered to exempt partial taxes.
Amount of wheelchair lift must be noted on the dealer’s invoice to receive this
exemption.  I see in VR38 screen it is there as WHLT instead of WHLF</t>
  </si>
  <si>
    <t>VR30</t>
  </si>
  <si>
    <t>TD</t>
  </si>
  <si>
    <t>Tourism</t>
  </si>
  <si>
    <t>Enter Y if first time issuance of a special plate. For VR38 it is SP/FEE</t>
  </si>
  <si>
    <t>DATATYPE (At Soap Layer end)</t>
  </si>
  <si>
    <r>
      <t xml:space="preserve">Enter Y if mobile home is residential. Leave blank if mobile home is
commercial. In TT38 this field is </t>
    </r>
    <r>
      <rPr>
        <b/>
        <sz val="11"/>
        <color theme="1"/>
        <rFont val="Calibri"/>
        <family val="2"/>
        <scheme val="minor"/>
      </rPr>
      <t>RES.</t>
    </r>
  </si>
  <si>
    <t>RES*</t>
  </si>
  <si>
    <t>Enter Y if mobile home will be used as a residence , otherwise le ave
blank    This filed is same as MANU-HSFE in other transactions.</t>
  </si>
  <si>
    <t>TAX</t>
  </si>
  <si>
    <r>
      <t xml:space="preserve">Can we auto-determine? </t>
    </r>
    <r>
      <rPr>
        <sz val="11"/>
        <rFont val="Calibri"/>
        <family val="2"/>
        <scheme val="minor"/>
      </rPr>
      <t>This Looks like same as INCITY_LIMITS  Inside city limits. Enter Y if domiciled inside the city limits or N if not
domiciled inside city limits. Outside city limits will display as OCL and
inside will display as ICL.</t>
    </r>
  </si>
  <si>
    <t>Onlly show fee if applicable to transaction Miscellaneous fee. Only the $4.00 duplicate registration fee should be entered in
this field.</t>
  </si>
  <si>
    <t>tourism</t>
  </si>
  <si>
    <t>tax</t>
  </si>
  <si>
    <t>There are several different taxes in this, need information about it?</t>
  </si>
  <si>
    <r>
      <t xml:space="preserve">Onlly show fee if applicable to transaction. </t>
    </r>
    <r>
      <rPr>
        <sz val="11"/>
        <color rgb="FFFF0000"/>
        <rFont val="Calibri"/>
        <family val="2"/>
        <scheme val="minor"/>
      </rPr>
      <t>For TT38 there are different fields like ST, RC, EX, ED, PR, MU. Need information about these fields?</t>
    </r>
  </si>
  <si>
    <t>INTEREST</t>
  </si>
  <si>
    <t>interest</t>
  </si>
  <si>
    <t>MORTGAGE</t>
  </si>
  <si>
    <t>LIC FEE</t>
  </si>
  <si>
    <t>licensePlateFees</t>
  </si>
  <si>
    <t>mortgageFees</t>
  </si>
  <si>
    <t>Onlly show fee if applicable to transaction. This is similar to NMG or MTG in other transactions but for TT38 field name is different and there are no NMG or MTG fields.</t>
  </si>
  <si>
    <t>Onlly show fee if applicable to transaction. License plate fee</t>
  </si>
  <si>
    <t>TRANSFER</t>
  </si>
  <si>
    <t>plateTransferFees</t>
  </si>
  <si>
    <t>platePenality</t>
  </si>
  <si>
    <t>PENALITY</t>
  </si>
  <si>
    <t>Onlly show fee if applicable to transaction. Plate penalty if applicable</t>
  </si>
  <si>
    <t>Cash remittance received or amount of check. *Do not put $1.00 to figure fees as this does not work on VR38</t>
  </si>
  <si>
    <t>ROYAL</t>
  </si>
  <si>
    <t>royal</t>
  </si>
  <si>
    <t>Need to ask about this field?</t>
  </si>
  <si>
    <t>EXPEDITED</t>
  </si>
  <si>
    <t>EXPEDITED – Expedited title fee ($10.00)</t>
  </si>
  <si>
    <t>expeditedTitleFees</t>
  </si>
  <si>
    <t>Is this same as Sales tax Interest Rate?</t>
  </si>
  <si>
    <t>tourismVoucher</t>
  </si>
  <si>
    <t>lienAmount</t>
  </si>
  <si>
    <t xml:space="preserve">This doesn't require any proxy field. Because we map values to the fields on teminal base on the purchase type. Ex. If purchase type is Lease then we populate lessee details in 2NM and 2AD etc.. </t>
  </si>
  <si>
    <t>numberOfLiens</t>
  </si>
  <si>
    <t>This goes into FLAGS on the terminal screen based on lien count.</t>
  </si>
  <si>
    <t>odometerBrandObject</t>
  </si>
  <si>
    <t>TBD**</t>
  </si>
  <si>
    <t>2NMIsIndividual</t>
  </si>
  <si>
    <t>Party is Individual or Business?</t>
  </si>
  <si>
    <t>This field is not applicable for Second or Co - Owner</t>
  </si>
  <si>
    <t>LMOD option should be captured here</t>
  </si>
  <si>
    <t>There is no need to put Trade In Vin in state screen.</t>
  </si>
  <si>
    <t>There is no need to put Trade In Plate in state screen.</t>
  </si>
  <si>
    <t>There is no place on the terminal to put second lien holder name</t>
  </si>
  <si>
    <t>There is no place to on the terminal to put second lien holder address</t>
  </si>
  <si>
    <t>There is no place to on the terminal to put second lien holder ZIP</t>
  </si>
  <si>
    <t>There is no place to on the terminal to put second lien holder City</t>
  </si>
  <si>
    <t>There is no place to on the terminal to put second lien holder State</t>
  </si>
  <si>
    <r>
      <t xml:space="preserve">In State screen </t>
    </r>
    <r>
      <rPr>
        <b/>
        <sz val="11"/>
        <rFont val="Calibri"/>
        <family val="2"/>
        <scheme val="minor"/>
      </rPr>
      <t>STK</t>
    </r>
    <r>
      <rPr>
        <sz val="11"/>
        <rFont val="Calibri"/>
        <family val="2"/>
        <scheme val="minor"/>
      </rPr>
      <t xml:space="preserve"> field is there, we don't need to put any value in it</t>
    </r>
  </si>
  <si>
    <t>2NMIsIndividual + LMODName</t>
  </si>
  <si>
    <t>In state screen there is no place for this field</t>
  </si>
  <si>
    <t>String</t>
  </si>
  <si>
    <t>Date</t>
  </si>
  <si>
    <t>Numeric</t>
  </si>
  <si>
    <t>LIPC*</t>
  </si>
  <si>
    <t>Onlly show fee if applicable to transaction
* - In CR82, License penalty credit -- always leave blank.</t>
  </si>
  <si>
    <t>VR11,VR24,VR25,VR35</t>
  </si>
  <si>
    <t>VR11,VR38,VR24,VR25,VR35</t>
  </si>
  <si>
    <t>Display Odometer status list. 0=Actual Mileage,
 1=Mileage exceeds mechanical limits (ME Flag),
 2=Not actual mileage(NM Flag), 3=Exempt by Federal law</t>
  </si>
  <si>
    <t>date2</t>
  </si>
  <si>
    <t>DATE-2</t>
  </si>
  <si>
    <t>Date-1</t>
  </si>
  <si>
    <t>date1</t>
  </si>
  <si>
    <t>DATE-1</t>
  </si>
  <si>
    <t>Position</t>
  </si>
  <si>
    <t>Width</t>
  </si>
  <si>
    <t>HLL API Field Name</t>
  </si>
  <si>
    <t>SOAP Layer Field Name</t>
  </si>
  <si>
    <t>SOAP Layer DataType</t>
  </si>
  <si>
    <t>Business Object Field Name</t>
  </si>
  <si>
    <t>Dictionary Field Name</t>
  </si>
  <si>
    <t>DataBase Column Name</t>
  </si>
  <si>
    <t xml:space="preserve">Business Rule </t>
  </si>
  <si>
    <t>Data Format</t>
  </si>
  <si>
    <t>Comments / Notes</t>
  </si>
  <si>
    <t>TT11</t>
  </si>
  <si>
    <t>Date-2</t>
  </si>
  <si>
    <t>BATCH_NO</t>
  </si>
  <si>
    <t>SEQ-NO</t>
  </si>
  <si>
    <t>Title</t>
  </si>
  <si>
    <t>DL</t>
  </si>
  <si>
    <t>EIN</t>
  </si>
  <si>
    <t>IN_CITYLMTS</t>
  </si>
  <si>
    <t>Flag-1</t>
  </si>
  <si>
    <t>Flag-2</t>
  </si>
  <si>
    <t>Flag-3</t>
  </si>
  <si>
    <t>Flag-4</t>
  </si>
  <si>
    <t>Flag-5</t>
  </si>
  <si>
    <t>Flag-6</t>
  </si>
  <si>
    <t>Flag-7</t>
  </si>
  <si>
    <t>Flag-8</t>
  </si>
  <si>
    <t>Flag-9</t>
  </si>
  <si>
    <t>Flag-10</t>
  </si>
  <si>
    <t>string</t>
  </si>
  <si>
    <t>Date1</t>
  </si>
  <si>
    <t>2-character codes to indicate the flags set against a record. All records must
display a lien flag (CL, 1L, 2L, or 3L).</t>
  </si>
  <si>
    <t>The date a license plate was voluntarily surrendered or the beginning date on a
non-use affidavit.</t>
  </si>
  <si>
    <t>Date2</t>
  </si>
  <si>
    <t>date</t>
  </si>
  <si>
    <t>numeric</t>
  </si>
  <si>
    <t xml:space="preserve">CS is combination of City and State. </t>
  </si>
  <si>
    <t>No longer utilized</t>
  </si>
  <si>
    <t>Renewal Notice is mailed to the owner instead of secondary person.</t>
  </si>
  <si>
    <t>zip</t>
  </si>
  <si>
    <t>only first lien holder name is captured in terminal screen</t>
  </si>
  <si>
    <t>Date that the lien is filed. Enter the latest date on which the file is received in the
office</t>
  </si>
  <si>
    <t>Electronic Lien &amp; Title Code Field. Used when processing a title transaction
(TT11, TT21, TT25, etc.) The code will automatically enter the corresponding lien
holders name and address. You must enter the lien date. An EL (electronic lien)
flag must be set on any computer record processed with an ELT code. The code
will be displayed in the title number field.</t>
  </si>
  <si>
    <t>Handicapped status. HCP = lifelong impairment</t>
  </si>
  <si>
    <t>New or used. Enter N if the applicant purchased the vehicle as new. Enter U if
the vehicle was purchased used.</t>
  </si>
  <si>
    <t>Date acquired. Always enter the date the vehicle was actually acquired. If the
vehicle was purchased on 08/12/95 in Arkansas but was brought into Louisiana
on 11/19/97, you still must enter 081295 as the date acquired. Taxes are not
based on the date entered in this field.</t>
  </si>
  <si>
    <t>Previous Louisiana title number. When you receive message “Check Title
Number”, you will need to type in zeros after alphabet if there are less than 7
characters in the title number. You should not see this message when the current
title was FN or TS.</t>
  </si>
  <si>
    <t>Previous state in which the title was issued.</t>
  </si>
  <si>
    <t>Previous license plate.</t>
  </si>
  <si>
    <t>Expiration date of the previous license plate.</t>
  </si>
  <si>
    <t>Vendor’s compensation. Enter Y on all transactions in which penalty and interest
are not due.</t>
  </si>
  <si>
    <t>Cash remittance received or amount of check.</t>
  </si>
  <si>
    <t>Miscellaneous fee. Only the $4.00 duplicate registration fee should be entered in
this field.</t>
  </si>
  <si>
    <t>Enter Y if first time issuance of a special plate.</t>
  </si>
  <si>
    <t>Rebate amount allowed from a dealer or manufacturer. Must be indicated on the bill
of sale or invoice.</t>
  </si>
  <si>
    <t>License credit. Credit which is allowed on the unused portion of a license plate,
usually when processing a TT22 or TT42.</t>
  </si>
  <si>
    <t>Electronic fund transfer. Each company which transmits funds electronically is
assigned a 3- letter code.</t>
  </si>
  <si>
    <t>Wheelchair lift. Sales price of the wheelchair lift is entered to exempt partial taxes.
Amount of wheelchair lift must be noted on the dealer’s invoice to receive this
exemption.</t>
  </si>
  <si>
    <t>Dealer number. 4-letter code beginning with U (used vehicle dealer) or N (new
vehicle dealer). If dealer number is unavailable enter (space) NA. If out of state
dealer information enter NZAE.</t>
  </si>
  <si>
    <t>TT30</t>
  </si>
  <si>
    <r>
      <t xml:space="preserve">Enter Y if mobile home is residential. Leave blank if mobile home is
commercial. In TT38 field name is changed as </t>
    </r>
    <r>
      <rPr>
        <b/>
        <sz val="11"/>
        <color theme="1"/>
        <rFont val="Calibri"/>
        <family val="2"/>
        <scheme val="minor"/>
      </rPr>
      <t>RES</t>
    </r>
  </si>
  <si>
    <t>TT38</t>
  </si>
  <si>
    <t>ST</t>
  </si>
  <si>
    <t>RC</t>
  </si>
  <si>
    <t>EX</t>
  </si>
  <si>
    <t>ED</t>
  </si>
  <si>
    <t>PR</t>
  </si>
  <si>
    <t>MU</t>
  </si>
  <si>
    <t>TAX PENALTY</t>
  </si>
  <si>
    <t>This is similar to NMG or MTG in other transactions, but for TT38, field name is different and there are no NMG or MTG fields.</t>
  </si>
  <si>
    <t>Only TT38 transaction has this field. License plate fee.</t>
  </si>
  <si>
    <t>Plate transfer fee ($3.00)</t>
  </si>
  <si>
    <t>Plate penalty if applicable</t>
  </si>
  <si>
    <t>Expedited title fee ($10.00)</t>
  </si>
  <si>
    <t>CLR_1</t>
  </si>
  <si>
    <t>CLR_2</t>
  </si>
  <si>
    <t>NME_1</t>
  </si>
  <si>
    <t>NME_2</t>
  </si>
  <si>
    <t>NME_3</t>
  </si>
  <si>
    <t>CS ( Total size 20)</t>
  </si>
  <si>
    <t>CITY</t>
  </si>
  <si>
    <t>STATE</t>
  </si>
  <si>
    <t>2NM_1</t>
  </si>
  <si>
    <t>2NM_2</t>
  </si>
  <si>
    <t>CS ( Total size 19)</t>
  </si>
  <si>
    <t>Vin</t>
  </si>
  <si>
    <t>License plate issued to vehicle. May also show NONE or REMOVED.</t>
  </si>
  <si>
    <t>The current Louisiana title number, dismantle permit number, permit to sell
number, suspense file number, or FOREIGN</t>
  </si>
  <si>
    <t>Vehicle identification number. No special characters (slashes, hyphens,
ampersands, etc.) are allowed.</t>
  </si>
  <si>
    <r>
      <t xml:space="preserve">Make of vehicle. </t>
    </r>
    <r>
      <rPr>
        <b/>
        <sz val="11"/>
        <color theme="1"/>
        <rFont val="Calibri"/>
        <family val="2"/>
        <scheme val="minor"/>
      </rPr>
      <t>Code has to be passed here</t>
    </r>
  </si>
  <si>
    <t>MMYYYY</t>
  </si>
  <si>
    <t>Body style of vehicle, i.e., 2D, 4D, PK, MH, etc.</t>
  </si>
  <si>
    <t>MMDDYY</t>
  </si>
  <si>
    <t>PrimaryColor</t>
  </si>
  <si>
    <t>SecondaryColor</t>
  </si>
  <si>
    <t>CLR field has two places, - - where first one is primary color and second is secondary color (the body color)</t>
  </si>
  <si>
    <t>CLR field has two places, - - where first one is primary color and second is secondary color (roof color)</t>
  </si>
  <si>
    <t>Model year of vehicle.</t>
  </si>
  <si>
    <t>YYYY</t>
  </si>
  <si>
    <t>Louisiana driver’s license number of owner or lessee.</t>
  </si>
  <si>
    <t>OdometerReading</t>
  </si>
  <si>
    <t>ModelOrWeight</t>
  </si>
  <si>
    <t>Model/weight. Enter the model of an auto (3-character code) or the weight of a truck. ORV should be entered for off-road vehicles. If a sports utility vehicle is issued an automobile plate NA must be entered in the model/weight field instead of 6000.</t>
  </si>
  <si>
    <t>Employer identification number must be entered if the owner or lessee is a
company. A joint owner’s Louisiana driver’s license number may be entered.</t>
  </si>
  <si>
    <t>OwnerType</t>
  </si>
  <si>
    <t>int</t>
  </si>
  <si>
    <t>1 = individual
2 = company</t>
  </si>
  <si>
    <t>never have the asterisk in the middle of a name
Second one is for Owner Name</t>
  </si>
  <si>
    <t>HLL API Mapping notes</t>
  </si>
  <si>
    <t>Whatever is entered after
the asterisk will be printed on the next line of the title, never have the asterisk in
the middle of a name. Do not use titles or ranks (Mr., Miss, Dr., Sgt., etc.) as part
of the owner’s name, however if name has a suffix (Jr, II, III, etc.) it must be
entered.</t>
  </si>
  <si>
    <t xml:space="preserve">At postn 405 , if the lmod option is present and value is LESSEE , then send @F2 
If driv lic # / lmod driv lic # length is &lt;=7 then , send @F1
In all other cases send @F2
</t>
  </si>
  <si>
    <t>Width 6 – prefill 0’s</t>
  </si>
  <si>
    <t xml:space="preserve">if both the lmod driv lic # and driver lic is not present , then 
 send @FNODRLIC at position 360 and @F @ position 382
if driv lc # is present and lmod driv lic is missing then
 if the driv lic # length &lt;=7 then send driv lic # @ position 360 and @F @ position 382
 if length &gt; 7 , then send @F at position 360 and driv lic # at postn 382
if driv lc # is missing and lmod driv lic is present then [same rule applicable when lmoddriv lic # is only present / when both values are present]
 if the lmod driv lic # length &lt;=7 then send lmod driv lic # @ position 360 and @F @ position 382
 if length &gt; 7 , then send @F at position 360 and lmod driv lic # at postn 382
</t>
  </si>
  <si>
    <t>JointOwnerName</t>
  </si>
  <si>
    <t>OwnerName</t>
  </si>
  <si>
    <t>Principle residence address if the owner is an individual OR the location of the
business if the owner is a company.</t>
  </si>
  <si>
    <t>Street</t>
  </si>
  <si>
    <t>Odometer reading of vehicle. Must be greater than the previous odometer reading unless an ME or NM flag is set. Do not enter tenths of a mile. Enter NA in this field on trailers. Enter EXEMPT on exempt vehicles.</t>
  </si>
  <si>
    <t>2NM has 2 places to fill (- -).  1 = individual
2 = company</t>
  </si>
  <si>
    <t>Enter the name of the lessee, renter, operator, domicile, or mailto.</t>
  </si>
  <si>
    <t>Second name status. Enter LESSEE/OPERATOR/MAIL-TO/DOMICILE/RENTER</t>
  </si>
  <si>
    <t>LienHolderName</t>
  </si>
  <si>
    <t>LienAmount</t>
  </si>
  <si>
    <t>LienDate</t>
  </si>
  <si>
    <t>Address of the first lienholder</t>
  </si>
  <si>
    <t>zip code of first lienholder.</t>
  </si>
  <si>
    <t>state of the first lienholder.</t>
  </si>
  <si>
    <t>city of first lienholder.</t>
  </si>
  <si>
    <t>NewOrUsed</t>
  </si>
  <si>
    <t>PreviousPlateExpirationDate</t>
  </si>
  <si>
    <t>PreviousLicensePlate</t>
  </si>
  <si>
    <t>DateAcquired</t>
  </si>
  <si>
    <t>HandicappedStatus</t>
  </si>
  <si>
    <t>PrevTitleTransTypeCode</t>
  </si>
  <si>
    <t>PrevTitleTransDate</t>
  </si>
  <si>
    <t>PrevNonTitleTransTypeCode</t>
  </si>
  <si>
    <t>PrevNonTitleTransDate</t>
  </si>
  <si>
    <t>MicroFilmNo</t>
  </si>
  <si>
    <t>SalePrice</t>
  </si>
  <si>
    <t>decimal</t>
  </si>
  <si>
    <t>Taxable value of vehicle. This is the total selling price of vehicle, minus the trade-in allowance and rebate.</t>
  </si>
  <si>
    <t>Remit</t>
  </si>
  <si>
    <t>Citation date must be entered for the collection of penalty when a ticket has been issued.</t>
  </si>
  <si>
    <t>ClassCode</t>
  </si>
  <si>
    <t>Class (type/use) code used to identify the type of vehicle. Computer will automatically enter correct code based on the license plate and special fee code
unless a TT17 is being processed or NONE is displayed in the plate field.</t>
  </si>
  <si>
    <t>Inside city limits. Enter Y if domiciled inside the city limits or N if not domiciled inside city limits. Outside city limits will display as OCL and inside will display as ICL.</t>
  </si>
  <si>
    <t>Tax credit. If taxes were paid in another state that has a reciprocal agreement with Louisiana, enter that state’s 2-character abbreviation.</t>
  </si>
  <si>
    <t>Parish/Municipality Tax – For out of state tax credit when the percentage of taxes owed exceeds the percentage of reciprocal credit allowed. See out of
state tax credit.</t>
  </si>
  <si>
    <t>EmpIdentificationNo</t>
  </si>
  <si>
    <t>TT64</t>
  </si>
  <si>
    <t>TT65</t>
  </si>
  <si>
    <t>StopNo</t>
  </si>
  <si>
    <r>
      <t xml:space="preserve">The number assigned to a personal stop placed by headquarters or the office
number (set internally) in which an NV flag is set.
</t>
    </r>
    <r>
      <rPr>
        <b/>
        <sz val="11"/>
        <color theme="1"/>
        <rFont val="Calibri"/>
        <family val="2"/>
        <scheme val="minor"/>
      </rPr>
      <t>NOT USED CURRENTLY</t>
    </r>
  </si>
  <si>
    <t>DrivingLicenseNo</t>
  </si>
  <si>
    <t>OwnerStatus</t>
  </si>
  <si>
    <t>DealerCode</t>
  </si>
  <si>
    <t>RegExpDate</t>
  </si>
  <si>
    <t>tranasction type - has values like 11</t>
  </si>
  <si>
    <t>EXPIR_DATE</t>
  </si>
  <si>
    <t>TRAN_TYPE</t>
  </si>
  <si>
    <t>TRANS_DATE</t>
  </si>
  <si>
    <t>CS_1</t>
  </si>
  <si>
    <t>CS_2</t>
  </si>
  <si>
    <t>SEC_OWNER_CS_1</t>
  </si>
  <si>
    <t>SEC_OWNER_CS_2</t>
  </si>
  <si>
    <t>SEC_OWNER_ZIP</t>
  </si>
  <si>
    <t>LIEN_ADR</t>
  </si>
  <si>
    <t>LIEN_CS_1</t>
  </si>
  <si>
    <t>LIEN_CS_2</t>
  </si>
  <si>
    <t>P/M TAX</t>
  </si>
  <si>
    <t>TITLE FEES</t>
  </si>
  <si>
    <t>OfficeCode</t>
  </si>
  <si>
    <t>OperatorCode</t>
  </si>
  <si>
    <t>PID</t>
  </si>
  <si>
    <t>COMMENTS_1</t>
  </si>
  <si>
    <t>COMMENTS_2</t>
  </si>
  <si>
    <t>COMMENTS_3</t>
  </si>
  <si>
    <t>LIEN_ZIP</t>
  </si>
  <si>
    <t>TT16</t>
  </si>
  <si>
    <t>TT17</t>
  </si>
  <si>
    <t>X</t>
  </si>
  <si>
    <t>TT19</t>
  </si>
  <si>
    <t>TT21</t>
  </si>
  <si>
    <t>TT22</t>
  </si>
  <si>
    <t>TT24</t>
  </si>
  <si>
    <t>TT25</t>
  </si>
  <si>
    <t>TT26</t>
  </si>
  <si>
    <t>TT28</t>
  </si>
  <si>
    <t>TT29</t>
  </si>
  <si>
    <t>TT31</t>
  </si>
  <si>
    <t>TT32</t>
  </si>
  <si>
    <t>TT33</t>
  </si>
  <si>
    <t>TT34</t>
  </si>
  <si>
    <t>TT35</t>
  </si>
  <si>
    <t>TT37</t>
  </si>
  <si>
    <t>TT41</t>
  </si>
  <si>
    <t>TT42</t>
  </si>
  <si>
    <t>TT44</t>
  </si>
  <si>
    <t>TT51</t>
  </si>
  <si>
    <t>TT57</t>
  </si>
  <si>
    <t>TT58</t>
  </si>
  <si>
    <t>TT59</t>
  </si>
  <si>
    <t>TT60</t>
  </si>
  <si>
    <t>TT61</t>
  </si>
  <si>
    <t>TT62</t>
  </si>
  <si>
    <t>TT91</t>
  </si>
  <si>
    <t>TT92</t>
  </si>
  <si>
    <t>TT93</t>
  </si>
  <si>
    <t>AF80</t>
  </si>
  <si>
    <t>CR82</t>
  </si>
  <si>
    <t>LA</t>
  </si>
  <si>
    <t>VA</t>
  </si>
  <si>
    <t>Input</t>
  </si>
  <si>
    <t>TT11, TT16 ,TT19,TT21, TT22,TT24,TT25, TT29,TT31, TT32, TT33, TT34, TT35, TT41, TT42, TT44, TT57, TT58, TT59, TT60, TT61, TT62, TT64, TT65, TT91, TT92, TT93</t>
  </si>
  <si>
    <t>??</t>
  </si>
  <si>
    <t>Not Displaying</t>
  </si>
  <si>
    <t>TT30, TT37</t>
  </si>
  <si>
    <t>IN-CTY-LMTS</t>
  </si>
  <si>
    <t>WHLT</t>
  </si>
  <si>
    <t>TAX ST</t>
  </si>
  <si>
    <t>MV</t>
  </si>
  <si>
    <t>VC ST</t>
  </si>
  <si>
    <t>TAX PENALITY</t>
  </si>
  <si>
    <t>PENALTY</t>
  </si>
  <si>
    <t>SP/FEE</t>
  </si>
  <si>
    <t>VFPI</t>
  </si>
  <si>
    <t>TranType</t>
  </si>
  <si>
    <t xml:space="preserve">Enter Y if mobile home is residential. </t>
  </si>
  <si>
    <t xml:space="preserve">regTransaction.newVehicle.title.legalparties[0].dmvID(Individual) </t>
  </si>
  <si>
    <t xml:space="preserve">PARTY.DMVID
</t>
  </si>
  <si>
    <t xml:space="preserve">deal.vehicle.ownerlessor.1.dmvidno(Individual) </t>
  </si>
  <si>
    <t>regTransaction.newVehicle.modelObject
regTransaction.newVehicle.registration.grossWeight</t>
  </si>
  <si>
    <t>VEHICLE.MODEL_ID
REGISTRATION.GROSS_WEIGHT</t>
  </si>
  <si>
    <t>deal.vehicle.model
deal.vehicle.grossweight</t>
  </si>
  <si>
    <t>regTransaction.newVehicle.title.legalparties[0].feidNumber(Business)</t>
  </si>
  <si>
    <t>PARTY.FEID_NUMBER</t>
  </si>
  <si>
    <t>deal.vehicle.ownerlessor.1.fedid(Business)</t>
  </si>
  <si>
    <t>PARTY.FIRST_NAME + PARTY.MIDDLE_NAME + PARTY.LAST_NAME + PARTY.SUFFIX
PARTY.NAME</t>
  </si>
  <si>
    <t>deal.vehicle.ownerlessor.1.firstname + deal.vehicle.ownerlessor.1.middlename + deal.vehicle.ownerlessor.1.lastname + deal.vehicle.ownerlessor.1.suffix
deal.vehicle.ownerlessor.1.businessname</t>
  </si>
  <si>
    <t>deal.vehicle.titlenumber</t>
  </si>
  <si>
    <t>TITLE.TITLE_NUMBER</t>
  </si>
  <si>
    <t>regTransaction.newVehicle.title.titlenumber</t>
  </si>
  <si>
    <t>LIEN.LIEN_AMOUNT</t>
  </si>
  <si>
    <t>deal.vehicle.lien.#.lienAmount</t>
  </si>
  <si>
    <t>regTransaction.newVehicle.title.lien.lienAmount</t>
  </si>
  <si>
    <t>regTransaction.newVehicle.title.lien.lienDate</t>
  </si>
  <si>
    <t>LIEN.LIEN_DATE</t>
  </si>
  <si>
    <t>deal.vehicle.lien.#.date</t>
  </si>
  <si>
    <t>deal.vehicle.lien.#.code</t>
  </si>
  <si>
    <t>regTransaction.newVehicle.passengers</t>
  </si>
  <si>
    <t>VEHICLE.PASSENGERS</t>
  </si>
  <si>
    <t>deal.vehicle.passengers</t>
  </si>
  <si>
    <t>deal.citationdate</t>
  </si>
  <si>
    <t>regTransaction.newVehicle.classObject</t>
  </si>
  <si>
    <t>VEHICLE.CLASS_CODE_ID</t>
  </si>
  <si>
    <t>deal.vehicle.class</t>
  </si>
  <si>
    <t>deal.trantype</t>
  </si>
  <si>
    <t>deal.moneycode</t>
  </si>
  <si>
    <t>deal.licensecode</t>
  </si>
  <si>
    <t>regTransaction.oldVehicle.registration.regSticker</t>
  </si>
  <si>
    <t>MANUF-HSE 
 RES</t>
  </si>
  <si>
    <t>WHLF
WHLT</t>
  </si>
  <si>
    <t>IN_CITYLMTS
INT-CTY-LMTS</t>
  </si>
  <si>
    <t>ROYAL - For certain specialty plates, there's a royalty fee that's entered here on a TT38.  It is added automatically on other transaction types.</t>
  </si>
  <si>
    <t xml:space="preserve">KG 11/28:
When a dealer submits (via the internet) evidence to the state that a vehicle was traded to them, the state will place the CO (comment) and VT (vendor trade) flags and enter the name and address of the dealer in the comments.This is done by the state through an automated process (which is why you see the date and “internet” in the comment.) The comment field has a variety of uses, though. For example, we use it regularly (along with a personal stop – PE – flag) to place a comment when a lender has notified us through our ELT vendors that they are not, in fact, a lien holder on the record. We do not remove the lien, as that would have legal repercussions, but rather place a comment with the date the lender notified us, the fact that they hold no interest in the vehicle, and the initials and phone number of the person placing the comment. Any time there is a comment, the CO flag must be set. </t>
  </si>
  <si>
    <t>same as comments_1</t>
  </si>
  <si>
    <t>LIC_FEE</t>
  </si>
  <si>
    <t>DL
DL_FOOTER</t>
  </si>
  <si>
    <t>EIN
EIN_FOOTER</t>
  </si>
  <si>
    <t>INTEREST - This is for the Interest owed on a deal (or the "I" in the commonly referred-to P&amp;L penalties).  This is only an open field on the TT38.</t>
  </si>
  <si>
    <t>TD / TDVC - Tourism and Tourism VC.  User would enter data in these field if applicable (if returned in the CR82 transaciton run prior to the TT38).</t>
  </si>
  <si>
    <t>Tax pentalty</t>
  </si>
  <si>
    <t>transasction type code</t>
  </si>
  <si>
    <t>Operator code</t>
  </si>
  <si>
    <t>DL_FOOTER</t>
  </si>
  <si>
    <t>EIN_FOOTER</t>
  </si>
  <si>
    <t>NME_1_FOOTER</t>
  </si>
  <si>
    <t>NME_1
NME_1_FOOTER</t>
  </si>
  <si>
    <t>EXPIR DATE
EXP DATE</t>
  </si>
  <si>
    <t>PLD</t>
  </si>
  <si>
    <t>PlateExpMMYY</t>
  </si>
  <si>
    <t>TT11,TT16,TT17,TT19,TT21,TT22,TT24,TT25,TT26,TT28,TT29,TT30,TT31,TT32,TT33,TT34,TT35,TT37,TT38,TT41,TT42,TT44,TT51,TT58,TT59,TT60,TT61,TT62,TT64,TT65,TT91,TT92,TT93</t>
  </si>
  <si>
    <t>TT11,TT16,TT19,TT21,TT22,TT24,TT25,TT26,TT28,TT29,TT31,TT32,TT33,TT34,TT35,TT41,TT42,TT44,TT58,TT59,TT60,TT61,TT62,TT64,TT65,TT91,TT92,TT93,CR82</t>
  </si>
  <si>
    <t>TT11,TT16,TT19,TT21,TT22,TT24,TT25,TT26,TT28,TT29,TT31,TT32,TT33,TT34,TT35,TT38,TT41,TT42,TT44,TT58,TT59,TT60,TT61,TT62,TT64,TT65,TT91,TT92,TT93</t>
  </si>
  <si>
    <t>TT11,TT16,TT19,TT21,TT22,TT24,TT25,TT26,TT28,TT29,TT31,TT32,TT33,TT34,TT35,TT38,TT41,TT42,TT44,TT51,TT58,TT59,TT60,TT61,TT62,TT64,TT65,TT91,TT92,TT93,CR82</t>
  </si>
  <si>
    <t>TT30,TT37</t>
  </si>
  <si>
    <t>TT11,TT16,TT19,TT21,TT22,TT24,TT25,TT26,TT28,TT29,TT31,TT32,TT33,TT34,TT35,TT38,TT41,TT42,TT44,TT58,TT59,TT60,TT61,TT62,TT64,TT65,TT91,TT92,TT93,CR82</t>
  </si>
  <si>
    <t>ACTION</t>
  </si>
  <si>
    <t>NAME</t>
  </si>
  <si>
    <t>LA DRIVERS LIC/ID-CARD</t>
  </si>
  <si>
    <t>TAX-ID/OUT OF STATE DR LIC</t>
  </si>
  <si>
    <t>Name</t>
  </si>
  <si>
    <t>Action</t>
  </si>
  <si>
    <t>LADriversLicenseOrIDCard</t>
  </si>
  <si>
    <t>TAXIdOrOOSDRLicense</t>
  </si>
  <si>
    <t>EXD</t>
  </si>
  <si>
    <t>CCC</t>
  </si>
  <si>
    <t>ELT TYPE</t>
  </si>
  <si>
    <t>EltType</t>
  </si>
  <si>
    <t>This can be I,A,M. I - Inquiry, A- Add, M- Modify</t>
  </si>
  <si>
    <t>For ELTR this field in named as ELT CODE</t>
  </si>
  <si>
    <t>ACTIVE</t>
  </si>
  <si>
    <t>Active</t>
  </si>
  <si>
    <t>ELTR</t>
  </si>
  <si>
    <t>For ELTR Inquiry we can use this field for NAME OF LIENHOLDER</t>
  </si>
  <si>
    <t>For ELTR Inquiry we can use this field for MAILING ADDRESS OF LIEN HOLDER</t>
  </si>
  <si>
    <t>For ELTR Inquiry we can use this field for CITY</t>
  </si>
  <si>
    <t>For ELTR Inquiry we can use this field for STATE</t>
  </si>
  <si>
    <t>For ELTR Inquiry we can use this field for ZIP</t>
  </si>
  <si>
    <t>PUBLIC TAG AGENT</t>
  </si>
  <si>
    <t>PTA</t>
  </si>
  <si>
    <t>For ELTR we can use this field for OFFICE NUMBER</t>
  </si>
  <si>
    <t>BEGIN DATE</t>
  </si>
  <si>
    <t>END DATE</t>
  </si>
  <si>
    <t>BeginDate</t>
  </si>
  <si>
    <t>EndDate</t>
  </si>
  <si>
    <t>CCYYMMDD</t>
  </si>
  <si>
    <t>TT11,TT16,TT17,TT19,TT21,TT22,TT24,TT25,TT26,TT28,TT29,TT30,TT31,TT32,TT33,TT34,TT35,TT37,TT38,TT41,TT42,TT44,TT51,TT58,TT59,TT60,TT61,TT62,TT64,TT65,TT91,TT92,TT93,EM</t>
  </si>
  <si>
    <t>DM,EM</t>
  </si>
  <si>
    <t>For DM, EM this field is there as OWN, LSE  in Green screen</t>
  </si>
  <si>
    <t>For DM, EM this field is there as OWN, LSE in Green screen</t>
  </si>
  <si>
    <t>MM-DD-YY</t>
  </si>
  <si>
    <t>TIME</t>
  </si>
  <si>
    <t>Time</t>
  </si>
  <si>
    <t>hhmm</t>
  </si>
  <si>
    <t>DATE OF BIRTH</t>
  </si>
  <si>
    <t>DateOfBirth</t>
  </si>
  <si>
    <t>L,LL</t>
  </si>
  <si>
    <t>RESIDENCE_ADR</t>
  </si>
  <si>
    <t>RESIDENCE_CITY</t>
  </si>
  <si>
    <t>RESIDENCE_STATE</t>
  </si>
  <si>
    <t>RESIDENCE_ZIP</t>
  </si>
  <si>
    <t>Inquiry Type</t>
  </si>
  <si>
    <t>NET_STATE_TAX</t>
  </si>
  <si>
    <t>ST_TXCR</t>
  </si>
  <si>
    <t>NET_P/M_TAX</t>
  </si>
  <si>
    <t>P/M_TX</t>
  </si>
  <si>
    <t>P/M_VEND_COMP</t>
  </si>
  <si>
    <t>GRAND_TOTAL</t>
  </si>
  <si>
    <t>TOTAL_TAX</t>
  </si>
  <si>
    <t>TOTAL_FEES</t>
  </si>
  <si>
    <t>LIEN_FEES</t>
  </si>
  <si>
    <t>OFFICE NUMBER</t>
  </si>
  <si>
    <t>TOTAL</t>
  </si>
  <si>
    <t>PLATE TYPES</t>
  </si>
  <si>
    <t>PlateTypes</t>
  </si>
  <si>
    <t>string list</t>
  </si>
  <si>
    <t>FEE</t>
  </si>
  <si>
    <t>AR74</t>
  </si>
  <si>
    <t>PlateTypeFees</t>
  </si>
  <si>
    <t>numeric list</t>
  </si>
  <si>
    <t>In AR74, the Output lists certain special plates</t>
  </si>
  <si>
    <t xml:space="preserve">In AR74, the Output lists certain special plates and their associated fees </t>
  </si>
  <si>
    <t>TOTAL RECEIPTS</t>
  </si>
  <si>
    <t>DEPOSIT-DATE</t>
  </si>
  <si>
    <t>ADJ OVERRIDE</t>
  </si>
  <si>
    <t>PIV NO</t>
  </si>
  <si>
    <t>JV NO</t>
  </si>
  <si>
    <t>REMITTANCE</t>
  </si>
  <si>
    <t>LISTING NUM</t>
  </si>
  <si>
    <t>Total</t>
  </si>
  <si>
    <t>TotalReceipts</t>
  </si>
  <si>
    <t>DepositDate</t>
  </si>
  <si>
    <t>AdjOverride</t>
  </si>
  <si>
    <t>ListingNum</t>
  </si>
  <si>
    <t>INQUIRY TYPE</t>
  </si>
  <si>
    <t>InquiryType</t>
  </si>
  <si>
    <t>JOINT OWNER NAME</t>
  </si>
  <si>
    <t>EM</t>
  </si>
  <si>
    <t>ELT CODE</t>
  </si>
  <si>
    <t>EltCode</t>
  </si>
  <si>
    <t>NAME OF LIENHOLDER</t>
  </si>
  <si>
    <t>MAILING ADDRESS OF LIENHOLDER</t>
  </si>
  <si>
    <t>ZIP CODE</t>
  </si>
  <si>
    <t>ELTR_A,ELTR_M</t>
  </si>
  <si>
    <t>TRANSMIT HERE</t>
  </si>
  <si>
    <t>DateOfExpiration</t>
  </si>
  <si>
    <t>E</t>
  </si>
  <si>
    <t>AUD NO</t>
  </si>
  <si>
    <t>AuditNumber</t>
  </si>
  <si>
    <t>PRES STATUS</t>
  </si>
  <si>
    <t>PresentStatus</t>
  </si>
  <si>
    <t>ENDR</t>
  </si>
  <si>
    <t>Endorsment</t>
  </si>
  <si>
    <t>Res</t>
  </si>
  <si>
    <t>WLF</t>
  </si>
  <si>
    <t>WildLifeAndFisheryLicenseStatus</t>
  </si>
  <si>
    <t>PrivacyActCompliance</t>
  </si>
  <si>
    <t>CANCELLATION</t>
  </si>
  <si>
    <t>CancellationDate</t>
  </si>
  <si>
    <t>PLATE#</t>
  </si>
  <si>
    <t>PlateNumber</t>
  </si>
  <si>
    <t>REINSTATED</t>
  </si>
  <si>
    <t>ReinstateStatus</t>
  </si>
  <si>
    <t>SSN</t>
  </si>
  <si>
    <t>L, LL</t>
  </si>
  <si>
    <t>LL</t>
  </si>
  <si>
    <t>LM</t>
  </si>
  <si>
    <t>EXPIRY YEAR</t>
  </si>
  <si>
    <t>CUST#1</t>
  </si>
  <si>
    <t>CUST#2</t>
  </si>
  <si>
    <t>CustomerNumber1</t>
  </si>
  <si>
    <t>CustomerNumber2</t>
  </si>
  <si>
    <t>DTE</t>
  </si>
  <si>
    <t>TDA</t>
  </si>
  <si>
    <t>TDB</t>
  </si>
  <si>
    <t>COM ORI</t>
  </si>
  <si>
    <t>COM OCA</t>
  </si>
  <si>
    <t>PivNumber</t>
  </si>
  <si>
    <t>JVNumber</t>
  </si>
  <si>
    <t>AR74,L, LL</t>
  </si>
  <si>
    <t>VM</t>
  </si>
  <si>
    <t>DUP VIN</t>
  </si>
  <si>
    <t>DM,EM,LM,VM</t>
  </si>
  <si>
    <t>DM,EM,L,LL,LM,VM</t>
  </si>
  <si>
    <t>LM,VM</t>
  </si>
  <si>
    <t>L, LL,LM,VM</t>
  </si>
  <si>
    <t>DuplicateVin</t>
  </si>
  <si>
    <t>LAST DUP VIN</t>
  </si>
  <si>
    <t>LastDuplicateVin</t>
  </si>
  <si>
    <t>MVRI01</t>
  </si>
  <si>
    <t>DEALER LICENSE NUMBER</t>
  </si>
  <si>
    <t>DealerLicenseNumber</t>
  </si>
  <si>
    <t>DEALSHIP NAME</t>
  </si>
  <si>
    <t>DealerShipName</t>
  </si>
  <si>
    <t>PHONE NUMBER</t>
  </si>
  <si>
    <t>PhoneNumber</t>
  </si>
  <si>
    <t>OWN_1 [DM]
LSE_1 [EM]
NME_1 [LM]</t>
  </si>
  <si>
    <t>OWN_2 [DM]
LSE_2 [EM]
NME_2 [LM]</t>
  </si>
  <si>
    <t>MAIL_ADR [L,LL]
MAILING ADDRESS [MVRI01]</t>
  </si>
  <si>
    <t>ADR
BUSINESS ADDRESS [MVRI01]</t>
  </si>
  <si>
    <t>L,LL,MVRI01</t>
  </si>
  <si>
    <t>MAIL_CITY
CITY [MVRI01]</t>
  </si>
  <si>
    <t>MAIL_STATE
STATE [MVRI01]</t>
  </si>
  <si>
    <t>MAIL_ZIP
ZIP CODE [MVRI01]</t>
  </si>
  <si>
    <t>TYPE OF BUSINESS</t>
  </si>
  <si>
    <t>TypeOfBusiness</t>
  </si>
  <si>
    <t>TYPE OF BUSINESS SELECTION</t>
  </si>
  <si>
    <t>TypeOfBusinessSelection</t>
  </si>
  <si>
    <t>boolean list</t>
  </si>
  <si>
    <t>Vin_Input</t>
  </si>
  <si>
    <t>OperatorCode_Input</t>
  </si>
  <si>
    <t>ClassCode_Input</t>
  </si>
  <si>
    <t>Not Required</t>
  </si>
  <si>
    <t>ModelYear_Input</t>
  </si>
  <si>
    <t>ELTCode_Input</t>
  </si>
  <si>
    <t xml:space="preserve">DL
</t>
  </si>
  <si>
    <t xml:space="preserve">EIN
</t>
  </si>
  <si>
    <t>OFFICE CODE</t>
  </si>
  <si>
    <t>OPERATOR CODE</t>
  </si>
  <si>
    <t>Plate_Input</t>
  </si>
  <si>
    <t>2DigitYear_Input</t>
  </si>
  <si>
    <t>MMDDYYYY</t>
  </si>
  <si>
    <t>Initial fee needed for the issuance of certain special plates.
This is Y/N field to indicate whether or not an Initial Fee (for the plate) applies to the transaction.  The possible values are "Y" or "N".</t>
  </si>
  <si>
    <t>Owner Driver lic #</t>
  </si>
  <si>
    <t>SP_LIC_FIRSTTIME_FEE</t>
  </si>
  <si>
    <t>Represented as Sequence no in the output screen</t>
  </si>
  <si>
    <t>TT24,TT44</t>
  </si>
  <si>
    <t>TT24,TT42</t>
  </si>
  <si>
    <t>TT51,TT59</t>
  </si>
  <si>
    <t>AutoGenerated by DMV , no need to map from the SOAP layer input</t>
  </si>
  <si>
    <t>LA_REGTRANSACTION.TRANTYPE</t>
  </si>
  <si>
    <t>LA_REGTRANSACTION.LICENSE_CODE</t>
  </si>
  <si>
    <t>LA_REGTRANSACTION.MONEY_CODE</t>
  </si>
  <si>
    <t>LA_REGTRANSACTION.CITATION_DATE</t>
  </si>
  <si>
    <t>stRegTransaction.tranType</t>
  </si>
  <si>
    <t>stRegTransaction.vendorCompensation</t>
  </si>
  <si>
    <t>stRegTransaction.moneyCode</t>
  </si>
  <si>
    <t>stRegTransaction.citationDate</t>
  </si>
  <si>
    <t>deal.vehicle.ownerlessor.1.residentialaddress.street1</t>
  </si>
  <si>
    <t>deal.vehicle.ownerlessor.1.residentialaddress.city</t>
  </si>
  <si>
    <t>deal.vehicle.ownerlessor.1.residentialaddresss.state</t>
  </si>
  <si>
    <t>deal.vehicle.ownerlessor.1.residentialaddress.zip</t>
  </si>
  <si>
    <t>regTransaction.newVehicle.title.legalparties[0].birthDate  (Individual)</t>
  </si>
  <si>
    <t>PARTY.BIRTH_DATE</t>
  </si>
  <si>
    <t>deal.vehicle.ownerlessor.1.dateofbirth</t>
  </si>
  <si>
    <t>LA_TITLE.MICRO_FILM_NUMBER</t>
  </si>
  <si>
    <t>deal.vehicle.microfilmnumber</t>
  </si>
  <si>
    <t>MVLL,MVVL</t>
  </si>
  <si>
    <t>LIEN2</t>
  </si>
  <si>
    <t>SecondLienHolderName</t>
  </si>
  <si>
    <t>LIEN2-AMT</t>
  </si>
  <si>
    <t>SecondLienAmount</t>
  </si>
  <si>
    <t>LIEN2-DATE</t>
  </si>
  <si>
    <t>SecondLienDate</t>
  </si>
  <si>
    <t>LIEN2_ADR</t>
  </si>
  <si>
    <t>SecondLienStreet</t>
  </si>
  <si>
    <t>LIEN2_CS_1</t>
  </si>
  <si>
    <t>SecondLienCity</t>
  </si>
  <si>
    <t>LIEN2_CS_2</t>
  </si>
  <si>
    <t>SecondLienState</t>
  </si>
  <si>
    <t>LIEN2_ZIP</t>
  </si>
  <si>
    <t>LIEN3</t>
  </si>
  <si>
    <t>ThirdLienHolderName</t>
  </si>
  <si>
    <t>LIEN3-AMT</t>
  </si>
  <si>
    <t>ThirdLienAmount</t>
  </si>
  <si>
    <t>LIEN3-DATE</t>
  </si>
  <si>
    <t>ThirdLienDate</t>
  </si>
  <si>
    <t>LIEN3_ADR</t>
  </si>
  <si>
    <t>ThirdLienStreet</t>
  </si>
  <si>
    <t>LIEN3_CS_1</t>
  </si>
  <si>
    <t>ThirdLienCity</t>
  </si>
  <si>
    <t>LIEN3_CS_2</t>
  </si>
  <si>
    <t>ThirdLienState</t>
  </si>
  <si>
    <t>LIEN3_ZIP</t>
  </si>
  <si>
    <t>N,NS</t>
  </si>
  <si>
    <t>LAST NAME</t>
  </si>
  <si>
    <t>LastName</t>
  </si>
  <si>
    <t>FIRST NAME</t>
  </si>
  <si>
    <t>FirstName</t>
  </si>
  <si>
    <t>MIDDLE NAME</t>
  </si>
  <si>
    <t>MiddleName</t>
  </si>
  <si>
    <t>EYES</t>
  </si>
  <si>
    <t>EyeColor</t>
  </si>
  <si>
    <t>LM,MVLL</t>
  </si>
  <si>
    <t>Last 2 digits of the expiration year
RegExpiration Year full[MVLL]</t>
  </si>
  <si>
    <t>VM,MVVL</t>
  </si>
  <si>
    <t>N,NS,W,WS</t>
  </si>
  <si>
    <t>W,WS</t>
  </si>
  <si>
    <t>COMPANY NAME</t>
  </si>
  <si>
    <t>CompanyName</t>
  </si>
  <si>
    <t>NO-OF-COPIES</t>
  </si>
  <si>
    <t>LA,VA</t>
  </si>
  <si>
    <r>
      <t xml:space="preserve">Expiration date of license plate. </t>
    </r>
    <r>
      <rPr>
        <b/>
        <sz val="11"/>
        <color theme="1"/>
        <rFont val="Calibri"/>
        <family val="2"/>
        <scheme val="minor"/>
      </rPr>
      <t xml:space="preserve">Must consist of a 2-digit month code and a 4-digit
year code, i.e., 012002. </t>
    </r>
    <r>
      <rPr>
        <sz val="11"/>
        <color theme="1"/>
        <rFont val="Calibri"/>
        <family val="2"/>
        <scheme val="minor"/>
      </rPr>
      <t>No expiration date should be entered if NONE or
REMOVED is displayed in the license plate field. The expiration date of a leased
vehicle should be the same as the month the lease was signed. A vehicle leased
in December should be issued a December sticker.
For LA or VA only 2 digit expiration year has to be entered.</t>
    </r>
  </si>
  <si>
    <t>TT11,TT25</t>
  </si>
  <si>
    <t>USE_TYPE</t>
  </si>
  <si>
    <t>the breakdown of taxes and vendor’s comp – the team is not allowed to have access to these fields – they are calculated on the backend from OMV.  Team only has access to ST, PR, MU fields.</t>
  </si>
  <si>
    <t>parish tax</t>
  </si>
  <si>
    <t>municipality tax</t>
  </si>
  <si>
    <t>VFPI in TT51 - the team is unsure on the definition of this field and are unable to access this field (we do not need to include in request).</t>
  </si>
  <si>
    <t>LIC_OR_VIN_NO</t>
  </si>
  <si>
    <t>LICYR_OR_DUP_VIN_NO</t>
  </si>
  <si>
    <t xml:space="preserve"> On the LA screen, you are processing the transaction by the plate, therefore the digit year of expiration is entered in License-YR or Dup-Vin No – EX:  If I process by plate ABC123 I would need to enter 18 because the plate expires 08/2018.  The DUP-VIN NO is used when processing a VA instead of the 2 digit expiration date of the plate because we are entering the VIN # in the field License-No or VIN- No.  On VA this field is left blank mostly because DUP VIN record is not very common and only happens on trailers but if there was a DUP VIN then we would put 01 or 02 if based off what record we need to print a registration for.</t>
  </si>
  <si>
    <t xml:space="preserve"> printer sequence number. In other words, the sequence of the particular registration being reprinted.</t>
  </si>
  <si>
    <t>Title - Title fee </t>
  </si>
  <si>
    <t>ST - State Tax (use if state tax needs to collected or can be left blank for certain transactions).</t>
  </si>
  <si>
    <t>x</t>
  </si>
  <si>
    <t xml:space="preserve"> </t>
  </si>
  <si>
    <t xml:space="preserve">L [SS# Number not shown],
</t>
  </si>
  <si>
    <t>LL ,
DM, EM</t>
  </si>
  <si>
    <t>MVLL</t>
  </si>
  <si>
    <t>LA   [ Through plate]</t>
  </si>
  <si>
    <t>VA [ Through VIN]</t>
  </si>
  <si>
    <t>MONEY-CODE</t>
  </si>
  <si>
    <t>1</t>
  </si>
  <si>
    <t>7</t>
  </si>
  <si>
    <t>87</t>
  </si>
  <si>
    <t>90</t>
  </si>
  <si>
    <t>93</t>
  </si>
  <si>
    <t>124</t>
  </si>
  <si>
    <t>138</t>
  </si>
  <si>
    <t>173</t>
  </si>
  <si>
    <t>191</t>
  </si>
  <si>
    <t>200</t>
  </si>
  <si>
    <t>213</t>
  </si>
  <si>
    <t>229</t>
  </si>
  <si>
    <t>245</t>
  </si>
  <si>
    <t>270</t>
  </si>
  <si>
    <t>279</t>
  </si>
  <si>
    <t>299</t>
  </si>
  <si>
    <t>309</t>
  </si>
  <si>
    <t>324</t>
  </si>
  <si>
    <t>331</t>
  </si>
  <si>
    <t>335</t>
  </si>
  <si>
    <t>342</t>
  </si>
  <si>
    <t>350</t>
  </si>
  <si>
    <t>360</t>
  </si>
  <si>
    <t>373</t>
  </si>
  <si>
    <t>384</t>
  </si>
  <si>
    <t>405</t>
  </si>
  <si>
    <t>407</t>
  </si>
  <si>
    <t>438</t>
  </si>
  <si>
    <t>485</t>
  </si>
  <si>
    <t>514</t>
  </si>
  <si>
    <t>539</t>
  </si>
  <si>
    <t>565</t>
  </si>
  <si>
    <t>567</t>
  </si>
  <si>
    <t>603</t>
  </si>
  <si>
    <t>616</t>
  </si>
  <si>
    <t>645</t>
  </si>
  <si>
    <t>674</t>
  </si>
  <si>
    <t>699</t>
  </si>
  <si>
    <t>727</t>
  </si>
  <si>
    <t>760</t>
  </si>
  <si>
    <t>777</t>
  </si>
  <si>
    <t>805</t>
  </si>
  <si>
    <t>835</t>
  </si>
  <si>
    <t>859</t>
  </si>
  <si>
    <t>870</t>
  </si>
  <si>
    <t>885</t>
  </si>
  <si>
    <t>891</t>
  </si>
  <si>
    <t>902</t>
  </si>
  <si>
    <t>915</t>
  </si>
  <si>
    <t>922</t>
  </si>
  <si>
    <t>940</t>
  </si>
  <si>
    <t>950</t>
  </si>
  <si>
    <t>965</t>
  </si>
  <si>
    <t>972</t>
  </si>
  <si>
    <t>983</t>
  </si>
  <si>
    <t>990</t>
  </si>
  <si>
    <t>1000</t>
  </si>
  <si>
    <t>1014</t>
  </si>
  <si>
    <t>1020</t>
  </si>
  <si>
    <t>ELTR [ I  ' Inquiry ']</t>
  </si>
  <si>
    <t>ELTR [ A,  ' Add  '
    M ' Modify' ]</t>
  </si>
  <si>
    <t>PaymentMode</t>
  </si>
  <si>
    <t>Inquiry_type</t>
  </si>
  <si>
    <t>DM,EM, LM,VM</t>
  </si>
  <si>
    <t>OWN_1</t>
  </si>
  <si>
    <t xml:space="preserve">OWN_2 </t>
  </si>
  <si>
    <t xml:space="preserve">VM / LM </t>
  </si>
  <si>
    <t>DOB</t>
  </si>
  <si>
    <t>OWNER TYPE</t>
  </si>
  <si>
    <t>stRegTransaction.batchno</t>
  </si>
  <si>
    <t>LA_REGTRANSACTION.BATCH_NO</t>
  </si>
  <si>
    <t>deal.batchno</t>
  </si>
  <si>
    <t>stRegTransaction.seqno</t>
  </si>
  <si>
    <t>LA_REGTRANSACTION.SEQ_NO</t>
  </si>
  <si>
    <t>deal.seqno</t>
  </si>
  <si>
    <t>regTransaction.newVehicle.title.lien.2.lienAmount</t>
  </si>
  <si>
    <t>deal.vehicle.lien.2.lienAmount</t>
  </si>
  <si>
    <t>regTransaction.newVehicle.title.lien.2.lienDate</t>
  </si>
  <si>
    <t>deal.vehicle.lien.2.date</t>
  </si>
  <si>
    <t>regTransaction.newVehicle.title.lien.3.lienHolder.businessName (Business)</t>
  </si>
  <si>
    <t>deal.vehicle.lien.3.lienholder.businessname</t>
  </si>
  <si>
    <t>regTransaction.newVehicle.title.lien.3.lienAmount</t>
  </si>
  <si>
    <t>deal.vehicle.lien.3.lienAmount</t>
  </si>
  <si>
    <t>regTransaction.newVehicle.title.lien.3.lienDate</t>
  </si>
  <si>
    <t>deal.vehicle.lien.3.date</t>
  </si>
  <si>
    <t>regTransaction.newVehicle.title.lien.3.lienHolder.address.street1</t>
  </si>
  <si>
    <t>deal.vehicle.lien.3.lienholder.mailingaddress.street1</t>
  </si>
  <si>
    <t>regTransaction.newVehicle.title.lien.3.lienHolder.address.city</t>
  </si>
  <si>
    <t>deal.vehicle.lien.3.lienholder.mailingaddress.city</t>
  </si>
  <si>
    <t>regTransaction.newVehicle.title.lien.3.lienHolder.address.state</t>
  </si>
  <si>
    <t>deal.vehicle.lien.3.lienholder.mailingaddress.state</t>
  </si>
  <si>
    <t>regTransaction.newVehicle.title.lien.3.lienHolder.address.zipCode</t>
  </si>
  <si>
    <t>deal.vehicle.lien.3.lienholder.mailingaddress.zip</t>
  </si>
  <si>
    <t>L,LL,N,NS</t>
  </si>
  <si>
    <t>LA_REGISTRATION.BEGIN_SEQ_NO
LA_REGISTRATION.END_SEQ_NO</t>
  </si>
  <si>
    <t>deal.vehicle.beginseqno
deal.vehicle.endseqno</t>
  </si>
  <si>
    <t>stRegTransaction.pid</t>
  </si>
  <si>
    <t>LA_REGTRANSACTION.PID</t>
  </si>
  <si>
    <t>deal.pid</t>
  </si>
  <si>
    <t>regTransaction.totalFeesCollected</t>
  </si>
  <si>
    <t>stRegTransaction.disc</t>
  </si>
  <si>
    <t>LA_REGTRANSACTION.DISC</t>
  </si>
  <si>
    <t>deal.disc</t>
  </si>
  <si>
    <t>stRegTransaction.paymentMode</t>
  </si>
  <si>
    <t>LA_REGTRANSACTION.PAYMENT_MODE</t>
  </si>
  <si>
    <t>deal.paymentmode</t>
  </si>
  <si>
    <t>stRegTransaction.inquiryType</t>
  </si>
  <si>
    <t>stRegTransaction.eltType</t>
  </si>
  <si>
    <t>LA_REGTRANSACTION.INQUIRY_TYPE</t>
  </si>
  <si>
    <t>deal.inquirytype</t>
  </si>
  <si>
    <t>deal.elttype</t>
  </si>
  <si>
    <t>LA_REGTRANSACTION.ELT_TYPE</t>
  </si>
  <si>
    <t>regTransaction.newVehicle.title.legalparties[0].custSSN  (Individual)</t>
  </si>
  <si>
    <t>PARTY.CUSTOMER_SSN</t>
  </si>
  <si>
    <t>deal.vehicle.ownerlessor.1.ssn</t>
  </si>
  <si>
    <t>regTransaction.TranInquiryParameters.inquiryValue</t>
  </si>
  <si>
    <t>TRANS_INQUIRY_PARAMETERS.INQUIRY_VALUE</t>
  </si>
  <si>
    <t>deal.inquiryparameters.inquiryvalue</t>
  </si>
  <si>
    <t>regTransaction.newVehicle.title.legalparties[0].firstName  (Individual)</t>
  </si>
  <si>
    <t>PARTY.FIRST_NAME</t>
  </si>
  <si>
    <t>PARTY.LAST_NAME</t>
  </si>
  <si>
    <t>deal.vehicle.ownerlessor.1.firstname</t>
  </si>
  <si>
    <t>deal.vehicle.ownerlessor.1.lastname</t>
  </si>
  <si>
    <t>regTransaction.newVehicle.manufacturedHomeResidence(STVehicle)</t>
  </si>
  <si>
    <t>stRegTransaction.licenseCode</t>
  </si>
  <si>
    <t>PID in the output screen is the typist's terminal PID</t>
  </si>
  <si>
    <t>Use type coincides with the license class code and relates to the license plate being issued to the vehicle. </t>
  </si>
  <si>
    <t>P/M_PENALTY_CRED</t>
  </si>
  <si>
    <t>P/M_OOS_TX_CREDIT</t>
  </si>
  <si>
    <t>State tax penalty</t>
  </si>
  <si>
    <t>TAX_PENALTY</t>
  </si>
  <si>
    <t>State Interest</t>
  </si>
  <si>
    <t>2-character codes to indicate the flags set against a record. All records must
display a lien flag (CL, 1L, 2L, or 3L).
https://fuel.coxautoinc.com/docs/DOC-140030</t>
  </si>
  <si>
    <t>VC_IND</t>
  </si>
  <si>
    <t>VC_VALUE</t>
  </si>
  <si>
    <t>ST_PENALTY_CREDIT</t>
  </si>
  <si>
    <t>state penalty credit</t>
  </si>
  <si>
    <t>P/M_TAX_PENALTY</t>
  </si>
  <si>
    <t>P/M_INTEREST</t>
  </si>
  <si>
    <t>MMYY</t>
  </si>
  <si>
    <t>plate expiry in MMYY format</t>
  </si>
  <si>
    <t>TT11,TT21,TT25</t>
  </si>
  <si>
    <t>TITLE-FEE</t>
  </si>
  <si>
    <t>AR74,ELTR,LM,VM</t>
  </si>
  <si>
    <t>OFFICE NUMBER
OFF [LM,VM]</t>
  </si>
  <si>
    <t>TITLE_FEES</t>
  </si>
  <si>
    <t>Previous date to validate monies</t>
  </si>
  <si>
    <t>stRegTransaction.stopNo</t>
  </si>
  <si>
    <t>LA_REGTRANSACTION.STOP_NO</t>
  </si>
  <si>
    <t>deal.stopno</t>
  </si>
  <si>
    <t>deal.ori</t>
  </si>
  <si>
    <t>deal.oca</t>
  </si>
  <si>
    <t>LA_REGTRANSACTION.ORI</t>
  </si>
  <si>
    <t>LA_REGTRANSACTION.OCA</t>
  </si>
  <si>
    <t>stRegTransaction.ori</t>
  </si>
  <si>
    <t>stRegTransaction.oca</t>
  </si>
  <si>
    <t>VEHICLE.VIN
INV.INV_SEQUENCE_NUMBER USING DSCR</t>
  </si>
  <si>
    <t>deal.vehicle.vin
deal.vehcle.platenumber</t>
  </si>
  <si>
    <t>regTransaction.newVehicle.vin
regTransaction.newVehicle.registration.plate.plateNumber</t>
  </si>
  <si>
    <t>LA_REGISTRATION.REG_EXP_YEAR</t>
  </si>
  <si>
    <t>deal.vehicle.regexpyear</t>
  </si>
  <si>
    <t>regTransaction.dateFinalized</t>
  </si>
  <si>
    <t>REGTRANSACTION.DATE_FINALIZED</t>
  </si>
  <si>
    <t>deal.datefinalized</t>
  </si>
  <si>
    <t>regTransaction.newVehicle.useType(STVehicle)</t>
  </si>
  <si>
    <t>LA_VEHICLE.USE_TYPE</t>
  </si>
  <si>
    <t>deal.vehicle.usetype</t>
  </si>
  <si>
    <t>regTransaction.dateProcessed</t>
  </si>
  <si>
    <t>REGTRANSACTION.DATE_PROCESSED</t>
  </si>
  <si>
    <t>deal.dateprocessed</t>
  </si>
  <si>
    <t>LA_TITLE.PUBLIC_TAG_AGENT</t>
  </si>
  <si>
    <t>deal.vehicle.publictagagent</t>
  </si>
  <si>
    <t>LA_REGISTRATION.PLATE_TYPES_LIST</t>
  </si>
  <si>
    <t>deal.vehicle.platetypeslist</t>
  </si>
  <si>
    <t>stRegTransaction.depositDate</t>
  </si>
  <si>
    <t>LA_REGTRANSACTION.DEPOSIT_DATE</t>
  </si>
  <si>
    <t>deal.depositdate</t>
  </si>
  <si>
    <t>stRegTransaction.processedTime</t>
  </si>
  <si>
    <t>LA_REGTRANSACTION.PROCESSED_TIME</t>
  </si>
  <si>
    <t>deal.processedtime</t>
  </si>
  <si>
    <t>stRegTransaction.auditNumber</t>
  </si>
  <si>
    <t>LA_REGTRANSACTION.AUDIT_NUMBER</t>
  </si>
  <si>
    <t>deal.auditnumber</t>
  </si>
  <si>
    <t>stRegTransaction.presentStatus</t>
  </si>
  <si>
    <t>LA_REGTRANSACTION.PRESENT_STATUS</t>
  </si>
  <si>
    <t>deal.presentstatus</t>
  </si>
  <si>
    <t>stRegTransaction.endorsment</t>
  </si>
  <si>
    <t>LA_REGTRANSACTION.ENDORSMENT</t>
  </si>
  <si>
    <t>deal.endorsment</t>
  </si>
  <si>
    <t>stRegTransaction.WLFLicenseStatus</t>
  </si>
  <si>
    <t>LA_REGTRANSACTION.WLF_LICENSE_STATUS</t>
  </si>
  <si>
    <t>deal.wlflicensestatus</t>
  </si>
  <si>
    <t>stRegTransaction.cancellationDate</t>
  </si>
  <si>
    <t>LA_REGTRANSACTION.CANCELLATION_DATE</t>
  </si>
  <si>
    <t>deal.cancellationdate</t>
  </si>
  <si>
    <t>stRegTransaction.reinstateStatus</t>
  </si>
  <si>
    <t>LA_REGTRANSACTION.REINSTATE_STATUS</t>
  </si>
  <si>
    <t>deal.reinstatestatus</t>
  </si>
  <si>
    <t>regTransactipon.newVehicle.duplicateVin(STVEHICLE)</t>
  </si>
  <si>
    <t>LA_VEHICLE.DUPLICATE_VIN</t>
  </si>
  <si>
    <t>deal.vehicle.duplicatevin</t>
  </si>
  <si>
    <t>regTransactipon.newVehicle.lastDuplicateVin(STVEHICLE)</t>
  </si>
  <si>
    <t>LA_VEHICLE.LAST_DUPLICATE_VIN</t>
  </si>
  <si>
    <t>deal.vehicle.lastduplicatevin</t>
  </si>
  <si>
    <t xml:space="preserve">regTransaction.newVehicle.title.legalparties[0].firstName  (Individual) + regTransaction.newVehicle.title.legalparties[0].middleName (Individual) + regTransaction.newVehicle.title.legalparties[0].lastName (Individual) + regTransaction.newVehicle.title.legalparties[0].suffix (Individual)
regTransaction.newVehicle.title.legalparties[0].businessName  (Business) </t>
  </si>
  <si>
    <t>regTransaction.newVehicle.title.legalparties[0].middleName (Individual)</t>
  </si>
  <si>
    <t>regTransaction.newVehicle.title.legalparties[0].lastName (Individual)</t>
  </si>
  <si>
    <t xml:space="preserve"> PARTY.MIDDLE_NAME</t>
  </si>
  <si>
    <t>deal.vehicle.ownerlessor.1.middlename</t>
  </si>
  <si>
    <t xml:space="preserve">deal.vehicle.ownerlessor.1.lastname </t>
  </si>
  <si>
    <t xml:space="preserve">regTransaction.newVehicle.title.legalparties[0].businessName  (Business) </t>
  </si>
  <si>
    <t xml:space="preserve">regTransaction.newVehicle.title.legalparties[0].firstName  (Individual) + regTransaction.newVehicle.title.legalparties[0].middleName (Individual) + regTransaction.newVehicle.title.legalparties[0].lastName (Individual) +regTransaction.newVehicle.title.legalparties[0].suffix (Individual)
regTransaction.newVehicle.title.legalparties[0].businessName  (Business) </t>
  </si>
  <si>
    <t>regTransaction.newVehicle.title.lien.1.lienHolder.status</t>
  </si>
  <si>
    <t>PARTY.STATUS</t>
  </si>
  <si>
    <t>deal.vehicle.lien.1.lienholder.status</t>
  </si>
  <si>
    <t>regTransaction.newVehicle.title.legalparties[0].gender  (Individual)</t>
  </si>
  <si>
    <t>PARTY.GENDER</t>
  </si>
  <si>
    <t>deal.vehicle.ownerlessor.1.gender</t>
  </si>
  <si>
    <t>regTransaction.newVehicle.title.legalparties[0].eyeColorObject  (Individual)</t>
  </si>
  <si>
    <t>PARTY.EYE_COLOR</t>
  </si>
  <si>
    <t>deal.vehicle.ownerlessor.1.eyecolor</t>
  </si>
  <si>
    <t>WEIGHT</t>
  </si>
  <si>
    <t>HEIGHT</t>
  </si>
  <si>
    <t>Height</t>
  </si>
  <si>
    <t>TRANSACTION STATUS</t>
  </si>
  <si>
    <t>TransactionStatus</t>
  </si>
  <si>
    <t>DOE
DATE OF EXPIRATION [N,NS]</t>
  </si>
  <si>
    <t>stRegTransaction.operatorCode</t>
  </si>
  <si>
    <t>LA_REGTRANSACTION.OPERATOR_CODE</t>
  </si>
  <si>
    <t>deal.operatorcode</t>
  </si>
  <si>
    <t>regTransaction.newVehicle.registration.expirationDate
regTransactipon.newVehicle.duplicateVin(STVEHICLE)</t>
  </si>
  <si>
    <t>REGISTRATION.EXPIRATION_DAT
LA_VEHICLE.DUPLICATE_VIN</t>
  </si>
  <si>
    <t>deal.vehicle.regexpiration
deal.vehicle.duplicatevin</t>
  </si>
  <si>
    <t>regTransaction.newVehicle.title.legalparties[1].partyType(Sale)
regTransaction.newVehicle.registration.legalparties[0].partyType(Lease)</t>
  </si>
  <si>
    <t>deal.vehicle.ownerlessor.2.isindividual(Sale)
deal.vehicle.lessee.1.isindividual(Lease)</t>
  </si>
  <si>
    <t>regTransaction.newVehicle.title.legalparties[1].firstName  (Individual) (Sale)+ regTransaction.newVehicle.title.legalparties[1].middleName (Individual) (Sale)+ regTransaction.newVehicle.title.legalparties[1].lastName (Individual) (Sale)+ regTransaction.newVehicle.title.legalparties[1].suffix (Individual)(Sale)
regTransaction.newVehicle.title.legalparties[1].businessName  (Business)(Sale)
regTransaction.newVehicle.registration.legalparties[0].firstName  (Individual)(Lease) + regTransaction.newVehicle.registration.legalparties[0].middleName (Individual)(Lease) + regTransaction.newVehicle.registration.legalparties[0].lastName (Individual) (Lease)+ regTransaction.newVehicle.registration.legalparties[0].suffix (Individual)(Lease)
regTransaction.newVehicle.registration.legalparties[0].businessName  (Business)(Lease)</t>
  </si>
  <si>
    <t xml:space="preserve">deal.vehicle.ownerlessor.2.firstname (Sale)+ deal.vehicle.ownerlessor.2.middlename (Sale)+ deal.vehicle.ownerlessor.2.lastname (Sale)+ deal.vehicle.ownerlessor.2.suffix(Sale)
deal.vehicle.ownerlessor.2.businessname(Sale)
deal.vehicle.lessee.1.firstname (Lease)+ deal.vehicle.lessee.1.middlename(Lease) + deal.vehicle.lessee.1.lastname(Lease) + deal.vehicle.lessee.1.suffix(Lease)
deal.vehicle.lessee.1.businessname(Lease)
</t>
  </si>
  <si>
    <t>regTransaction.newVehicle.title.legalparties[1].addresses[0].street1(Sale)
regTransaction.newVehicle.registration.legalparties[0].addresses[0].street1(Lease)</t>
  </si>
  <si>
    <t>deal.vehicle.ownerlessor.2.mailingaddress.street1(Sale)
deal.vehicle.lessee.1.mailingaddress.street1(Lease)</t>
  </si>
  <si>
    <t>regTransaction.newVehicle.title.legalparties[1].addresses[0].city(Sale)
regTransaction.newVehicle.registration.legalparties[0].addresses[0].city(Lease)</t>
  </si>
  <si>
    <t>deal.vehicle.ownerlessor.2.mailingaddress.city(Sale)
deal.vehicle.lessee.1.mailingaddress.city(Lease)</t>
  </si>
  <si>
    <t>regTransaction.newVehicle.title.legalparties[1].addresses[0].state(Sale)
regTransaction.newVehicle.registration.legalparties[0].addresses[0].state(Lease)</t>
  </si>
  <si>
    <t>deal.vehicle.ownerlessor.2.mailingaddress.state(Sale)
deal.vehicle.lessee.1.mailingaddress.state(Lease)</t>
  </si>
  <si>
    <t>regTransaction.newVehicle.title.legalparties[1].addresses[0].zipCode(Slae)
regTransaction.newVehicle.registration.legalparties[0].addresses[0].zipCode(Lease)</t>
  </si>
  <si>
    <t>deal.vehicle.ownerlessor.2.mailingaddress.zip(Sale)
deal.vehicle.lessee.1.mailingaddress.zip(Lease)</t>
  </si>
  <si>
    <t>stRegTransaction.dealerCode</t>
  </si>
  <si>
    <t>LA_REGTRANSACTION.DEALER_CODE</t>
  </si>
  <si>
    <t>deal.dealercode</t>
  </si>
  <si>
    <t>regTransaction.newVehicle.title.legalparties[0].weight  (Individual)</t>
  </si>
  <si>
    <t>regTransaction.newVehicle.title.legalparties[0].height  (Individual)</t>
  </si>
  <si>
    <t>regTransaction.newVehicle.title.legalparties[0].status</t>
  </si>
  <si>
    <t>PARTY.WEIGHT</t>
  </si>
  <si>
    <t>PARTY.EYE_HEIGHT</t>
  </si>
  <si>
    <t>deal.vehicle.ownerlessor.1.weight</t>
  </si>
  <si>
    <t>deal.vehicle.ownerlessor.1.height</t>
  </si>
  <si>
    <t>deal.vehicle.ownerlessor.1.status</t>
  </si>
  <si>
    <t>EXPIR_DATE
EXP_DATE</t>
  </si>
  <si>
    <t>PREV_EXP_DATE</t>
  </si>
  <si>
    <t>DM,L,LL</t>
  </si>
  <si>
    <t>Flag1</t>
  </si>
  <si>
    <t>Flag2</t>
  </si>
  <si>
    <t>Flag3</t>
  </si>
  <si>
    <t>Flag4</t>
  </si>
  <si>
    <t>Flag5</t>
  </si>
  <si>
    <t>Flag6</t>
  </si>
  <si>
    <t>Flag7</t>
  </si>
  <si>
    <t>Flag8</t>
  </si>
  <si>
    <t>Flag9</t>
  </si>
  <si>
    <t>Flag10</t>
  </si>
  <si>
    <t>SOAP Field Full Name</t>
  </si>
  <si>
    <t>stRegTransaction.officeCode</t>
  </si>
  <si>
    <t>LA_REGTRANSACTION.OFFICE_CODE</t>
  </si>
  <si>
    <t>deal.officecode</t>
  </si>
  <si>
    <t>AR74,ELTR_A,ELTR_M</t>
  </si>
  <si>
    <t>PublicTagAgent</t>
  </si>
  <si>
    <t>regTransaction.newVehicle.title.lien.1.lienDate</t>
  </si>
  <si>
    <t>regTransaction.newVehicle.title.lien.1.transferDate</t>
  </si>
  <si>
    <t>LIEN.TRANSFER_DATE</t>
  </si>
  <si>
    <t>deal.vehicle.lien.1.date</t>
  </si>
  <si>
    <t>deal.vehicle.lien.1.enddate</t>
  </si>
  <si>
    <t>ELTR_I,ELTR_A,ELTR_M</t>
  </si>
  <si>
    <t>Race</t>
  </si>
  <si>
    <t>Gender</t>
  </si>
  <si>
    <t>regTransaction.newVehicle.title.legalparties[0].race  (Individual)</t>
  </si>
  <si>
    <t>PARTY.RACE</t>
  </si>
  <si>
    <t>deal.vehicle.ownerlessor.1.race</t>
  </si>
  <si>
    <t>This is a new column which we need to create in Party table</t>
  </si>
  <si>
    <t>regTransaction.newVehicle.title.legalparties[0].addresses[0].street1 [Residential]</t>
  </si>
  <si>
    <t>regTransaction.newVehicle.title.legalparties[0].addresses[0].city [Residential]</t>
  </si>
  <si>
    <t>regTransaction.newVehicle.title.legalparties[0].addresses[0].zipCode [Residential]</t>
  </si>
  <si>
    <t>regTransaction.newVehicle.title.legalparties[0].addresses[0].state [Residential]</t>
  </si>
  <si>
    <t>regTransaction.newVehicle.title.legalparties[0].addresses[0].street1 [Mailing]</t>
  </si>
  <si>
    <t>regTransaction.newVehicle.title.legalparties[0].addresses[0].city [Mailing]</t>
  </si>
  <si>
    <t>regTransaction.newVehicle.title.legalparties[0].addresses[0].state [Mailing]</t>
  </si>
  <si>
    <t>regTransaction.newVehicle.title.legalparties[0].addresses[0].zipCode [Mailing]</t>
  </si>
  <si>
    <t>Street [Residential]</t>
  </si>
  <si>
    <t>City [Residential]</t>
  </si>
  <si>
    <t>State [Residential]</t>
  </si>
  <si>
    <t>Street [Mailing]</t>
  </si>
  <si>
    <t>City [Mailing]</t>
  </si>
  <si>
    <t>State [Mailing]</t>
  </si>
  <si>
    <t>RegExpYear</t>
  </si>
  <si>
    <t>BatchNumber</t>
  </si>
  <si>
    <t>SeqNumber</t>
  </si>
  <si>
    <t>TitleNumber</t>
  </si>
  <si>
    <t>LIC
PLATE#</t>
  </si>
  <si>
    <t>DM,EM, LM,VM,L,LL</t>
  </si>
  <si>
    <t>Sticker</t>
  </si>
  <si>
    <t>ComOca</t>
  </si>
  <si>
    <t>ComOri</t>
  </si>
  <si>
    <t>Comments</t>
  </si>
  <si>
    <t>SOAP Field format</t>
  </si>
  <si>
    <t>long</t>
  </si>
  <si>
    <t>modelYear</t>
  </si>
  <si>
    <t>zip [Residential]</t>
  </si>
  <si>
    <t>zip [Mailing]</t>
  </si>
  <si>
    <t>stRegTransaction.dealerLicenseNumber</t>
  </si>
  <si>
    <t>LA_REGTRANSACTION.DEALER_LICENSE_NUMBER</t>
  </si>
  <si>
    <t>deal.dealerlicensenumber</t>
  </si>
  <si>
    <t>stRegTransaction.dealerShipName</t>
  </si>
  <si>
    <t>LA_REGTRANSACTION.DEALERSHIP_NAME</t>
  </si>
  <si>
    <t>deal.dealershipname</t>
  </si>
  <si>
    <t>stRegTransaction.dealerPhoneNumber</t>
  </si>
  <si>
    <t>LA_REGTRANSACTION.DEALER_PHONENUMBER</t>
  </si>
  <si>
    <t>deal.dealerphonenumber</t>
  </si>
  <si>
    <t>Transaction/TranType</t>
  </si>
  <si>
    <t>AuthHeader/OfficeCode</t>
  </si>
  <si>
    <t>AuthHeader/OperatorCode</t>
  </si>
  <si>
    <t>Transaction/DealerCode</t>
  </si>
  <si>
    <t>Transaction/Vehicle/ClassCode</t>
  </si>
  <si>
    <t>Transaction/Registration/InCityLimits</t>
  </si>
  <si>
    <t>Transaction/Sale/TaxesAndFees/ParishOrMunicTax</t>
  </si>
  <si>
    <t>Transaction/Sale/SaleInfo/TaxCreditState</t>
  </si>
  <si>
    <t>Transaction/Sale/SaleInfo/CitationDate</t>
  </si>
  <si>
    <t>Transaction/Sale/SaleInfo/TaxExemptionCode</t>
  </si>
  <si>
    <t>Transaction/Sale/TaxesAndFees/WheelChairLiftFee</t>
  </si>
  <si>
    <t>Transaction/Sale/SaleInfo/ElecFundTransfCode</t>
  </si>
  <si>
    <t>Transaction/Sale/TaxesAndFees/LicenseCredit</t>
  </si>
  <si>
    <t>Transaction/Sale/TaxesAndFees/RebateAmount</t>
  </si>
  <si>
    <t>Transaction/Sale/TaxesAndFees/MiscFee</t>
  </si>
  <si>
    <t>Transaction/Sale/TaxesAndFees/TitleServiceHandlingFee</t>
  </si>
  <si>
    <t>Transaction/Sale/TaxesAndFees/RemitFee</t>
  </si>
  <si>
    <t>Transaction/Sale/SaleInfo/PaymentMode</t>
  </si>
  <si>
    <t>Transaction/Sale/SaleInfo/VendorCompensationIndicator</t>
  </si>
  <si>
    <t>Transaction/Sale/TaxesAndFees/TradeInValue</t>
  </si>
  <si>
    <t>Transaction/Registration/LicenseCode</t>
  </si>
  <si>
    <t>Transaction/Sale/TaxesAndFees/TaxableValue</t>
  </si>
  <si>
    <t>Transaction/Sale/SaleInfo/EffectvDate</t>
  </si>
  <si>
    <t>Transaction/Sale/SaleInfo/TaxDate</t>
  </si>
  <si>
    <t>Transaction/Registration/DomicileCode</t>
  </si>
  <si>
    <t>Transaction/Sale/TaxesAndFees/SalePrice</t>
  </si>
  <si>
    <t>Transaction/LienHolder/mortagageCodeWithUCC</t>
  </si>
  <si>
    <t>Transaction/Title/PrevNonTitleTransDate</t>
  </si>
  <si>
    <t>Transaction/Title/PrevNonTitleTransTypeCode</t>
  </si>
  <si>
    <t>Transaction/Title/PrevTitleTransDate</t>
  </si>
  <si>
    <t>Transaction/Title/PrevTitleTransTypeCode</t>
  </si>
  <si>
    <t>Transaction/Title/OOSTitleToSurrender</t>
  </si>
  <si>
    <t>Transaction/Title/PrevTitleState</t>
  </si>
  <si>
    <t>Transaction/Sale/SaleInfo/DateAcquired</t>
  </si>
  <si>
    <t>Transaction/Registration/HandicappedStatus</t>
  </si>
  <si>
    <t>Transaction/LienHolder/Address/Zip</t>
  </si>
  <si>
    <t>Transaction/LienHolder/Address/State</t>
  </si>
  <si>
    <t>Transaction/LienHolder/Address/City</t>
  </si>
  <si>
    <t>Transaction/LienHolder/Address/Street</t>
  </si>
  <si>
    <t>Transaction/LienHolder/LienDate</t>
  </si>
  <si>
    <t>Transaction/LienHolder/LienAmount</t>
  </si>
  <si>
    <t>Transaction/Sale/TaxesAndFees/StateAssignedVinFee</t>
  </si>
  <si>
    <t>Transaction/Owners/SecondaryOwner/Address/Zip</t>
  </si>
  <si>
    <t>Transaction/Owners/SecondaryOwner/Address/State</t>
  </si>
  <si>
    <t>Transaction/Owners/SecondaryOwner/Address/City</t>
  </si>
  <si>
    <t>Transaction/Vehicle/Vin</t>
  </si>
  <si>
    <t>Transaction/Vehicle/Make</t>
  </si>
  <si>
    <t>Transaction/Registration/CurrentPlateExpDate</t>
  </si>
  <si>
    <t>Transaction/Vehicle/Body</t>
  </si>
  <si>
    <t>Transaction/Vehicle/PrimaryColor</t>
  </si>
  <si>
    <t>Transaction/Vehicle/SecondaryColor</t>
  </si>
  <si>
    <t>Transaction/Vehicle/Year</t>
  </si>
  <si>
    <t>Transaction/Vehicle/OdometerReading</t>
  </si>
  <si>
    <t>Transaction/Owners/PrimaryOwner/Type</t>
  </si>
  <si>
    <t>Transaction/Owners/PrimaryOwner/Name</t>
  </si>
  <si>
    <t>Transaction/Owners/PrimaryOwner/JointOwnerName</t>
  </si>
  <si>
    <t>Transaction/Owners/PrimaryOwner/Address/Street</t>
  </si>
  <si>
    <t>Transaction/Owners/PrimaryOwner/Address/City</t>
  </si>
  <si>
    <t>Transaction/Owners/PrimaryOwner/Address/State</t>
  </si>
  <si>
    <t>Transaction/Owners/PrimaryOwner/Address/Zip</t>
  </si>
  <si>
    <t>Transaction/Owners/SecondaryOwner/Name</t>
  </si>
  <si>
    <t>Transaction/Owners/SecondaryOwner/OwnerStatus</t>
  </si>
  <si>
    <t>Transaction/Registration/Sticker</t>
  </si>
  <si>
    <t>Transaction/Owners/SecondaryOwner/Address/Street</t>
  </si>
  <si>
    <t>Inquiry/Date</t>
  </si>
  <si>
    <t>Inquiry/InquiryType</t>
  </si>
  <si>
    <t>Inquiry/Sale/PaymentMode</t>
  </si>
  <si>
    <t>Inquiry/Total</t>
  </si>
  <si>
    <t>Inquiry/TotalReceipts</t>
  </si>
  <si>
    <t>Inquiry/DepositDate</t>
  </si>
  <si>
    <t>Inquiry/AdjOverride</t>
  </si>
  <si>
    <t>Inquiry/PivNumber</t>
  </si>
  <si>
    <t>Inquiry/JVNumber</t>
  </si>
  <si>
    <t>Inquiry/Remit</t>
  </si>
  <si>
    <t>Inquiry/ListingNum</t>
  </si>
  <si>
    <t>Inquiry/Owners/PrimaryOwner/Name</t>
  </si>
  <si>
    <t>Inquiry/Owners/PrimaryOwner/LADriversLicenseOrIDCard</t>
  </si>
  <si>
    <t>Inquiry/Owners/PrimaryOwner/OwnerType</t>
  </si>
  <si>
    <t>Inquiry/Owners/PrimaryOwner/OwnerName</t>
  </si>
  <si>
    <t>Inquiry/Owners/PrimaryOwner/JointOwnerName</t>
  </si>
  <si>
    <t>Inquiry/Titles/MicroFilmNo</t>
  </si>
  <si>
    <t>Inquiry/Owners/PrimaryOwner/Address/Street</t>
  </si>
  <si>
    <t>Inquiry/Owners/PrimaryOwner/Address/City</t>
  </si>
  <si>
    <t>Inquiry/Owners/PrimaryOwner/Address/State</t>
  </si>
  <si>
    <t>Inquiry/Owners/PrimaryOwner/Address/zip</t>
  </si>
  <si>
    <t>Inquiry/Owners/PrimaryOwner/DrivingLicenseNo</t>
  </si>
  <si>
    <t>Inquiry/Vehicle/Vin</t>
  </si>
  <si>
    <t>Inquiry/Vehicle/Make</t>
  </si>
  <si>
    <t>Inquiry/Vehicle/ModelOrWeight</t>
  </si>
  <si>
    <t>Inquiry/Vehicle/Body</t>
  </si>
  <si>
    <t>Inquiry/Vehicle/modelYear</t>
  </si>
  <si>
    <t>Inquiry/Vehicle/PrimaryColor</t>
  </si>
  <si>
    <t>Inquiry/Vehicle/SecondaryColor</t>
  </si>
  <si>
    <t>Inquiry/Owners/PrimaryOwner/EmpIdentificationNo</t>
  </si>
  <si>
    <t>Inquiry/Registration/PlateNumber</t>
  </si>
  <si>
    <t>Inquiry/Registration/RegExpDate</t>
  </si>
  <si>
    <t>Inquiry/Vehicle/Flags/Flag/Code</t>
  </si>
  <si>
    <t>Inquiry/EltType</t>
  </si>
  <si>
    <t>Inquiry/EltCode</t>
  </si>
  <si>
    <t>Inquiry/LienHolder/IsActive</t>
  </si>
  <si>
    <t>Inquiry/LienHolder/LienHolderName</t>
  </si>
  <si>
    <t>Inquiry/LienHolder/Address/Street</t>
  </si>
  <si>
    <t>Inquiry/LienHolder/Address/City</t>
  </si>
  <si>
    <t>Inquiry/LienHolder/Address/State</t>
  </si>
  <si>
    <t>Inquiry/LienHolder/Address/zip</t>
  </si>
  <si>
    <t>Inquiry/PublicTagAgent</t>
  </si>
  <si>
    <t>Inquiry/LienHolder/BeginDate</t>
  </si>
  <si>
    <t>Inquiry/LienHolder/EndDate</t>
  </si>
  <si>
    <t>Inquiry/Time</t>
  </si>
  <si>
    <t>Inquiry/Owners/PrimaryOwner/DateOfBirth</t>
  </si>
  <si>
    <t>Inquiry/Owners/PrimaryOwner/Race</t>
  </si>
  <si>
    <t>Inquiry/Owners/PrimaryOwner/Gender</t>
  </si>
  <si>
    <t>Inquiry/LienHolder/ResidentialAddress/Street</t>
  </si>
  <si>
    <t>Inquiry/LienHolder/ResidentialAddress/City</t>
  </si>
  <si>
    <t>Inquiry/LienHolder/ResidentialAddress/State</t>
  </si>
  <si>
    <t>Inquiry/LienHolder/ResidentialAddress/zip</t>
  </si>
  <si>
    <t>Inquiry/LienHolder/MailingAddress/Street</t>
  </si>
  <si>
    <t>Inquiry/LienHolder/MailingAddress/City</t>
  </si>
  <si>
    <t>Inquiry/LienHolder/MailingAddress/State</t>
  </si>
  <si>
    <t>Inquiry/LienHolder/MailingAddress/zip</t>
  </si>
  <si>
    <t>Inquiry/PrivacyActCompliance</t>
  </si>
  <si>
    <t>Inquiry/Date1</t>
  </si>
  <si>
    <t>Inquiry/Date2</t>
  </si>
  <si>
    <t>Inquiry/BatchNumber</t>
  </si>
  <si>
    <t>Inquiry/SeqNumber</t>
  </si>
  <si>
    <t>Inquiry/StopNo</t>
  </si>
  <si>
    <t>Inquiry/Title/TitleNumber</t>
  </si>
  <si>
    <t>Inquiry/Registration/RegExpYear</t>
  </si>
  <si>
    <t>Inquiry/Vehicle/OdometerReading</t>
  </si>
  <si>
    <t>Inquiry/Owners/SecondaryOwner/OwnerType</t>
  </si>
  <si>
    <t>Inquiry/Owners/SecondaryOwner/OwnerName</t>
  </si>
  <si>
    <t>Inquiry/Registration/Sticker</t>
  </si>
  <si>
    <t>Inquiry/Owners/SecondaryOwner/Address/Street</t>
  </si>
  <si>
    <t>Inquiry/Owners/SecondaryOwner/Address/City</t>
  </si>
  <si>
    <t>Inquiry/Owners/SecondaryOwner/Address/State</t>
  </si>
  <si>
    <t>Inquiry/Owners/SecondaryOwner/Address/zip</t>
  </si>
  <si>
    <t>Inquiry/LienHolders/LienHolder/LienAmount</t>
  </si>
  <si>
    <t>Inquiry/LienHolders/LienHolder/LienDate</t>
  </si>
  <si>
    <t>Inquiry/LienHolders/LienHolder/Address/Street</t>
  </si>
  <si>
    <t>Inquiry/LienHolders/LienHolder/Address/City</t>
  </si>
  <si>
    <t>Inquiry/LienHolders/LienHolder/Address/State</t>
  </si>
  <si>
    <t>Inquiry/LienHolders/LienHolder/Address/zip</t>
  </si>
  <si>
    <t>Inquiry/Registration/HandicappedStatus</t>
  </si>
  <si>
    <t>Inquiry/Vehicle/NewOrUsed</t>
  </si>
  <si>
    <t>Inquiry/Vehicle/DateAcquired</t>
  </si>
  <si>
    <t>Inquiry/Registration/PreviousLicensePlate</t>
  </si>
  <si>
    <t>Inquiry/Registration/PreviousPlateExpirationDate</t>
  </si>
  <si>
    <t>Inquiry/Sales/SalesPrice</t>
  </si>
  <si>
    <t>Inquiry/PrevTitleTransTypeCode</t>
  </si>
  <si>
    <t>Inquiry/PrevTitleTransDate</t>
  </si>
  <si>
    <t>Inquiry/PrevNonTitleTransTypeCode</t>
  </si>
  <si>
    <t>Inquiry/PrevNonTitleTransDate</t>
  </si>
  <si>
    <t>Inquiry/specialFees</t>
  </si>
  <si>
    <t>Inquiry/Vehicle/ClassCode</t>
  </si>
  <si>
    <t>Inquiry/Vehicle/DuplicateVin</t>
  </si>
  <si>
    <t>Inquiry/Vehicle/LastDuplicateVin</t>
  </si>
  <si>
    <t>Inquiry/LienHolders/LienHolder2/Address/zip</t>
  </si>
  <si>
    <t>Inquiry/LienHolders/LienHolder3/Address/zip</t>
  </si>
  <si>
    <t>Inquiry/OfficeCode</t>
  </si>
  <si>
    <t>Inquiry/registration/plateTypes</t>
  </si>
  <si>
    <t>Inquiry/DrivingLicenseNo</t>
  </si>
  <si>
    <t>Inquiry/EmpIdentificationNo</t>
  </si>
  <si>
    <t>Inquiry/LienHolder/Address/Zip</t>
  </si>
  <si>
    <t>Inquiry/PlateNumber</t>
  </si>
  <si>
    <t>Inquiry/RegExpYear</t>
  </si>
  <si>
    <t>Inquiry/Vin</t>
  </si>
  <si>
    <t>Inquiry/LastName</t>
  </si>
  <si>
    <t>Inquiry/FirstName</t>
  </si>
  <si>
    <t>Inquiry/CompanyName</t>
  </si>
  <si>
    <t>Inquiry/Race</t>
  </si>
  <si>
    <t>Inquiry/Gender</t>
  </si>
  <si>
    <t>Inquiry/DateOfBirth</t>
  </si>
  <si>
    <t>Inquiry/OwnerType</t>
  </si>
  <si>
    <t>InquiryHeader/DealerCode</t>
  </si>
  <si>
    <t>AuthHeader/EltCode</t>
  </si>
  <si>
    <t>Inquiry/LienHolders/LienHolder/Name</t>
  </si>
  <si>
    <t>Inquiry/Title/PreviousTitleNumber</t>
  </si>
  <si>
    <t>Inquiry/Title/PreviousTitleState</t>
  </si>
  <si>
    <t>PrevTitleNumber</t>
  </si>
  <si>
    <t>PrevTitleState</t>
  </si>
  <si>
    <t>Inquiry/PrimaryOwner/CustomerNumber</t>
  </si>
  <si>
    <t>Inquiry/SecondaryOwner/CustomerNumber</t>
  </si>
  <si>
    <t>Inquiry/Owners/SecondaryOwner/OwnerStatus</t>
  </si>
  <si>
    <t>Inquiry/Comments/ComOca</t>
  </si>
  <si>
    <t>Inquiry/Comments/ComOri</t>
  </si>
  <si>
    <t>Inquiry/Comments/Comments</t>
  </si>
  <si>
    <t>Transaction/Vehicle/Flags/Flag/code</t>
  </si>
  <si>
    <t>Transaction/Owners/SecondaryOwner/Type</t>
  </si>
  <si>
    <t>Transaction/Registration/PrevPlateExpDate</t>
  </si>
  <si>
    <t>Transaction/Sale/TaxesAndFees/StatePenaltyCredit</t>
  </si>
  <si>
    <t>Transaction/Sale/SaleInfo/SpecialFeesCode</t>
  </si>
  <si>
    <t>Transaction/TranDate</t>
  </si>
  <si>
    <t>Transaction/Sale/TaxesAndFees/LicensePlateFee</t>
  </si>
  <si>
    <t>Transaction/LienHolder/LienCount</t>
  </si>
  <si>
    <t>Transaction/Sale/TaxesAndFees/StateTaxesAndFees/StateSalesTax</t>
  </si>
  <si>
    <t>Transaction/Sale/TaxesAndFees/StateTaxesAndFees/StateTaxCredit</t>
  </si>
  <si>
    <t>Transaction/Sale/TaxesAndFees/StateTaxesAndFees/StateTaxPenalty</t>
  </si>
  <si>
    <t>Transaction/Sale/TaxesAndFees/StateTaxesAndFees/StateInterest</t>
  </si>
  <si>
    <t>Transaction/Sale/TaxesAndFees/StateTaxesAndFees/StatePenaltyCredit</t>
  </si>
  <si>
    <t>Transaction/Sale/TaxesAndFees/PMTaxesAndFees/PMPenaltyCredit</t>
  </si>
  <si>
    <t>Transaction/Sale/TaxesAndFees/PMTaxesAndFees/PMOOSTaxcredit</t>
  </si>
  <si>
    <t>Transaction/Sale/TaxesAndFees/PMTaxesAndFees/ParishOrMunicTax</t>
  </si>
  <si>
    <t>Transaction/Sale/TaxesAndFees/PMTaxesAndFees/PMTaxPenalty</t>
  </si>
  <si>
    <t>Transaction/Sale/TaxesAndFees/PMTaxesAndFees/PMInterest</t>
  </si>
  <si>
    <t>Transaction/Sale/TaxesAndFees/StateTaxesAndFees/StateVendorCompFee</t>
  </si>
  <si>
    <t>Transaction/Sale/TaxesAndFees/PMTaxesAndFees/PMVendorCompFee</t>
  </si>
  <si>
    <t>Transaction/Sale/TaxesAndFees/LienFee</t>
  </si>
  <si>
    <t>Transaction/Sale/TaxesAndFees/TitleFee</t>
  </si>
  <si>
    <t>Transaction/Sale/TaxesAndFees/TotalFee</t>
  </si>
  <si>
    <t>Transaction/Sale/TaxesAndFees/TotalTax</t>
  </si>
  <si>
    <t>Transaction/Sale/TaxesAndFees/SpecialPlateFirstTimeFee</t>
  </si>
  <si>
    <t>Transaction/Sale/TaxesAndFees/RoyaltyFee</t>
  </si>
  <si>
    <t>Transaction/Sale/TaxesAndFees/GrandTotalFee</t>
  </si>
  <si>
    <t>Transaction/Registration/UseType</t>
  </si>
  <si>
    <t>Transaction/OfficeCode</t>
  </si>
  <si>
    <t>Transaction/OperatorCode</t>
  </si>
  <si>
    <t>Transaction/Sale/TaxesAndFees/TourismFee</t>
  </si>
  <si>
    <t>Transaction/PID</t>
  </si>
  <si>
    <t>Transaction/Sale/TaxesAndFees/ExpeditedTitleFee</t>
  </si>
  <si>
    <t>Transaction/Title/PreviousTitleState</t>
  </si>
  <si>
    <t>Transaction/Sale/TaxesAndFees/PlateTransferFee</t>
  </si>
  <si>
    <t>Transaction/Sale/TaxesAndFees/Discount</t>
  </si>
  <si>
    <t>Transaction/Comments/Comment</t>
  </si>
  <si>
    <t>Transaction/Sale/TaxesAndFees/TourismVCFee</t>
  </si>
  <si>
    <t>Transaction/ED</t>
  </si>
  <si>
    <t>Transaction/EX</t>
  </si>
  <si>
    <t>Transaction/RC</t>
  </si>
  <si>
    <t>Transaction/Sale/TaxesAndFees/PMTaxesAndFees/ParishTax</t>
  </si>
  <si>
    <t>Transaction/Sale/TaxesAndFees/PMTaxesAndFees/MunicipalityTax</t>
  </si>
  <si>
    <t>Transaction/Sale/TaxesAndFees/MortgageFee</t>
  </si>
  <si>
    <t>Transaction/Sale/SaleInfo/MoneyCode</t>
  </si>
  <si>
    <t>always 0 on the screen , no option to edit</t>
  </si>
  <si>
    <t>Transaction/Registration/PlateExpMMYY</t>
  </si>
  <si>
    <t>Transaction/Sale/TaxesAndFees/PlatePenaltyFee</t>
  </si>
  <si>
    <t>DMF - This stands for Microfilm number and is populated by the state when applicable. Not including in the request</t>
  </si>
  <si>
    <t>Unsure of what this means, but our team does not use it. Not including in the request</t>
  </si>
  <si>
    <t>ORI / OCA - Our team does not use these fields (certain state offices may use these, but not our team). No need to include in the request</t>
  </si>
  <si>
    <t>ORI / OCA - Our team does not use these fields (certain state offices may use these, but not our team).No need to include in the request</t>
  </si>
  <si>
    <t>?</t>
  </si>
  <si>
    <t>Transaction/BatchSeqNum</t>
  </si>
  <si>
    <t>Transaction/Registration/CurrentPlateNum</t>
  </si>
  <si>
    <t>Transaction/PrinterSequenceNum</t>
  </si>
  <si>
    <t>Transaction/Title/MicroFilmNum</t>
  </si>
  <si>
    <t>BATCH_SEQ_NUM</t>
  </si>
  <si>
    <t>NUM_OF_LIENS</t>
  </si>
  <si>
    <t>PRINTER_SEQ-NUM</t>
  </si>
  <si>
    <t>BATCH_NUM</t>
  </si>
  <si>
    <t>SEQ-NUM</t>
  </si>
  <si>
    <t>Transaction/Registration/StopNum</t>
  </si>
  <si>
    <t>Transaction/Title/CurrentTitleNum</t>
  </si>
  <si>
    <t>Transaction/Owners/PrimaryOwner/EmpIdentificationNum</t>
  </si>
  <si>
    <t>Transaction/Title/PrevTitleNum</t>
  </si>
  <si>
    <t>Transaction/Registration/PrevPlateNum</t>
  </si>
  <si>
    <t>Transaction/Vehicle/NumOfPassengers</t>
  </si>
  <si>
    <t>Transaction/Registration/RegSeqNum</t>
  </si>
  <si>
    <t>REGSTN_SEQ-NUM</t>
  </si>
  <si>
    <t>LICYR_OR_DUP_VIN_NUM</t>
  </si>
  <si>
    <t>Transaction/Registration/LicYrDupVinNum</t>
  </si>
  <si>
    <t>Transaction/Registration/LicOrVinNum</t>
  </si>
  <si>
    <t>LIC_OR_VIN_Num</t>
  </si>
  <si>
    <t>LIC_OR_VIN_NUM</t>
  </si>
  <si>
    <t>NUM-OF-COPIES</t>
  </si>
  <si>
    <t>deal.vehicle.handicapstatus</t>
  </si>
  <si>
    <t>stRegTransaction.prevTitleTranCode</t>
  </si>
  <si>
    <t>LA_REGTRANSACTION.PREV_TITLE_TRAN_CODE</t>
  </si>
  <si>
    <t>deal.prevtitletrancode</t>
  </si>
  <si>
    <t>stRegTransaction.prevTitleTranDate</t>
  </si>
  <si>
    <t>LA_REGTRANSACTION.PREV_TITLE_TRAN_DATE</t>
  </si>
  <si>
    <t>deal.prevtitletrandate</t>
  </si>
  <si>
    <t>stRegTransaction.prevNonTitleTranCode</t>
  </si>
  <si>
    <t>LA_REGTRANSACTION.PREV_NON_TITLE_TRAN_CODE</t>
  </si>
  <si>
    <t>deal.prevnontitletrancode</t>
  </si>
  <si>
    <t>stRegTransaction.prevNonTitleTranDate</t>
  </si>
  <si>
    <t>LA_REGTRANSACTION.PREV_NON_TITLE_TRAN_DATE</t>
  </si>
  <si>
    <t>deal.prevnontitletrandate</t>
  </si>
  <si>
    <t>LA_REGISTRATION.SPL_PLATE_FIRST_ISSUANCE</t>
  </si>
  <si>
    <t>deal.vehicle.isspecialplatefirstissuance</t>
  </si>
  <si>
    <t>stRegTransaction.eftCode</t>
  </si>
  <si>
    <t>LA_REGTRANSACTION.EFT_CODE</t>
  </si>
  <si>
    <t>deal.eftcode</t>
  </si>
  <si>
    <t>stRegTransaction.wheelChairLiftPrice</t>
  </si>
  <si>
    <t>LA_REGTRANSACTION.WHEEL_CHAIR_LIFT_PRICE</t>
  </si>
  <si>
    <t>deal.wheelchairliftprice</t>
  </si>
  <si>
    <t>stRegtransaction.printerSeqNo</t>
  </si>
  <si>
    <t>LA_REGTRANSACTION.PRINTER_SEQ_NO</t>
  </si>
  <si>
    <t>deal.printerseqno</t>
  </si>
  <si>
    <t>regTransaction.newVehicle.title.publicTagAgent(STTitle)</t>
  </si>
  <si>
    <t>stRegTransaction.action</t>
  </si>
  <si>
    <t>LA_REGTRANSACTION.ACTION</t>
  </si>
  <si>
    <t>deal.action</t>
  </si>
  <si>
    <t>regTransaction.newVehicle.title.legalparties[0].info1  (Individual)</t>
  </si>
  <si>
    <t>PARTY.INFO1</t>
  </si>
  <si>
    <t>deal.vehicle.ownerlessor.1.info1</t>
  </si>
  <si>
    <t>regTransaction.newVehicle.title.legalparties[1].info1</t>
  </si>
  <si>
    <t>deal.vehicle.ownerlessor.2.info1</t>
  </si>
  <si>
    <t>Transaction/Vehicle/Model</t>
  </si>
  <si>
    <t>Transaction/Vehicle/Weight</t>
  </si>
  <si>
    <t>Transaction/Registration/isMobileHome</t>
  </si>
  <si>
    <t>Transaction/LienHolder/ELTCode</t>
  </si>
  <si>
    <t>Y/ N</t>
  </si>
  <si>
    <t>Transaction/Sale/SaleInfo/IsInitialFeeApplicable</t>
  </si>
  <si>
    <t>Transaction/Title/IsTitleCharged</t>
  </si>
  <si>
    <t>Transaction/Sale/SaleInfo/IsSpeclPlateFirstTimeIssued</t>
  </si>
  <si>
    <t>regTransaction.sales.taxState</t>
  </si>
  <si>
    <t>SALES.TAX_STATE</t>
  </si>
  <si>
    <t>deal.sales.taxstate</t>
  </si>
  <si>
    <t>LA_REGTRANSACTION.INITIAL_FEE_APPLICABLE</t>
  </si>
  <si>
    <t>stRegTransaction.initialFeeApplicable</t>
  </si>
  <si>
    <t>deal.isinitialfeeapplicable</t>
  </si>
  <si>
    <t>LA_REGTRANSACTION.SPECIAL_FEES_CODE</t>
  </si>
  <si>
    <t>stRegTransaction.specialFeesCode</t>
  </si>
  <si>
    <t>deal.specialfeescode</t>
  </si>
  <si>
    <t>LA_TITLE.TITLE_CHARGED</t>
  </si>
  <si>
    <t>deal.vehicle.istitleCharged</t>
  </si>
  <si>
    <t>TT11,TT16,TT17,TT19,TT21,TT22,TT24,TT25,TT26,TT28,TT29,TT30,TT31,TT32,TT33,TT34,TT35,TT37,TT38,TT41,TT42,TT44,TT51,TT57,TT58,TT59,TT60,TT61,TT62,TT64,TT65,TT91,TT92,TT93,AF80,CR82,LA,VA</t>
  </si>
  <si>
    <t>TT11,TT16,TT17,TT19,TT21,TT22,TT24,TT25,TT26,TT28,TT29,TT30,TT31,TT32,TT33,TT34,TT35,TT37,TT38,TT41,TT42,TT44,TT51,TT57,TT58,TT59,TT60,TT61,TT62,TT64,TT65,TT91,TT92,TT93,AF80,LA,VA</t>
  </si>
  <si>
    <t>TT11,TT16,TT17,TT19,TT21,TT22,TT24,TT25,TT26,TT28,TT29,TT30,TT31,TT32,TT33,TT34,TT35,TT37,TT38,TT41,TT42,TT44,TT51,TT57,TT58,TT59,TT60,TT61,TT62,TT64,TT65,TT91,TT92,TT93</t>
  </si>
  <si>
    <t>TT11,TT16,TT17,TT19,TT21,TT22,TT24,TT25,TT26,TT28,TT29,TT30,TT31,TT32,TT33,TT34,TT35,TT37,TT38,TT41,TT42,TT44,TT51,TT57,TT58,TT59,TT60,TT61,TT62,TT64,TT65,TT91,TT92,TT93,LA,VA</t>
  </si>
  <si>
    <t>TT11,TT16,TT17,TT19,TT21,TT22,TT24,TT25,TT26,TT28,TT29,TT30,TT31,TT32,TT33,TT34,TT35,TT37,TT38,TT41,TT42,TT44,TT51,TT57,TT58,TT59,TT60,TT61,TT62,TT64,TT65,TT91,TT92,TT93,CR82,LA,VA</t>
  </si>
  <si>
    <t>TT11,TT16,TT17,TT19,TT21,TT22,TT24,TT25,TT26,TT28,TT29,TT30,TT31,TT32,TT33,TT34,TT35,TT37,TT38,TT41,TT42,TT44,TT51,TT57,TT58,TT59,TT60,TT61,TT62,TT64,TT65,TT91,TT92,TT93,DM,L,LL</t>
  </si>
  <si>
    <t>TT11,TT16,TT19,TT21,TT22,TT24,TT25,TT26,TT28,TT29,TT30,TT31,TT32,TT33,TT34,TT35,TT37,TT38,TT41,TT42,TT44,TT51,TT57,TT58,TT59,TT60,TT61,TT62,TT64,TT65,TT91,TT92,TT93</t>
  </si>
  <si>
    <t>TT11,TT16,TT19,TT21,TT22,TT24,TT25,TT26,TT28,TT29,TT31,TT32,TT33,TT34,TT35,TT41,TT42,TT44,TT57,TT58,TT59,TT60,TT61,TT62,TT64,TT65,TT91,TT92,TT93,CR82</t>
  </si>
  <si>
    <t>TT11,TT16,TT17,TT19,TT21,TT22,TT24,TT25,TT26,TT28,TT29,TT30,TT31,TT32,TT33,TT34,TT35,TT37,TT38,TT41,TT42,TT44,TT51,TT57,TT58,TT59,TT60,TT61,TT62,TT64,TT65,TT91,TT92,TT93,CR82</t>
  </si>
  <si>
    <t>TT11,TT16,TT19,TT21,TT22,TT24,TT25,TT26,TT28,TT29,TT31,TT32,TT33,TT34,TT35,TT41,TT42,TT44,TT57,TT58,TT59,TT60,TT61,TT62,TT64,TT65,TT91,TT92,TT93</t>
  </si>
  <si>
    <t>TT11,TT16,TT19,TT21,TT22,TT24,TT25,TT26,TT28,TT29,TT31,TT32,TT33,TT34,TT35,TT38,TT41,TT42,TT44,TT51,TT57,TT58,TT59,TT60,TT61,TT62,TT64,TT65,TT91,TT92,TT93,CR82</t>
  </si>
  <si>
    <t>TT11,TT16,TT19,TT21,TT22,TT24,TT25,TT26,TT28,TT29,TT31,TT32,TT33,TT34,TT35,TT41,TT42,TT44,TT51,TT57,TT58,TT59,TT60,TT61,TT62,TT64,TT65,TT91,TT92,TT93,CR82</t>
  </si>
  <si>
    <t>TT11,TT16,TT19,TT21,TT22,TT24,TT25,TT26,TT28,TT29,TT31,TT32,TT33,TT34,TT35,TT38,TT41,TT42,TT44,TT57,TT58,TT59,TT60,TT61,TT62,TT64,TT65,TT91,TT92,TT93,CR82</t>
  </si>
  <si>
    <t>TT11,TT16,TT19,TT21,TT22,TT24,TT25,TT26,TT28,TT29,TT31,TT32,TT33,TT34,TT35,TT38,TT41,TT42,TT44,TT57,TT58,TT59,TT60,TT61,TT62,TT64,TT65,TT91,TT92,TT93,LA,VA</t>
  </si>
  <si>
    <t>TT11,TT16,TT19,TT21,TT22,TT24,TT25,TT26,TT28,TT29,TT31,TT32,TT33,TT34,TT35,TT41,TT42,TT44,TT51,TT57,TT58,TT59,TT60,TT61,TT62,TT64,TT65,TT91,TT92,TT93</t>
  </si>
  <si>
    <t>DLRU19, DLRU20</t>
  </si>
  <si>
    <t>LA DL</t>
  </si>
  <si>
    <t>DriverLicenseNo</t>
  </si>
  <si>
    <t>Inquiry/DriverLicenseNo</t>
  </si>
  <si>
    <t>DLRU19, DLRU20, DLRU21</t>
  </si>
  <si>
    <t>CLASS</t>
  </si>
  <si>
    <t>DriverLicenseClassType</t>
  </si>
  <si>
    <t>RACE</t>
  </si>
  <si>
    <t>SEX</t>
  </si>
  <si>
    <t>Sex</t>
  </si>
  <si>
    <t>LAST</t>
  </si>
  <si>
    <t>DLRU19</t>
  </si>
  <si>
    <t>TC</t>
  </si>
  <si>
    <t>LastNameTC</t>
  </si>
  <si>
    <t>TL</t>
  </si>
  <si>
    <t>LastNameTL</t>
  </si>
  <si>
    <t>DriverLicenseExpDate</t>
  </si>
  <si>
    <t>FIRST</t>
  </si>
  <si>
    <t>FirstNameTC</t>
  </si>
  <si>
    <t>FirstNameTL</t>
  </si>
  <si>
    <t>MIDDLE</t>
  </si>
  <si>
    <t>MiddleNameTC</t>
  </si>
  <si>
    <t>MiddleNameTL</t>
  </si>
  <si>
    <t>SUFFIX</t>
  </si>
  <si>
    <t>DirverLicenseSuffix</t>
  </si>
  <si>
    <t>ENDRS</t>
  </si>
  <si>
    <t>OutOfStateCode</t>
  </si>
  <si>
    <t>OutOfStateDriverLicenseNo</t>
  </si>
  <si>
    <t>DUPLICATE COUNT</t>
  </si>
  <si>
    <t>ISABOVEDATAFROMCDLORCLP</t>
  </si>
  <si>
    <t>REALID</t>
  </si>
  <si>
    <t>EVERHELDOOSCDLORCLP</t>
  </si>
  <si>
    <t>VISIT QUEUE NUMBER</t>
  </si>
  <si>
    <t>visitQueueNumber</t>
  </si>
  <si>
    <t>number</t>
  </si>
  <si>
    <t>DLRU20</t>
  </si>
  <si>
    <t>MED QUES OK</t>
  </si>
  <si>
    <t>MedicalQuestionOk</t>
  </si>
  <si>
    <t>MED QUES 1</t>
  </si>
  <si>
    <t>MED QUES 2</t>
  </si>
  <si>
    <t>MC</t>
  </si>
  <si>
    <t>DL/TL</t>
  </si>
  <si>
    <t>TNK</t>
  </si>
  <si>
    <t>HAZ</t>
  </si>
  <si>
    <t>SB</t>
  </si>
  <si>
    <t>EMR</t>
  </si>
  <si>
    <t>HNT</t>
  </si>
  <si>
    <t>LifeTimeHunting</t>
  </si>
  <si>
    <t>FSH</t>
  </si>
  <si>
    <t>LifeTimeFishing</t>
  </si>
  <si>
    <t>HNT ED</t>
  </si>
  <si>
    <t>HuntersEducation</t>
  </si>
  <si>
    <t>BT ED</t>
  </si>
  <si>
    <t>BoatersEducation</t>
  </si>
  <si>
    <t>NON INTER</t>
  </si>
  <si>
    <t>MedicalSelfCertificateNonInter</t>
  </si>
  <si>
    <t>EXC INTER</t>
  </si>
  <si>
    <t>MedicalSelfCertificateExcInter</t>
  </si>
  <si>
    <t>NON INTRA</t>
  </si>
  <si>
    <t>MedicalSelfCertificateNonIntra</t>
  </si>
  <si>
    <t>EXC INTRA</t>
  </si>
  <si>
    <t>MedicalSelfCertificateExcIntra</t>
  </si>
  <si>
    <t>VETERAN</t>
  </si>
  <si>
    <t>veteran</t>
  </si>
  <si>
    <t>CAJUN</t>
  </si>
  <si>
    <t>cajun</t>
  </si>
  <si>
    <t>FREE DOC CRED</t>
  </si>
  <si>
    <t>ORLEANS PAR</t>
  </si>
  <si>
    <t>OrleansPar</t>
  </si>
  <si>
    <t>N-PERM ALIEN</t>
  </si>
  <si>
    <t>DUPLICATE…..</t>
  </si>
  <si>
    <t>Duplicate</t>
  </si>
  <si>
    <t>PHOTO RTK</t>
  </si>
  <si>
    <t>CHNG DATA</t>
  </si>
  <si>
    <t>ChangeData</t>
  </si>
  <si>
    <t>CORRECTION</t>
  </si>
  <si>
    <t>Correction</t>
  </si>
  <si>
    <t>DLNQ CREDIT….</t>
  </si>
  <si>
    <t>CDL PERMIT</t>
  </si>
  <si>
    <t>ASSIGN DLN</t>
  </si>
  <si>
    <t>AssignDriverLicenseNumber</t>
  </si>
  <si>
    <t>APP FEE CR</t>
  </si>
  <si>
    <t>ApplicationFeeCredit</t>
  </si>
  <si>
    <t>VOTER ID</t>
  </si>
  <si>
    <t>VoterId</t>
  </si>
  <si>
    <t>RE/HRD H/R/B</t>
  </si>
  <si>
    <t>INTERLOCK</t>
  </si>
  <si>
    <t>DSABLD VET</t>
  </si>
  <si>
    <t>CHILD ID 2/4</t>
  </si>
  <si>
    <t>UNDC ALIEN</t>
  </si>
  <si>
    <t>DWI  1/2/3</t>
  </si>
  <si>
    <t>SEX OFFENDER</t>
  </si>
  <si>
    <t>DLRU21</t>
  </si>
  <si>
    <t>STREETA</t>
  </si>
  <si>
    <t>LicenseAddressStreetA</t>
  </si>
  <si>
    <t>Transaction/Owners/PrimaryOwner/Address/LicenseAdress/Street</t>
  </si>
  <si>
    <t>STREETB</t>
  </si>
  <si>
    <t>LicenseAddressStrretB</t>
  </si>
  <si>
    <t>Transaction/Owners/PrimaryOwner/Address/LicenseAdress/StreetB</t>
  </si>
  <si>
    <t>LicenseAddressCity</t>
  </si>
  <si>
    <t>Transaction/Owners/PrimaryOwner/Address/LicenseAdress/City</t>
  </si>
  <si>
    <t>LicenseAddressState</t>
  </si>
  <si>
    <t>Transaction/Owners/PrimaryOwner/Address/LicenseAdress/State</t>
  </si>
  <si>
    <t>LicenseAddressZip</t>
  </si>
  <si>
    <t>MailingAddressStreetA</t>
  </si>
  <si>
    <t>MailingAddressStrretB</t>
  </si>
  <si>
    <t>Transaction/Owners/PrimaryOwner/Address/StreetB</t>
  </si>
  <si>
    <t>ADDRESS.STREET2</t>
  </si>
  <si>
    <t>deal.vehicle.ownerlessor.1.mailingaddress.street2</t>
  </si>
  <si>
    <t>MailingAddressCity</t>
  </si>
  <si>
    <t>MailingAddressState</t>
  </si>
  <si>
    <t>MailingAddressZip</t>
  </si>
  <si>
    <t>DomicileCode</t>
  </si>
  <si>
    <t xml:space="preserve">RESTRICTIONS </t>
  </si>
  <si>
    <t>BLOOD TYPE</t>
  </si>
  <si>
    <t>BloodType</t>
  </si>
  <si>
    <t>DONAR</t>
  </si>
  <si>
    <t>IsDonar</t>
  </si>
  <si>
    <t>MILITARY</t>
  </si>
  <si>
    <t>isMilitary</t>
  </si>
  <si>
    <t>VOTE</t>
  </si>
  <si>
    <t>isVote</t>
  </si>
  <si>
    <t>HANDICAP TYPE</t>
  </si>
  <si>
    <t>HandicapType</t>
  </si>
  <si>
    <t>HANDICAP CONTROL NUMBER</t>
  </si>
  <si>
    <t>HandiCapControlNumber</t>
  </si>
  <si>
    <t>REMARKS</t>
  </si>
  <si>
    <t>Remarks</t>
  </si>
  <si>
    <t>AUDIT NO</t>
  </si>
  <si>
    <t>TOTAL$</t>
  </si>
  <si>
    <t>DLRU50</t>
  </si>
  <si>
    <t>DLRU21,DLRU50</t>
  </si>
  <si>
    <t>STATUS I</t>
  </si>
  <si>
    <t>STATUS U</t>
  </si>
  <si>
    <t>STATUS H</t>
  </si>
  <si>
    <t>STATUS D</t>
  </si>
  <si>
    <t>STATUS N</t>
  </si>
  <si>
    <t>STATUS P</t>
  </si>
  <si>
    <t>InititalInquiryStatus</t>
  </si>
  <si>
    <t>UpdateActivityStatus</t>
  </si>
  <si>
    <t>HistoryInquiryStatus</t>
  </si>
  <si>
    <t>DuplicateRecordStatus</t>
  </si>
  <si>
    <t>InquiryColumnStatus</t>
  </si>
  <si>
    <t>PassedOffToCamera</t>
  </si>
  <si>
    <t>UPDATE ONLY</t>
  </si>
  <si>
    <t>isOnlyUpdate</t>
  </si>
  <si>
    <t>DLRU22</t>
  </si>
  <si>
    <t>DLRU19, DLRU20, DLRU21, DLRU22, DLRU50</t>
  </si>
  <si>
    <t>DLRU19, DLRU20, DLRU21,  DLRU22, DLRU50</t>
  </si>
  <si>
    <t>DLRU21,  DLRU22</t>
  </si>
  <si>
    <t>LICENSE FEE</t>
  </si>
  <si>
    <t>ISSUE DATE</t>
  </si>
  <si>
    <t>DLRU19, DLRU20, DLRU21,  DLRU22</t>
  </si>
  <si>
    <t xml:space="preserve">DLRU19, DLRU20,  DLRU22, </t>
  </si>
  <si>
    <t xml:space="preserve">DLRU19, DLRU20, DLRU21,  DLRU22, </t>
  </si>
  <si>
    <t xml:space="preserve">DLRU21,  DLRU22, </t>
  </si>
  <si>
    <t>DLRU19, DLRU20,  DLRU22</t>
  </si>
  <si>
    <t xml:space="preserve"> DLRU22</t>
  </si>
  <si>
    <t>LicenseFee</t>
  </si>
  <si>
    <t>IssueDate</t>
  </si>
  <si>
    <t>strUserID</t>
  </si>
  <si>
    <t>strPassword</t>
  </si>
  <si>
    <t>intAccountID</t>
  </si>
  <si>
    <t>strStreet</t>
  </si>
  <si>
    <t>strCity</t>
  </si>
  <si>
    <t>strZipCode</t>
  </si>
  <si>
    <t>decItemValue</t>
  </si>
  <si>
    <t>TAX WATCH - REQUEST</t>
  </si>
  <si>
    <t>SNo</t>
  </si>
  <si>
    <t>TAX WATCH - RESPONSE</t>
  </si>
  <si>
    <t>intRsltCode</t>
  </si>
  <si>
    <t>strRsltMsg</t>
  </si>
  <si>
    <t>intRequestID</t>
  </si>
  <si>
    <t>strRequestDate</t>
  </si>
  <si>
    <t>strRequestTime</t>
  </si>
  <si>
    <t>strDomCode</t>
  </si>
  <si>
    <t>strDomName</t>
  </si>
  <si>
    <t>strParish</t>
  </si>
  <si>
    <t xml:space="preserve"> strTaxRate</t>
  </si>
  <si>
    <t>strTaxAmt</t>
  </si>
  <si>
    <t>strCompRate</t>
  </si>
  <si>
    <t>strCompAmt</t>
  </si>
  <si>
    <t xml:space="preserve"> intGeoStatus</t>
  </si>
  <si>
    <t>strGeoRslt</t>
  </si>
  <si>
    <t xml:space="preserve">regTransaction.newVehicle.modelObject
</t>
  </si>
  <si>
    <t xml:space="preserve">VEHICLE.MODEL_ID
</t>
  </si>
  <si>
    <t xml:space="preserve">deal.vehicle.model
</t>
  </si>
  <si>
    <t xml:space="preserve">
deal.vehicle.grossweight</t>
  </si>
  <si>
    <t xml:space="preserve">
REGISTRATION.GROSS_WEIGHT</t>
  </si>
  <si>
    <t xml:space="preserve">
regTransaction.newVehicle.registration.grossWeight</t>
  </si>
  <si>
    <t>regTransaction.newVehicle.registration.regSticker</t>
  </si>
  <si>
    <t>deal.vehicle.regyearsticker.sequencenumber</t>
  </si>
  <si>
    <t>LA_REGISTRATION.HANDICAP_STATUS</t>
  </si>
  <si>
    <t>LA_REGISTRATION.FLAG_DATE1</t>
  </si>
  <si>
    <t>deal.vehicle.flagdate1</t>
  </si>
  <si>
    <t>stRegTransaction.taxDate</t>
  </si>
  <si>
    <t>LA_REGTRANSACTION.TAX_DATE</t>
  </si>
  <si>
    <t>deal.taxdate</t>
  </si>
  <si>
    <t>TEMP TAG - REQUEST</t>
  </si>
  <si>
    <t>actOfDonation</t>
  </si>
  <si>
    <t>actOfDonationRelationship</t>
  </si>
  <si>
    <t>businessName</t>
  </si>
  <si>
    <t>businessName2</t>
  </si>
  <si>
    <t>costOfVehicle</t>
  </si>
  <si>
    <t>dlneinOfRenter</t>
  </si>
  <si>
    <t>dealerCollectTax</t>
  </si>
  <si>
    <t>dealerLicenseNumber</t>
  </si>
  <si>
    <t>dealerName</t>
  </si>
  <si>
    <t xml:space="preserve">    domicileCode</t>
  </si>
  <si>
    <t xml:space="preserve">    electronicFundTransferCode</t>
  </si>
  <si>
    <t xml:space="preserve">    electronicLienTransferCode</t>
  </si>
  <si>
    <t xml:space="preserve">    email</t>
  </si>
  <si>
    <t xml:space="preserve">    expireDate</t>
  </si>
  <si>
    <t xml:space="preserve">    firstLienHolderAddress</t>
  </si>
  <si>
    <t xml:space="preserve">    firstLienHolderCity</t>
  </si>
  <si>
    <t xml:space="preserve">    firstLienHolderName</t>
  </si>
  <si>
    <t xml:space="preserve">    firstLienHolderState</t>
  </si>
  <si>
    <t xml:space="preserve">    firstLienHolderZip</t>
  </si>
  <si>
    <t xml:space="preserve">    ipNumber</t>
  </si>
  <si>
    <t xml:space="preserve">    isManufacturedHome</t>
  </si>
  <si>
    <t xml:space="preserve">    issueDate</t>
  </si>
  <si>
    <t xml:space="preserve">    jointOwnerBusinessName</t>
  </si>
  <si>
    <t xml:space="preserve">    jointOwnerType</t>
  </si>
  <si>
    <t xml:space="preserve">    lessTrade</t>
  </si>
  <si>
    <t xml:space="preserve">    mileage</t>
  </si>
  <si>
    <t xml:space="preserve">    modelIndicator</t>
  </si>
  <si>
    <t xml:space="preserve">    newOrUsed</t>
  </si>
  <si>
    <t xml:space="preserve">    overrideInvalidTradeVIN</t>
  </si>
  <si>
    <t xml:space="preserve">    overrideInvalidVIN</t>
  </si>
  <si>
    <t xml:space="preserve">    ownerAddress</t>
  </si>
  <si>
    <t xml:space="preserve">    ownerCity</t>
  </si>
  <si>
    <t xml:space="preserve">    ownerDLNumber</t>
  </si>
  <si>
    <t xml:space="preserve">    ownerDLState</t>
  </si>
  <si>
    <t xml:space="preserve">    ownerNameFirst</t>
  </si>
  <si>
    <t xml:space="preserve">    ownerNameLast</t>
  </si>
  <si>
    <t xml:space="preserve">    ownerNameMiddle</t>
  </si>
  <si>
    <t xml:space="preserve">    ownerParish</t>
  </si>
  <si>
    <t xml:space="preserve">    ownerState</t>
  </si>
  <si>
    <t xml:space="preserve">    ownerType</t>
  </si>
  <si>
    <t xml:space="preserve">    ownerZip</t>
  </si>
  <si>
    <t xml:space="preserve">    password</t>
  </si>
  <si>
    <t xml:space="preserve">    previousTitleNo</t>
  </si>
  <si>
    <t xml:space="preserve">    previousTitleState</t>
  </si>
  <si>
    <t xml:space="preserve">    rebate</t>
  </si>
  <si>
    <t xml:space="preserve">    recordedBy</t>
  </si>
  <si>
    <t xml:space="preserve">    renewalMailedTo</t>
  </si>
  <si>
    <t xml:space="preserve">    secondAddress</t>
  </si>
  <si>
    <t xml:space="preserve">    secondAddressBusinessIndividual</t>
  </si>
  <si>
    <t xml:space="preserve">    secondAddressType</t>
  </si>
  <si>
    <t xml:space="preserve">    secondCity</t>
  </si>
  <si>
    <t xml:space="preserve">    secondLienHolderAddress</t>
  </si>
  <si>
    <t xml:space="preserve">    secondLienHolderCity</t>
  </si>
  <si>
    <t xml:space="preserve">    secondLienHolderName</t>
  </si>
  <si>
    <t xml:space="preserve">    secondLienState</t>
  </si>
  <si>
    <t xml:space="preserve">    secondLienZip</t>
  </si>
  <si>
    <t xml:space="preserve">    secondNameFirst</t>
  </si>
  <si>
    <t xml:space="preserve">    secondNameLast</t>
  </si>
  <si>
    <t xml:space="preserve">    secondNameMiddle</t>
  </si>
  <si>
    <t xml:space="preserve">    secondOwnerDLN</t>
  </si>
  <si>
    <t xml:space="preserve">    secondOwnerEmail</t>
  </si>
  <si>
    <t xml:space="preserve">    secondOwnerNameFirst</t>
  </si>
  <si>
    <t xml:space="preserve">    secondOwnerNameLast</t>
  </si>
  <si>
    <t xml:space="preserve">    secondOwnerNameMiddle</t>
  </si>
  <si>
    <t xml:space="preserve">    secondOwnerdlstate</t>
  </si>
  <si>
    <t xml:space="preserve">    secondParish</t>
  </si>
  <si>
    <t xml:space="preserve">    secondState</t>
  </si>
  <si>
    <t xml:space="preserve">    secondZip</t>
  </si>
  <si>
    <t xml:space="preserve">    specialTaxArea</t>
  </si>
  <si>
    <t xml:space="preserve">    specialTaxDistrict</t>
  </si>
  <si>
    <t xml:space="preserve">    taxDate</t>
  </si>
  <si>
    <t xml:space="preserve">    taxExempt</t>
  </si>
  <si>
    <t xml:space="preserve">    taxExemptCode</t>
  </si>
  <si>
    <t xml:space="preserve">    taxExemptCodeLong</t>
  </si>
  <si>
    <t xml:space="preserve">    taxValue</t>
  </si>
  <si>
    <t xml:space="preserve">    tempTagNumber</t>
  </si>
  <si>
    <t xml:space="preserve">    tradeLicenseNumber</t>
  </si>
  <si>
    <t xml:space="preserve">    tradeVIN</t>
  </si>
  <si>
    <t xml:space="preserve">    transactionDate</t>
  </si>
  <si>
    <t xml:space="preserve">    typeOfPlate</t>
  </si>
  <si>
    <t xml:space="preserve">    typeOfPlateLong</t>
  </si>
  <si>
    <t xml:space="preserve">    userName</t>
  </si>
  <si>
    <t xml:space="preserve">    vin</t>
  </si>
  <si>
    <t xml:space="preserve">    vehicleBodyStyle</t>
  </si>
  <si>
    <t xml:space="preserve">    vehicleBodyStyleLong</t>
  </si>
  <si>
    <t xml:space="preserve">    vehicleColor</t>
  </si>
  <si>
    <t xml:space="preserve">    vehicleColorLong</t>
  </si>
  <si>
    <t xml:space="preserve">    vehicleColorTop</t>
  </si>
  <si>
    <t xml:space="preserve">    vehicleColorTopLong</t>
  </si>
  <si>
    <t xml:space="preserve">    vehicleMake</t>
  </si>
  <si>
    <t xml:space="preserve">    vehicleMakeLong</t>
  </si>
  <si>
    <t xml:space="preserve">    vehicleModel</t>
  </si>
  <si>
    <t xml:space="preserve">    vehicleModelLong</t>
  </si>
  <si>
    <t xml:space="preserve">    vehicleModelYear</t>
  </si>
  <si>
    <t xml:space="preserve">    voidComments</t>
  </si>
  <si>
    <t xml:space="preserve">    weight</t>
  </si>
  <si>
    <t xml:space="preserve">    withinMunicipality</t>
  </si>
  <si>
    <t xml:space="preserve">    void</t>
  </si>
  <si>
    <t>TEMP TAG- RESPONSE</t>
  </si>
  <si>
    <t>AttemptedFunction</t>
  </si>
  <si>
    <t>TempTagNumber</t>
  </si>
  <si>
    <t>Success</t>
  </si>
  <si>
    <t>description</t>
  </si>
  <si>
    <t>fieldName</t>
  </si>
  <si>
    <t>functionName</t>
  </si>
  <si>
    <t>Having '3' services.
1. Issue Tags
2. Update Tags.
3. Void Tags.</t>
  </si>
  <si>
    <t>securityKey</t>
  </si>
  <si>
    <t>PlateNbr</t>
  </si>
  <si>
    <t>Services</t>
  </si>
  <si>
    <t>GetRegistrationDataByPlate</t>
  </si>
  <si>
    <t>GetRegistrationDataByPlateResponse</t>
  </si>
  <si>
    <t>GetRegistrationDataByPlateResult</t>
  </si>
  <si>
    <t>GetRegistrationDataByVIN</t>
  </si>
  <si>
    <t>ITI</t>
  </si>
  <si>
    <t>VINNbr</t>
  </si>
  <si>
    <t>GetRegistrationDataByVINResult</t>
  </si>
  <si>
    <t>GetRegistrationDataByVINResponse</t>
  </si>
  <si>
    <t>GetRegistrationData</t>
  </si>
  <si>
    <t>Request</t>
  </si>
  <si>
    <t>Response</t>
  </si>
  <si>
    <t>officeId</t>
  </si>
  <si>
    <t>beginDate</t>
  </si>
  <si>
    <t>endDate</t>
  </si>
  <si>
    <t>GetRegistrationDataResponse</t>
  </si>
  <si>
    <t>GetRegistrationDataResult</t>
  </si>
  <si>
    <t>regTransaction.newVehicle.stRegistration.flagDate1(STRegistration)</t>
  </si>
  <si>
    <t>regTransaction.newVehicle.stRegistration.addressType(STRegistration)</t>
  </si>
  <si>
    <t>regTransaction.newVehicle.stRegistration.mailTo(STRegistration)</t>
  </si>
  <si>
    <t>regTransaction.newVehicle.stRegistration.handicapStatus(STRegistration)</t>
  </si>
  <si>
    <t>regTransaction.newVehicle.stTitle.microFilmNumber(STTitle)</t>
  </si>
  <si>
    <t>regTransaction.newVehicle.stRegistration.domicile(STRegistration)</t>
  </si>
  <si>
    <t>stRegTransaction.effectiveDate</t>
  </si>
  <si>
    <t>LA_REGTRANSACTION.EFFECTIVE_DATE</t>
  </si>
  <si>
    <t>deal.effectivedate</t>
  </si>
  <si>
    <t>regTransaction.newVehicle.stTitle.titleCharged(STTitle)</t>
  </si>
  <si>
    <t>regTransaction.newVehicle.stRegistration.specialPlateFirstIssuance(STRegistration)</t>
  </si>
  <si>
    <t>regTransaction.newVehicle.stRegistration.limitsMunicipality(STRegistration)</t>
  </si>
  <si>
    <t xml:space="preserve">
regTransaction.newVehicle.stRegistration.beginSeqNo(STRegistration)
regTransaction.newVehicle.stRegistration.endSeqNo(STRegistration)</t>
  </si>
  <si>
    <t>regTransaction.newVehicle.stRegistration.regExpYear(STRegistration)</t>
  </si>
  <si>
    <t>regTransaction.newVehicle.stRegistration.plateTypesList(STRegistration)</t>
  </si>
  <si>
    <t>regTransaction.newVehicle.stTitle.publicTagAgent(STTitle)</t>
  </si>
  <si>
    <t>deal.dmvfees.#.amount</t>
  </si>
  <si>
    <t>transaction.DMVFees[0].amount</t>
  </si>
  <si>
    <t>TRANSACTION_FEES.AMOUNT</t>
  </si>
  <si>
    <t>PARTY.HEIGHT</t>
  </si>
  <si>
    <t>regTransaction.newVehicle.title.legalparties[0].info1 (Individual)</t>
  </si>
  <si>
    <t>Transaction/Vehicle/Flags/Flag</t>
  </si>
  <si>
    <t>Transaction/LienHolder/Name</t>
  </si>
  <si>
    <t>Transaction/Owners/PrimaryOwner/OwnerType</t>
  </si>
  <si>
    <t>Transaction/Owners/SecondaryOwner/OwnerType</t>
  </si>
  <si>
    <t>Transaction/Registration/IsRenewMailToOwner</t>
  </si>
  <si>
    <t>Transaction/CommentsOri</t>
  </si>
  <si>
    <t xml:space="preserve">Transaction/CommentsOca </t>
  </si>
  <si>
    <t>Transaction/Owners/PrimaryOwner/DriverLicenseNum</t>
  </si>
  <si>
    <t>Transaction/Sale/TaxesAndFees/LicensePenaltyCredit</t>
  </si>
  <si>
    <t>holds value N / U</t>
  </si>
  <si>
    <t>Transaction/Sale/TaxesAndFees/StateTaxesAndFees/StateNetTax</t>
  </si>
  <si>
    <t>Transaction/Sale/TaxesAndFees/PMTaxesAndFees/PMNetTax</t>
  </si>
  <si>
    <t>PARTY.MIDDLE_NAME</t>
  </si>
  <si>
    <t>deal.vehicle.ownerlessor.1.residentialaddress.street2</t>
  </si>
  <si>
    <t>deal.vehicle.ownerlessor.1.residentialaddress.state</t>
  </si>
  <si>
    <t>PARTY.MILITARY</t>
  </si>
  <si>
    <t>deal.vehicle.ownerlessor.1.ismilitary</t>
  </si>
  <si>
    <t xml:space="preserve">regTransaction.newVehicle.title.legalparties[0].firstName  (Individual) </t>
  </si>
  <si>
    <t xml:space="preserve">PARTY.FIRST_NAME  </t>
  </si>
  <si>
    <t xml:space="preserve">deal.vehicle.ownerlessor.1.firstname </t>
  </si>
  <si>
    <t>ADDRESS.COUNTYDESCR</t>
  </si>
  <si>
    <t xml:space="preserve">regTransaction.newVehicle.title.legalparties[1].firstName  (Individual) </t>
  </si>
  <si>
    <t>regTransaction.newVehicle.title.legalparties[1].lastName (Individual)</t>
  </si>
  <si>
    <t>regTransaction.newVehicle.title.legalparties[1].middleName (Individual)</t>
  </si>
  <si>
    <t xml:space="preserve">deal.vehicle.ownerlessor.2.firstname </t>
  </si>
  <si>
    <t xml:space="preserve">deal.vehicle.ownerlessor.2.lastname </t>
  </si>
  <si>
    <t>deal.vehicle.ownerlessor.2.middlename</t>
  </si>
  <si>
    <t xml:space="preserve">regTransaction.newVehicle.title.legalparties[1].businessName  (Business) </t>
  </si>
  <si>
    <t xml:space="preserve">regTransaction.newVehicle.title.legalparties[1].dmvID(Individual) </t>
  </si>
  <si>
    <t xml:space="preserve">deal.vehicle.ownerlessor.2.dmvidno(Individual) </t>
  </si>
  <si>
    <t xml:space="preserve">PARTY.EMAIL_ADDRESS
</t>
  </si>
  <si>
    <t>regTransaction.newVehicle.title.legalparties[1].emailAddress</t>
  </si>
  <si>
    <t>deal.vehicle.ownerlessor.2.emailaddress</t>
  </si>
  <si>
    <t>LS00</t>
  </si>
  <si>
    <t>SKIP</t>
  </si>
  <si>
    <t>TOTAL RECORDS</t>
  </si>
  <si>
    <t>CustomerApplyToDriverLicenseCount</t>
  </si>
  <si>
    <t>IsCommercialDriverLicense</t>
  </si>
  <si>
    <t>OutofStateCommercialDriverLicnese</t>
  </si>
  <si>
    <t>Transaction/Sale/TaxesAndFees/SpecialPlateFirstIssueFee</t>
  </si>
  <si>
    <t>Enter fee for first time issuance of a special plate $3.50</t>
  </si>
  <si>
    <t>The money code field is used to indicate whether or not there is a charge associated with that transaction.  Possible entries include C (indicating "charge", in which case a $12 fee will be charged), N (indicating "no charge"), and D (indicating "delete" - this is used infrequently and the purpose is to essentially "void" a LA or VA transaction processed previously).</t>
  </si>
  <si>
    <t xml:space="preserve">SPECL/FEE
</t>
  </si>
  <si>
    <t>Assumptions</t>
  </si>
  <si>
    <t>No assumptions [already got clarity that office code is unique from DT side]</t>
  </si>
  <si>
    <t>No assumptions [ We know the values based on the DMV manual and transaction list pdf]</t>
  </si>
  <si>
    <t>no assumptions</t>
  </si>
  <si>
    <t>assumption was there its clarified now</t>
  </si>
  <si>
    <t xml:space="preserve">assumption is we are not sure what value it would take .. This field is not used right now </t>
  </si>
  <si>
    <t xml:space="preserve">no assumption </t>
  </si>
  <si>
    <t>no assumption</t>
  </si>
  <si>
    <t>assumption  [inventory would be loaded with correct seq nos and this would mapped correctly here.. Havent defined the seq no formats for now]</t>
  </si>
  <si>
    <t>assumption [awaiting DT confirmation on the date format]</t>
  </si>
  <si>
    <t>assumption - waiting  for DT to confirm on the valid owner combinations</t>
  </si>
  <si>
    <t>assumption - we don’t know the format for this field , its not used right now .. We have assumed a string format for this</t>
  </si>
  <si>
    <t>assumed decimal format with 2 digits after decimal point</t>
  </si>
  <si>
    <t>assumption - waiting for DT to confirm on the date format</t>
  </si>
  <si>
    <t>assumption - it’s in string format</t>
  </si>
  <si>
    <t>Transaction/Vehicle/NewUsedIndicator</t>
  </si>
  <si>
    <t>assumption - we have assumed a string format</t>
  </si>
  <si>
    <t xml:space="preserve">assumption - we are using TT11 as the code most of the time .. There is no validation in place to verify this </t>
  </si>
  <si>
    <t>assumption - we have assumed a String format</t>
  </si>
  <si>
    <t>Assumption - string format data</t>
  </si>
  <si>
    <t>assumption - not needed , ignoring this field</t>
  </si>
  <si>
    <t xml:space="preserve">assumption not needed </t>
  </si>
  <si>
    <t>No assumption</t>
  </si>
  <si>
    <t>assumption always 1 - ignore from response for most transactions</t>
  </si>
  <si>
    <t>assumption - we are not going to shuffle the flag order stored in transactions based on the response order</t>
  </si>
  <si>
    <t>assumption - string format</t>
  </si>
  <si>
    <t>assumption was there its clarified now. We are not sending the flags in the order state wants from the soap layer .. This would need to be mapped appropriately in the terminal emulator level</t>
  </si>
  <si>
    <t>stRegTransaction.comment3</t>
  </si>
  <si>
    <t>LA_REGTRANSACTION.COMMENT_3</t>
  </si>
  <si>
    <t>deal.comment3</t>
  </si>
  <si>
    <t>deal.comment2</t>
  </si>
  <si>
    <t>LA_REGTRANSACTION.COMMENT_2</t>
  </si>
  <si>
    <t>stRegTransaction.comment2</t>
  </si>
  <si>
    <t>stRegTransaction.comment1</t>
  </si>
  <si>
    <t>deal.comment1</t>
  </si>
  <si>
    <t>LA_REGTRANSACTION.COMMENT1</t>
  </si>
  <si>
    <t>regTransaction.newVehicle.MobileHome(STVehicle)</t>
  </si>
  <si>
    <t>LA_VEHICLE.MOBILE_HOME</t>
  </si>
  <si>
    <t>deal.vehicle.ismobilehome</t>
  </si>
  <si>
    <t>stRegTransaction.mortagageCodeWithoutUCC</t>
  </si>
  <si>
    <t>LA_REGTRANSACTION.MORTAGAGE_CODE_WITHOUT_UCC</t>
  </si>
  <si>
    <t>deal.mortagagecodewithoutucc</t>
  </si>
  <si>
    <t>stRegTransaction.mortagageCodeWithUCC</t>
  </si>
  <si>
    <t>LA_REGTRANSACTION.MORTAGAGE_CODE_WITH_UCC</t>
  </si>
  <si>
    <t>deal.mortagagecodewithucc</t>
  </si>
  <si>
    <t>regTransaction.newVehicle.stTitle.jointOwner.firstName(Individual) + 
regTransaction.newVehicle.stTitle.jointOwner.lastName(Individual) + 
regTransaction.newVehicle.stTitle.jointOwner.middleName(Individual) + 
regTransaction.newVehicle.stTitle.jointOwner.suffix(Individual)
regTransaction.newVehicle.stTitle.jointOwner.businessName(Business)</t>
  </si>
  <si>
    <t>deal.vehicle.jointowner.firstname + deal.vehicle.jointowner.middlename + deal.vehicle.jointowner.lastname + deal.vehicle.jointowner.suffix
deal.vehicle.jointowner.businessname</t>
  </si>
  <si>
    <t>regTransaction.newVehicle.vehicleFlags(STVehicle)</t>
  </si>
  <si>
    <t>LA_VEHICLE.FLAGS</t>
  </si>
  <si>
    <t>deal.vehicle.flag.#</t>
  </si>
  <si>
    <t>regTransaction.newVehicle.ownerFlag(STTitle)</t>
  </si>
  <si>
    <t>LA_VEHICLE.OWNER_FLAG</t>
  </si>
  <si>
    <t>deal.vehicle.ownerflag</t>
  </si>
  <si>
    <t>regTransaction.newVehicle.lienFlag(STTitle)</t>
  </si>
  <si>
    <t>LA_VEHICLE.LIEN_FLAG</t>
  </si>
  <si>
    <t>deal.vehicle.lienflag</t>
  </si>
  <si>
    <t>regTransaction.effectiveDate</t>
  </si>
  <si>
    <t>REGTRANSACTION.EFFECTIVE_DATE</t>
  </si>
  <si>
    <t>regTransaction.ADJOverride</t>
  </si>
  <si>
    <t>REGTRANSACTION.ADJ_OVERRIDE</t>
  </si>
  <si>
    <t>deal.adjoverride</t>
  </si>
  <si>
    <t>regTransaction.PIVNumber</t>
  </si>
  <si>
    <t>REGTRANSACTION.PIV_NO</t>
  </si>
  <si>
    <t>deal.pivnumber</t>
  </si>
  <si>
    <t>regTransaction.JVNumber</t>
  </si>
  <si>
    <t>REGTRANSACTION.JV_NO</t>
  </si>
  <si>
    <t>deal.jvnumber</t>
  </si>
  <si>
    <t>regTransaction.ListingNumber</t>
  </si>
  <si>
    <t>REGTRANSACTION.LISTING_NO</t>
  </si>
  <si>
    <t>deal.listingnumber</t>
  </si>
  <si>
    <t>LA_REGTRANSACTION.COMMENT_1</t>
  </si>
  <si>
    <t>regTransaction.newVehicle.title.legalparties[0].expirationDate (Individual)</t>
  </si>
  <si>
    <t>PARTY.EXPIRATION_DATE</t>
  </si>
  <si>
    <t>deal.vehicle.ownerlessor.1.expirationdate</t>
  </si>
  <si>
    <t>Transaction/Metadata/Comments/Comment</t>
  </si>
  <si>
    <t>Transaction/Metadata/TranType</t>
  </si>
  <si>
    <t>Transaction/Metadata/FlagSetDate1</t>
  </si>
  <si>
    <t>Transaction/Metadata/FlagSetDate2</t>
  </si>
  <si>
    <t>Transaction/Metadata/BatchNum</t>
  </si>
  <si>
    <t>Transaction/Metadata/SequenceNum</t>
  </si>
  <si>
    <t>Transaction/LienHolder/MortagageCode</t>
  </si>
  <si>
    <t>isDLComplainceWithFederalGovernment</t>
  </si>
  <si>
    <t>ExistingDLMetaData/Last/DriverLicenseNo</t>
  </si>
  <si>
    <t>ExistingDLMetaData/DateOfBirth</t>
  </si>
  <si>
    <t>ExistingDLMetaData/Race</t>
  </si>
  <si>
    <t>ExistingDLMetaData/Gender</t>
  </si>
  <si>
    <t>ExistingDLMetaData/LastName/Name</t>
  </si>
  <si>
    <t>ExistingDLMetaData/LastName/TC</t>
  </si>
  <si>
    <t>ExistingDLMetaData/LastName/TL</t>
  </si>
  <si>
    <t xml:space="preserve">TransType      </t>
  </si>
  <si>
    <t>STRegTransaction.TranType</t>
  </si>
  <si>
    <t xml:space="preserve">Plate          </t>
  </si>
  <si>
    <t>licplate</t>
  </si>
  <si>
    <t xml:space="preserve">RenewalDate    </t>
  </si>
  <si>
    <t>expiration</t>
  </si>
  <si>
    <t xml:space="preserve">Vin            </t>
  </si>
  <si>
    <t xml:space="preserve">TransDate      </t>
  </si>
  <si>
    <t xml:space="preserve">DomCode        </t>
  </si>
  <si>
    <t xml:space="preserve">VehSalesPrice  </t>
  </si>
  <si>
    <t xml:space="preserve">VehMake        </t>
  </si>
  <si>
    <t xml:space="preserve">VehModelWeight </t>
  </si>
  <si>
    <t xml:space="preserve">VehBody        </t>
  </si>
  <si>
    <t xml:space="preserve">VehColor       </t>
  </si>
  <si>
    <t xml:space="preserve">VehYear        </t>
  </si>
  <si>
    <t xml:space="preserve">Odometer       </t>
  </si>
  <si>
    <t xml:space="preserve">DLNumber       </t>
  </si>
  <si>
    <t xml:space="preserve">StickerNumber  </t>
  </si>
  <si>
    <t>regTransaction.registration.RegSticker.SequenceNumber</t>
  </si>
  <si>
    <t>LicenseCode</t>
  </si>
  <si>
    <t xml:space="preserve">LicenseFee     </t>
  </si>
  <si>
    <t xml:space="preserve">OwnerName      </t>
  </si>
  <si>
    <t>SecondOwnerName</t>
  </si>
  <si>
    <t>regTransaction.newVehicle.title.legalparties[0].name [Ind -&gt; lastName, firstName;  Bus -&gt; businessName]</t>
  </si>
  <si>
    <t xml:space="preserve">OwnerNameCode  </t>
  </si>
  <si>
    <t>regTransaction.newVehicle.title.legalparties[0].isIndividual</t>
  </si>
  <si>
    <t xml:space="preserve">TowFee            </t>
  </si>
  <si>
    <t>transaction.SalesTaxFees[0].amount</t>
  </si>
  <si>
    <t xml:space="preserve">OwnerAddy         </t>
  </si>
  <si>
    <t xml:space="preserve">regTransaction.newVehicle.title.legalparties[0].addresses[0].street1 </t>
  </si>
  <si>
    <t xml:space="preserve">SecondOwnerAddy   </t>
  </si>
  <si>
    <t xml:space="preserve">TaxDate           </t>
  </si>
  <si>
    <t xml:space="preserve">EffectiveDate     </t>
  </si>
  <si>
    <t xml:space="preserve">LicenseCreditApp  </t>
  </si>
  <si>
    <t xml:space="preserve">OwnerCityState    </t>
  </si>
  <si>
    <t>regTransaction.newVehicle.title.legalparties[0].addresses[0].city
regTransaction.newVehicle.title.legalparties[0].addresses[0].state</t>
  </si>
  <si>
    <t xml:space="preserve">OwnerZip          </t>
  </si>
  <si>
    <t>regTransaction.newVehicle.title.legalparties[1].addresses[0].zip</t>
  </si>
  <si>
    <t xml:space="preserve">EftCode           </t>
  </si>
  <si>
    <t>stRegTransaction.EftCode</t>
  </si>
  <si>
    <t xml:space="preserve">Cd                </t>
  </si>
  <si>
    <t xml:space="preserve">Remittance        </t>
  </si>
  <si>
    <t>stRegTransaction.DMVFees[0].amount</t>
  </si>
  <si>
    <t xml:space="preserve">CitationDate      </t>
  </si>
  <si>
    <t>stRegTransaction.setCitationDate</t>
  </si>
  <si>
    <t xml:space="preserve">LicensePenalty    </t>
  </si>
  <si>
    <t>transaction.DMVFeeCredits[0].amount</t>
  </si>
  <si>
    <t xml:space="preserve">LmodName          </t>
  </si>
  <si>
    <t>regTransaction.newVehicle.title.legalparties[1].name(Business -&gt; businessName; Individual -&gt; lastName, firstName)</t>
  </si>
  <si>
    <t xml:space="preserve">LmodStatus        </t>
  </si>
  <si>
    <t xml:space="preserve">LmodNt            </t>
  </si>
  <si>
    <t>regTransaction.newVehicle.title.legalparties[1].isIndividual</t>
  </si>
  <si>
    <t xml:space="preserve">TaxableValue      </t>
  </si>
  <si>
    <t xml:space="preserve">TradeinValue      </t>
  </si>
  <si>
    <t xml:space="preserve">LicPenCredit      </t>
  </si>
  <si>
    <t xml:space="preserve">LmodStreet        </t>
  </si>
  <si>
    <t xml:space="preserve">Rebate            </t>
  </si>
  <si>
    <t xml:space="preserve">StateSalesTax     </t>
  </si>
  <si>
    <t xml:space="preserve">PMSalesTax        </t>
  </si>
  <si>
    <t xml:space="preserve">LicTransFee       </t>
  </si>
  <si>
    <t xml:space="preserve">LmodCityState     </t>
  </si>
  <si>
    <t>regTransaction.newVehicle.title.legalparties[1].addresses[0].city
regTransaction.newVehicle.title.legalparties[1].addresses[0].state</t>
  </si>
  <si>
    <t xml:space="preserve">LmodZip           </t>
  </si>
  <si>
    <t xml:space="preserve">StateTaxPenalty   </t>
  </si>
  <si>
    <t xml:space="preserve">PMTaxPenalty      </t>
  </si>
  <si>
    <t xml:space="preserve">NetLicenseFee     </t>
  </si>
  <si>
    <t xml:space="preserve">PMTaxCredit       </t>
  </si>
  <si>
    <t>transaction.SalesTaxCredits[0].amount</t>
  </si>
  <si>
    <t xml:space="preserve">NumberLiens       </t>
  </si>
  <si>
    <t xml:space="preserve">StateTaxInterest  </t>
  </si>
  <si>
    <t>regTransaction.sales.setSalesTaxRate</t>
  </si>
  <si>
    <t xml:space="preserve">PMInterest        </t>
  </si>
  <si>
    <t xml:space="preserve">ParishFee         </t>
  </si>
  <si>
    <t xml:space="preserve">FirstLHName       </t>
  </si>
  <si>
    <t xml:space="preserve">FirstLHDate       </t>
  </si>
  <si>
    <t>StateTaxCredit</t>
  </si>
  <si>
    <t>transaction.SalesTaxCredits[0].amount (or) regTransaction.sales.taxState</t>
  </si>
  <si>
    <t>WheelchairLift</t>
  </si>
  <si>
    <t xml:space="preserve">MortgageFee       </t>
  </si>
  <si>
    <t xml:space="preserve">FirstLHAddy       </t>
  </si>
  <si>
    <t xml:space="preserve">FirstLHAmount     </t>
  </si>
  <si>
    <t>regTransaction.newVehicle.title.lien.1.LienAmount</t>
  </si>
  <si>
    <t xml:space="preserve">StatePenCredit    </t>
  </si>
  <si>
    <t xml:space="preserve">PMPenCredit       </t>
  </si>
  <si>
    <t xml:space="preserve">MiscFee           </t>
  </si>
  <si>
    <t xml:space="preserve">FirstLHCityState  </t>
  </si>
  <si>
    <t>regTransaction.newVehicle.title.lien.1.lienHolder.address.city + regTransaction.newVehicle.title.lien.1.lienHolder.address.state</t>
  </si>
  <si>
    <t xml:space="preserve">FirstLHZip        </t>
  </si>
  <si>
    <t xml:space="preserve">StateVenComp      </t>
  </si>
  <si>
    <t xml:space="preserve">PMVenComp         </t>
  </si>
  <si>
    <t xml:space="preserve">ServiceHandFee    </t>
  </si>
  <si>
    <t xml:space="preserve">SecondLHName      </t>
  </si>
  <si>
    <t xml:space="preserve">SecondLHDate      </t>
  </si>
  <si>
    <t xml:space="preserve">NetStateTax       </t>
  </si>
  <si>
    <t xml:space="preserve">NetPMTax          </t>
  </si>
  <si>
    <t xml:space="preserve">TitleFee          </t>
  </si>
  <si>
    <t xml:space="preserve">SecondLHAddy      </t>
  </si>
  <si>
    <t xml:space="preserve">SecondLHAmount    </t>
  </si>
  <si>
    <t>regTransaction.newVehicle.title.lien.2.LienAmount</t>
  </si>
  <si>
    <t xml:space="preserve">RecoveryDistTax   </t>
  </si>
  <si>
    <t xml:space="preserve">TourismTax        </t>
  </si>
  <si>
    <t xml:space="preserve">TitleHandFee      </t>
  </si>
  <si>
    <t xml:space="preserve">SecondLHCityState </t>
  </si>
  <si>
    <t>regTransaction.newVehicle.title.lien.2.lienHolder.address.city + regTransaction.newVehicle.title.lien.2.lienHolder.address.state</t>
  </si>
  <si>
    <t xml:space="preserve">SecondLHZip       </t>
  </si>
  <si>
    <t xml:space="preserve">Dlrnr             </t>
  </si>
  <si>
    <t>regTransaction.newVehicle.title.legalparties[0].dmvID(Individual) -Sale
regTransaction.newVehicle.registration.legalparties[0].dmvID(Individual) - Lease</t>
  </si>
  <si>
    <t xml:space="preserve">RegCode           </t>
  </si>
  <si>
    <t xml:space="preserve">SpecCode          </t>
  </si>
  <si>
    <t xml:space="preserve">VehUse            </t>
  </si>
  <si>
    <t xml:space="preserve">OldExpiration     </t>
  </si>
  <si>
    <t xml:space="preserve"> transaction.OldVehicle.Registration.ExpirationDate</t>
  </si>
  <si>
    <t xml:space="preserve">AdminFee          </t>
  </si>
  <si>
    <t xml:space="preserve">Flags             </t>
  </si>
  <si>
    <t>regTransaction.newVehicle.VehicleFlags</t>
  </si>
  <si>
    <t xml:space="preserve">BatchSeqNo        </t>
  </si>
  <si>
    <t xml:space="preserve">SPFee             </t>
  </si>
  <si>
    <t xml:space="preserve">PrevTitle         </t>
  </si>
  <si>
    <t>regTransaction.oldVehicle.Title.TitleNumber</t>
  </si>
  <si>
    <t xml:space="preserve">PrevTitleState    </t>
  </si>
  <si>
    <t>regTransaction.oldVehicle.Title.PreviousTitleState</t>
  </si>
  <si>
    <t xml:space="preserve">PrevLicenseNo     </t>
  </si>
  <si>
    <t xml:space="preserve"> transaction.LicenseCode.code</t>
  </si>
  <si>
    <t xml:space="preserve">PrevLicNoExp      </t>
  </si>
  <si>
    <t xml:space="preserve">Reprint           </t>
  </si>
  <si>
    <t xml:space="preserve">Hcst              </t>
  </si>
  <si>
    <t>stRegTransaction.newVehicle.stRegistration.handicapStatus(STRegistration)</t>
  </si>
  <si>
    <t xml:space="preserve">OfficeNo          </t>
  </si>
  <si>
    <t xml:space="preserve">TotalTaxes        </t>
  </si>
  <si>
    <t xml:space="preserve">TotalFees         </t>
  </si>
  <si>
    <t xml:space="preserve">Nu                </t>
  </si>
  <si>
    <t xml:space="preserve">DateAcquired      </t>
  </si>
  <si>
    <t>regTransaction.sales.SalesDate</t>
  </si>
  <si>
    <t xml:space="preserve">CurrentTitle      </t>
  </si>
  <si>
    <t>regTransaction.newVehicle.Title.TitleNumber</t>
  </si>
  <si>
    <t xml:space="preserve">Microfilm         </t>
  </si>
  <si>
    <t xml:space="preserve">SeqNo             </t>
  </si>
  <si>
    <t>transaction.SeqNo</t>
  </si>
  <si>
    <t xml:space="preserve">Op                </t>
  </si>
  <si>
    <t xml:space="preserve"> transaction.OperatorCode</t>
  </si>
  <si>
    <t xml:space="preserve">Scope             </t>
  </si>
  <si>
    <t xml:space="preserve">Total             </t>
  </si>
  <si>
    <t>decc</t>
  </si>
  <si>
    <t>dec</t>
  </si>
  <si>
    <t>PLEASE EXPAND FOR ALL FIELDS OF 'GetRegistrationDataResult', 'GetRegistrationDataByVINResult' and 'GetRegistrationDataByPlateResult'</t>
  </si>
  <si>
    <t>ViewAdditionalRecords</t>
  </si>
  <si>
    <t>NoOfRecordsToDriverLicense</t>
  </si>
  <si>
    <t>STATUS</t>
  </si>
  <si>
    <t>DOE</t>
  </si>
  <si>
    <t>ADDRESS</t>
  </si>
  <si>
    <t>EYE</t>
  </si>
  <si>
    <t>WGT</t>
  </si>
  <si>
    <t>HGT</t>
  </si>
  <si>
    <t>ENDORSEMENTS</t>
  </si>
  <si>
    <t>DATEUPDATED</t>
  </si>
  <si>
    <t>TYPE OF CANCELLATION</t>
  </si>
  <si>
    <t>CANC</t>
  </si>
  <si>
    <t>DRC</t>
  </si>
  <si>
    <t>DLU</t>
  </si>
  <si>
    <t>DateRecordCreated</t>
  </si>
  <si>
    <t>DateFlagModified</t>
  </si>
  <si>
    <t>TypeOfCancellation</t>
  </si>
  <si>
    <t>Cancellation</t>
  </si>
  <si>
    <t>OfficeDate</t>
  </si>
  <si>
    <t>TRANSACTION</t>
  </si>
  <si>
    <t>SEQUENCE</t>
  </si>
  <si>
    <t>TransactionId</t>
  </si>
  <si>
    <t>Eye</t>
  </si>
  <si>
    <t>DateOfExpiry</t>
  </si>
  <si>
    <t>OwnerAddress</t>
  </si>
  <si>
    <t>OwnerCity</t>
  </si>
  <si>
    <t>OwnerState</t>
  </si>
  <si>
    <t>Endorsement</t>
  </si>
  <si>
    <t>DateUpdated</t>
  </si>
  <si>
    <t>SequenceNo</t>
  </si>
  <si>
    <t>DriverLicenseStatus</t>
  </si>
  <si>
    <t>RecordType</t>
  </si>
  <si>
    <t>RU01</t>
  </si>
  <si>
    <t>LS00, RU01</t>
  </si>
  <si>
    <t>DUP</t>
  </si>
  <si>
    <t>MVR NAME</t>
  </si>
  <si>
    <t>DR LIC</t>
  </si>
  <si>
    <t>EFF DATE</t>
  </si>
  <si>
    <t>TERM DATE</t>
  </si>
  <si>
    <t>RECD DATE</t>
  </si>
  <si>
    <t>CO CODE</t>
  </si>
  <si>
    <t>TRANS TYPE</t>
  </si>
  <si>
    <t>POL NR</t>
  </si>
  <si>
    <t>VEH YR</t>
  </si>
  <si>
    <t>OWN ID</t>
  </si>
  <si>
    <t>MK/MD</t>
  </si>
  <si>
    <t>OFC</t>
  </si>
  <si>
    <t>USR</t>
  </si>
  <si>
    <t>VEHICLE TYPE</t>
  </si>
  <si>
    <t>FlagSetDate1</t>
  </si>
  <si>
    <t>VIN
MVR VIN</t>
  </si>
  <si>
    <t>DuplicateCount</t>
  </si>
  <si>
    <t>Existing Driver License</t>
  </si>
  <si>
    <t>OOS [ Out of State] Driver License</t>
  </si>
  <si>
    <t>FristNameTL</t>
  </si>
  <si>
    <t>Suffix</t>
  </si>
  <si>
    <t>DLRU19,DLRU20</t>
  </si>
  <si>
    <t>Vision W/LENS</t>
  </si>
  <si>
    <t>EyeVisionLeft</t>
  </si>
  <si>
    <t>EyeVisionRight</t>
  </si>
  <si>
    <t>EyeVisionBoth</t>
  </si>
  <si>
    <t>MedicalQuestionOne</t>
  </si>
  <si>
    <t>MedicalQuestionTwo</t>
  </si>
  <si>
    <t xml:space="preserve">Lens W/O </t>
  </si>
  <si>
    <t>R</t>
  </si>
  <si>
    <t>B</t>
  </si>
  <si>
    <t>LensLeft</t>
  </si>
  <si>
    <t>LensRight</t>
  </si>
  <si>
    <t>LensBoth</t>
  </si>
  <si>
    <t>DL-TL</t>
  </si>
  <si>
    <t>Passenger</t>
  </si>
  <si>
    <t>FreeDocumentCredit</t>
  </si>
  <si>
    <t>FosterChild</t>
  </si>
  <si>
    <t>FOSTER CHD</t>
  </si>
  <si>
    <t>NonPermanentAlien</t>
  </si>
  <si>
    <t>PhotoRetake</t>
  </si>
  <si>
    <t>CHG REST</t>
  </si>
  <si>
    <t>ChangeRest</t>
  </si>
  <si>
    <t>DelinqueCredit</t>
  </si>
  <si>
    <t>ComercialLicensePermit</t>
  </si>
  <si>
    <t>ReferToHazardLicense</t>
  </si>
  <si>
    <t>Interlock-Breathlizer</t>
  </si>
  <si>
    <t>DisabledVeteran</t>
  </si>
  <si>
    <t>ChildID</t>
  </si>
  <si>
    <t>UndocumentAliens</t>
  </si>
  <si>
    <t>DrivingWhileIntoxicated1-2-3-Offense</t>
  </si>
  <si>
    <t>GenderOffender</t>
  </si>
  <si>
    <t>RES
RESTRICTIONS-1</t>
  </si>
  <si>
    <t>RES
RESTRICTIONS-2</t>
  </si>
  <si>
    <t>RES
RESTRICTIONS-3</t>
  </si>
  <si>
    <t>RES
RESTRICTIONS-4</t>
  </si>
  <si>
    <t>RES
RESTRICTIONS-5</t>
  </si>
  <si>
    <t>RES
RESTRICTIONS-6</t>
  </si>
  <si>
    <t>Restrictions-1</t>
  </si>
  <si>
    <t>Restrictions-2</t>
  </si>
  <si>
    <t>Restrictions-3</t>
  </si>
  <si>
    <t>Restrictions-4</t>
  </si>
  <si>
    <t>Restrictions-5</t>
  </si>
  <si>
    <t>Restrictions-6</t>
  </si>
  <si>
    <t>TotalDollar</t>
  </si>
  <si>
    <t>ReceivedDate</t>
  </si>
  <si>
    <t>VehicleType</t>
  </si>
  <si>
    <t>RU01, 11LP</t>
  </si>
  <si>
    <t>RU01, 11Lp</t>
  </si>
  <si>
    <t>DATE ACQUIRED
DATE-1</t>
  </si>
  <si>
    <t>FlagSetDate2</t>
  </si>
  <si>
    <t>DL
DL-FOOTER</t>
  </si>
  <si>
    <t>EIN
EIN-FOOTER</t>
  </si>
  <si>
    <t>11LP</t>
  </si>
  <si>
    <t>CONV</t>
  </si>
  <si>
    <t>ConvictionFee</t>
  </si>
  <si>
    <t>CASE</t>
  </si>
  <si>
    <t>LS00,2000</t>
  </si>
  <si>
    <t>IssuedToCertainTicketsOrConvictions</t>
  </si>
  <si>
    <t>11LP, 2000</t>
  </si>
  <si>
    <t>RETURNED MICROFILM</t>
  </si>
  <si>
    <t>ReturnedMicroFilm</t>
  </si>
  <si>
    <t>DATE OF NOTICE</t>
  </si>
  <si>
    <t>DateOfNotice</t>
  </si>
  <si>
    <t>PARAGRAPH</t>
  </si>
  <si>
    <t>PARAGRAPH_1</t>
  </si>
  <si>
    <t>ParagraphType</t>
  </si>
  <si>
    <t>Paragraph_1</t>
  </si>
  <si>
    <t>PARAGRAPH_2</t>
  </si>
  <si>
    <t>PARAGRAPH_3</t>
  </si>
  <si>
    <t>PARAGRAPH_4</t>
  </si>
  <si>
    <t>PARAGRAPH_5</t>
  </si>
  <si>
    <t>Paragraph_2</t>
  </si>
  <si>
    <t>Paragraph_3</t>
  </si>
  <si>
    <t>Paragraph_4</t>
  </si>
  <si>
    <t>Paragraph_5</t>
  </si>
  <si>
    <t>TITLE PARAGRAPH</t>
  </si>
  <si>
    <t>REASONS PARAGRAPHS</t>
  </si>
  <si>
    <t>STATUS PARAGRAPHS</t>
  </si>
  <si>
    <t>VOID REASON</t>
  </si>
  <si>
    <t>LOCAL</t>
  </si>
  <si>
    <t>RECEIPT NUMBER</t>
  </si>
  <si>
    <t>TitleParagraph</t>
  </si>
  <si>
    <t>ReasonParagraph</t>
  </si>
  <si>
    <t>StatusParagraph</t>
  </si>
  <si>
    <t>VoidCleareanceLetter</t>
  </si>
  <si>
    <t>CleareanceLetterToLocalPrinter</t>
  </si>
  <si>
    <t>ReceiptNumber</t>
  </si>
  <si>
    <t>UserNumber</t>
  </si>
  <si>
    <t>LicenseTransaction</t>
  </si>
  <si>
    <t>License.expiryDate</t>
  </si>
  <si>
    <t>License.restrictions</t>
  </si>
  <si>
    <t>License.endorsments</t>
  </si>
  <si>
    <t>STLicense.WLFLicenseStatus</t>
  </si>
  <si>
    <t>License.licenseNo</t>
  </si>
  <si>
    <t>License.licenseClass</t>
  </si>
  <si>
    <t>License.birthDate  (Individual)</t>
  </si>
  <si>
    <t>license.licensee.race  (Individual)</t>
  </si>
  <si>
    <t>license.licensee.gender  (Individual)</t>
  </si>
  <si>
    <t>license.licensee.lastName (Individual)</t>
  </si>
  <si>
    <t>license.licensee.suffix (Individual)</t>
  </si>
  <si>
    <t>license.licensee.middleName  (Individual)</t>
  </si>
  <si>
    <t>license.licensee.firstName  (Individual)</t>
  </si>
  <si>
    <t>license.licensee.custSSN (Individual)</t>
  </si>
  <si>
    <t>STLicense.stateCode(isOOSLicense set to true)</t>
  </si>
  <si>
    <t>STLicense.flags</t>
  </si>
  <si>
    <t>License.licenseNo (isOOSLicense set to true)</t>
  </si>
  <si>
    <t>License.birthDate  (Individual)  (isOOSLicense set to true)</t>
  </si>
  <si>
    <t>license.licensee.race  (Individual)  (isOOSLicense set to true)</t>
  </si>
  <si>
    <t>license.licensee.gender  (Individual)  (isOOSLicense set to true)</t>
  </si>
  <si>
    <t>license.licensee.lastName (Individual)  (isOOSLicense set to true)</t>
  </si>
  <si>
    <t>license.licensee.custSSN (Individual)  (isOOSLicense set to true)</t>
  </si>
  <si>
    <t>license.licensee.firstName  (Individual)  (isOOSLicense set to true)</t>
  </si>
  <si>
    <t>license.licensee.middleName  (Individual)  (isOOSLicense set to true)</t>
  </si>
  <si>
    <t>license.licensee.suffix (Individual)  (isOOSLicense set to true)</t>
  </si>
  <si>
    <t>License.commercialDriverLicense  (isOOSLicense set to true)</t>
  </si>
  <si>
    <t>STLicense.visitQueueNum (isOOSLicense set to true)</t>
  </si>
  <si>
    <t>License.Flags</t>
  </si>
  <si>
    <t>License.withLens.left(Vision)</t>
  </si>
  <si>
    <t>License.withoutLens.right(Vision)</t>
  </si>
  <si>
    <t>License.withoutLens.both(Vision)</t>
  </si>
  <si>
    <t>License.withLens.right(Vision)</t>
  </si>
  <si>
    <t>License.withLens.both(Vision)</t>
  </si>
  <si>
    <t>License.withoutLens.left(Vision)</t>
  </si>
  <si>
    <t>license.licensee.height  (Individual)</t>
  </si>
  <si>
    <t>license.licensee.weight  (Individual)</t>
  </si>
  <si>
    <t>license.licensee.eyeColor (Individual)</t>
  </si>
  <si>
    <t>license.licensee.addresses[0].street1[Residential]</t>
  </si>
  <si>
    <t>license.licensee.addresses[0].street2[Residential]</t>
  </si>
  <si>
    <t>license.licensee.addresses[0].city[Residential]</t>
  </si>
  <si>
    <t>license.licensee.addresses[0].state[Residential]</t>
  </si>
  <si>
    <t>license.licensee.addresses[0].zipCode[Residential]</t>
  </si>
  <si>
    <t>license.licensee.addresses[0].street1[Mailing]</t>
  </si>
  <si>
    <t>license.licensee.addresses[0].street2[Mailing]</t>
  </si>
  <si>
    <t>license.licensee.addresses[0].city[Mailing]</t>
  </si>
  <si>
    <t>license.licensee.addresses[0].state[Mailing]</t>
  </si>
  <si>
    <t>license.licensee.addresses[0].zipCode[Mailing]</t>
  </si>
  <si>
    <t>license.licensee.addresses[0].township[Mailing]</t>
  </si>
  <si>
    <t>License.voter</t>
  </si>
  <si>
    <t>license.licensee.bloodType</t>
  </si>
  <si>
    <t>license.licensee.organDonor</t>
  </si>
  <si>
    <t>license.licensee.military</t>
  </si>
  <si>
    <t>License.handicapType(CV - HandicapType - product1)</t>
  </si>
  <si>
    <t>Transaction.notes</t>
  </si>
  <si>
    <t>STLicense.auditNumber</t>
  </si>
  <si>
    <t>Transaction.totalFeeCollected</t>
  </si>
  <si>
    <t>inquiryParams</t>
  </si>
  <si>
    <t>License.endorsment</t>
  </si>
  <si>
    <t>STLicense.commercialDriverLicense(isOOSLicense set to true)</t>
  </si>
  <si>
    <t>STLicense.realId(isOOSLicense set to true)</t>
  </si>
  <si>
    <t>No mapping since these are inquiries</t>
  </si>
  <si>
    <t>LicenseTransaction.action</t>
  </si>
  <si>
    <t>LICENSE_TRANSACTION.ACTION</t>
  </si>
  <si>
    <t xml:space="preserve">LICENSE.LICENSE_ID
</t>
  </si>
  <si>
    <t>LICENSE.EXPIRATION_DATE</t>
  </si>
  <si>
    <t>LICENSE.RESTRICTIONS</t>
  </si>
  <si>
    <t>LICENSE.ENDORSMENTS</t>
  </si>
  <si>
    <t>LA_LICENSE.WLF_LICENSE_STATUS</t>
  </si>
  <si>
    <t>LA_LICENSE.STATE_CODE</t>
  </si>
  <si>
    <t>LICENSE.DUPLICATE_COUNT</t>
  </si>
  <si>
    <t>STLicense.duplicateCount</t>
  </si>
  <si>
    <t>LICENSE.COMMERCIAL_DRIVER_LICENSE</t>
  </si>
  <si>
    <t>LA_LICENSE.REAL_ID</t>
  </si>
  <si>
    <t>LA_LICENSE.VISIT_QUEUE_NUM</t>
  </si>
  <si>
    <t>LICENSE.LICENSE_FLAG_CODE</t>
  </si>
  <si>
    <t>LICENSE.VISION_WITH_LENS</t>
  </si>
  <si>
    <t>LICENSE.VISION_WITHOUT_LENS</t>
  </si>
  <si>
    <t>LICENSE.HANDICAP_TYPE</t>
  </si>
  <si>
    <t>LICENSE.LICENSE_ID</t>
  </si>
  <si>
    <t>INQUIRYPARAMS</t>
  </si>
  <si>
    <t>TRANSACTION.NOTES</t>
  </si>
  <si>
    <t>NO MAPPING SINCE THESE ARE INQUIRIES</t>
  </si>
  <si>
    <t>LA_LICENSE.AUDIT_NUMBER</t>
  </si>
  <si>
    <t>TRANSACTION.TOTALFEECOLLECTED</t>
  </si>
  <si>
    <t>PARTY.SUFFIX</t>
  </si>
  <si>
    <t>LICENSE.LICENSE_CLASS</t>
  </si>
  <si>
    <t>ADDRESS.TOWNSHIP_CODE</t>
  </si>
  <si>
    <t>PARTY.BLOOD_TYPE</t>
  </si>
  <si>
    <t>PARTY.ORGAN_DONOR</t>
  </si>
  <si>
    <t>LICENSE.VOTER</t>
  </si>
  <si>
    <t>LS00, DL00</t>
  </si>
  <si>
    <t>LS00,RU01, 11LP, 2000, DL00, CN00</t>
  </si>
  <si>
    <t>LS00, 2000, DL00, CN00</t>
  </si>
  <si>
    <t>RU01, 11LP, CN00</t>
  </si>
  <si>
    <t>LS00, RU01, 2000, CN00</t>
  </si>
  <si>
    <t>CN00</t>
  </si>
  <si>
    <t>TIP RCD NR</t>
  </si>
  <si>
    <t>RecordNumber</t>
  </si>
  <si>
    <t>COMPLAINCE</t>
  </si>
  <si>
    <t>COMPLDATE</t>
  </si>
  <si>
    <t>DAYS UN-INSURED</t>
  </si>
  <si>
    <t>PENDING</t>
  </si>
  <si>
    <t>REVOKED</t>
  </si>
  <si>
    <t>REINSTATE</t>
  </si>
  <si>
    <t>PETITION</t>
  </si>
  <si>
    <t>INVESTIGATE/HRG</t>
  </si>
  <si>
    <t>DELETE</t>
  </si>
  <si>
    <t>FEEAMOUNT</t>
  </si>
  <si>
    <t>PAYMENT</t>
  </si>
  <si>
    <t>BALANCE</t>
  </si>
  <si>
    <t>DATE-PAID</t>
  </si>
  <si>
    <t>MAXLIMIT</t>
  </si>
  <si>
    <t>MAX CLEARANCE-AMOUNT</t>
  </si>
  <si>
    <t>INSTALLMENT</t>
  </si>
  <si>
    <t>1STODR LETTER</t>
  </si>
  <si>
    <t>2ND ODR LETTER</t>
  </si>
  <si>
    <t>SENT TO ODR</t>
  </si>
  <si>
    <t>CAP AMOUNT</t>
  </si>
  <si>
    <t>CAP BALANCE</t>
  </si>
  <si>
    <t>MOD YR</t>
  </si>
  <si>
    <t>MAKE/MOD</t>
  </si>
  <si>
    <t>INS-CO</t>
  </si>
  <si>
    <t>TRAN-TYPE</t>
  </si>
  <si>
    <t>SERV-AGENT</t>
  </si>
  <si>
    <t>INSURED</t>
  </si>
  <si>
    <t>ADDR</t>
  </si>
  <si>
    <t>POLICY NO</t>
  </si>
  <si>
    <t>CANCEL-DATE</t>
  </si>
  <si>
    <t>DATE-RECEIVED</t>
  </si>
  <si>
    <t>OWNER-NAME</t>
  </si>
  <si>
    <t>DLN1</t>
  </si>
  <si>
    <t>ComplainceCode</t>
  </si>
  <si>
    <t>ComplainceDate</t>
  </si>
  <si>
    <t>DaysUnInsured</t>
  </si>
  <si>
    <t>ReadPending</t>
  </si>
  <si>
    <t>Revoked</t>
  </si>
  <si>
    <t>Fee</t>
  </si>
  <si>
    <t>Petition</t>
  </si>
  <si>
    <t>Delete</t>
  </si>
  <si>
    <t>Payment</t>
  </si>
  <si>
    <t>Balance</t>
  </si>
  <si>
    <t>Maxlimit</t>
  </si>
  <si>
    <t>Installment</t>
  </si>
  <si>
    <t>Cap Balance</t>
  </si>
  <si>
    <t>Insured</t>
  </si>
  <si>
    <t>Dln1</t>
  </si>
  <si>
    <t>ReInstate</t>
  </si>
  <si>
    <t>InvestigateOrHrg</t>
  </si>
  <si>
    <t>FeeAmount</t>
  </si>
  <si>
    <t>DateOfPaymentMode</t>
  </si>
  <si>
    <t>MaxClearanceAmount</t>
  </si>
  <si>
    <t>FirstODRLetterWasSent</t>
  </si>
  <si>
    <t>SecondODRLetterWasSent</t>
  </si>
  <si>
    <t>SentToODR</t>
  </si>
  <si>
    <t>CapAmount</t>
  </si>
  <si>
    <t>ModelYear</t>
  </si>
  <si>
    <t>Make
Model</t>
  </si>
  <si>
    <t>NameOfInsuranceCompany</t>
  </si>
  <si>
    <t>TypeOfInsuranceCompany</t>
  </si>
  <si>
    <t>InsurancePolicy</t>
  </si>
  <si>
    <t>InsuranceAddress</t>
  </si>
  <si>
    <t>InsuranceCity</t>
  </si>
  <si>
    <t>InsuranceState</t>
  </si>
  <si>
    <t>InsuranceZip</t>
  </si>
  <si>
    <t>PolicyNo</t>
  </si>
  <si>
    <t>CancellledDate</t>
  </si>
  <si>
    <t>DateReceived</t>
  </si>
  <si>
    <t>2000, CN00</t>
  </si>
  <si>
    <t>11LP, CN00</t>
  </si>
  <si>
    <t>PSEUDO</t>
  </si>
  <si>
    <t>DL00</t>
  </si>
  <si>
    <t>Pseudo</t>
  </si>
  <si>
    <t>CN00, DL00</t>
  </si>
  <si>
    <t>COMPANY FLAG</t>
  </si>
  <si>
    <t>CompanyFlag</t>
  </si>
  <si>
    <t>OTC ADDRESS UPDATE</t>
  </si>
  <si>
    <t>OTCAddressUpdate</t>
  </si>
  <si>
    <t>FEE ONLY</t>
  </si>
  <si>
    <t>FeeOnly</t>
  </si>
  <si>
    <t>SUSP DI</t>
  </si>
  <si>
    <t>SuspDI</t>
  </si>
  <si>
    <t>SUSP FR</t>
  </si>
  <si>
    <t>NI FL</t>
  </si>
  <si>
    <t>AFF</t>
  </si>
  <si>
    <t>NSF</t>
  </si>
  <si>
    <t>TEMP</t>
  </si>
  <si>
    <t>HARDSHIP</t>
  </si>
  <si>
    <t>PET</t>
  </si>
  <si>
    <t>NDR</t>
  </si>
  <si>
    <t>D/L FIELD</t>
  </si>
  <si>
    <t>IGNITION INTERLOCK</t>
  </si>
  <si>
    <t>CDL DIS</t>
  </si>
  <si>
    <t>VWP</t>
  </si>
  <si>
    <t>RECON</t>
  </si>
  <si>
    <t>IA</t>
  </si>
  <si>
    <t>LS00 , DL00</t>
  </si>
  <si>
    <t>ISSUED
ISSUE DATE</t>
  </si>
  <si>
    <t>11LP,  DL00</t>
  </si>
  <si>
    <t>ISS OFF</t>
  </si>
  <si>
    <t>PICTURE</t>
  </si>
  <si>
    <t>AUDIT</t>
  </si>
  <si>
    <t>DRIV ED</t>
  </si>
  <si>
    <t>COMP TEST</t>
  </si>
  <si>
    <t>WRIT TEST</t>
  </si>
  <si>
    <t>OOS</t>
  </si>
  <si>
    <t>GP STATUS</t>
  </si>
  <si>
    <t>STAT</t>
  </si>
  <si>
    <t>CDL CLASS</t>
  </si>
  <si>
    <t>CDL STATUS</t>
  </si>
  <si>
    <t>PER STATUS VAL</t>
  </si>
  <si>
    <t>CLP STATUS</t>
  </si>
  <si>
    <t>LS00, RU01, 2000, CN00, DL00</t>
  </si>
  <si>
    <t>LS00, RU01, 2000, CN00, DLO</t>
  </si>
  <si>
    <t>RU01, 2000, CN00, DL00</t>
  </si>
  <si>
    <t>SuspFR</t>
  </si>
  <si>
    <t>NIFL</t>
  </si>
  <si>
    <t>Aff</t>
  </si>
  <si>
    <t>Nsf</t>
  </si>
  <si>
    <t>Temp</t>
  </si>
  <si>
    <t>Hardship</t>
  </si>
  <si>
    <t>Pet</t>
  </si>
  <si>
    <t>Ndr</t>
  </si>
  <si>
    <t>Disc</t>
  </si>
  <si>
    <t>DriverLicenseField</t>
  </si>
  <si>
    <t>IgnitionInterLock</t>
  </si>
  <si>
    <t>CdlDis</t>
  </si>
  <si>
    <t>Recon</t>
  </si>
  <si>
    <t>IssOff</t>
  </si>
  <si>
    <t>Picture</t>
  </si>
  <si>
    <t>Audit</t>
  </si>
  <si>
    <t>DrivEd</t>
  </si>
  <si>
    <t>CompTest</t>
  </si>
  <si>
    <t>WrittenTest</t>
  </si>
  <si>
    <t>Military</t>
  </si>
  <si>
    <t>Oos</t>
  </si>
  <si>
    <t>GPStatus</t>
  </si>
  <si>
    <t>Stat</t>
  </si>
  <si>
    <t>CdlClass</t>
  </si>
  <si>
    <t>CdlStatus</t>
  </si>
  <si>
    <t>PerStatusVal</t>
  </si>
  <si>
    <t>CLPStatus</t>
  </si>
  <si>
    <t>BEGIN TIME</t>
  </si>
  <si>
    <t>BeginTime</t>
  </si>
  <si>
    <t>Inquiry/LienHolder/BeginTime</t>
  </si>
  <si>
    <t>S</t>
  </si>
  <si>
    <t>DLRU19, DLRU20, DLRU50, DLRU51</t>
  </si>
  <si>
    <t>DLRU51</t>
  </si>
  <si>
    <t>APPL</t>
  </si>
  <si>
    <t>FUNC</t>
  </si>
  <si>
    <t>EXPD</t>
  </si>
  <si>
    <t>RECD</t>
  </si>
  <si>
    <t>SearchValue</t>
  </si>
  <si>
    <t>DLRU50, DLRU51</t>
  </si>
  <si>
    <t>FC</t>
  </si>
  <si>
    <t>DLRU19, DLRU20, DLRU21, DLRU50, DLRU51</t>
  </si>
  <si>
    <t>Skip</t>
  </si>
  <si>
    <t>Appl</t>
  </si>
  <si>
    <t>Func</t>
  </si>
  <si>
    <t>Expd</t>
  </si>
  <si>
    <t>Recd</t>
  </si>
  <si>
    <t>DLRU50 ,DLRU51</t>
  </si>
  <si>
    <t>EffDate</t>
  </si>
  <si>
    <t>TermDate</t>
  </si>
  <si>
    <t>CoCode</t>
  </si>
  <si>
    <t>MvrName</t>
  </si>
  <si>
    <t>PolNR</t>
  </si>
  <si>
    <t>User/Client Profiles</t>
  </si>
  <si>
    <t>stRegTransaction.actOfDonation</t>
  </si>
  <si>
    <t>LA_REGTRANSACTION.ACT_OF_DONATION</t>
  </si>
  <si>
    <t>deal.actofdonation</t>
  </si>
  <si>
    <t>stRegTransaction.actOfDonationRelationship</t>
  </si>
  <si>
    <t>LA_REGTRANSACTION.ACT_OF_DONATION_RELATIONSHIP</t>
  </si>
  <si>
    <t>deal.actofdonationrelationship</t>
  </si>
  <si>
    <t>regTransaction.newVehicle.title.legalparties[1].dmvID(Individual) 
regTransaction.newVehicle.title.legalparties[0].feidNumber(Business)</t>
  </si>
  <si>
    <t xml:space="preserve">PARTY.DMVID
PARTY.FEID_NUMBER
</t>
  </si>
  <si>
    <t>deal.vehicle.ownerlessor.2.dmvidno(Individual) 
deal.vehicle.ownerlessor.1.fedid(Business)</t>
  </si>
  <si>
    <t>Transaction.miscfee</t>
  </si>
  <si>
    <t>TRANSACTION_MISCELLANEOUS_FEE</t>
  </si>
  <si>
    <t>stRegTransaction.tempTagExpiryDate</t>
  </si>
  <si>
    <t>LA_REGTRANSACTION.TEMP_TAG_EXPIRY_DATE</t>
  </si>
  <si>
    <t>deal.temptagexpirydate</t>
  </si>
  <si>
    <t>stRegTransaction.ipNumber</t>
  </si>
  <si>
    <t>LA_REGTRANSACTION.IP_NUMBER</t>
  </si>
  <si>
    <t>deal.ipnumber</t>
  </si>
  <si>
    <t>stRegTransaction.tempTagIssueDate</t>
  </si>
  <si>
    <t>LA_REGTRANSACTION.TEMP_TAG_ISSUE_DATE</t>
  </si>
  <si>
    <t>deal.temptagissuedate</t>
  </si>
  <si>
    <t>regTransaction.newVehicle.stTitle.jointOwner.businessName(Business)</t>
  </si>
  <si>
    <t>deal.vehicle.jointowner.businessname</t>
  </si>
  <si>
    <t>regTransaction.newVehicle.stTitlejointOwner.partyType</t>
  </si>
  <si>
    <t>deal.vehicle.jointowner.isindividual</t>
  </si>
  <si>
    <t>regTransaction.newVehicle.modelIndicator(STVehicle)</t>
  </si>
  <si>
    <t>LA_VEHICLE.MODEL_INDICATOR</t>
  </si>
  <si>
    <t xml:space="preserve">deal.vehicle.modelindicator
</t>
  </si>
  <si>
    <t>regTransaction.newVehicle.overrideInvalidTradeVIN(STVehicle)</t>
  </si>
  <si>
    <t>LA_VEHICLE.OVERRIDE_INVALID_TRADE_VIN</t>
  </si>
  <si>
    <t>deal.vehicle.overrideinvalidtradevin</t>
  </si>
  <si>
    <t>regTransaction.newVehicle.overrideInvalidVIN(STVehicle)</t>
  </si>
  <si>
    <t>LA_VEHICLE.OVERRIDE_INVALID_VIN</t>
  </si>
  <si>
    <t>deal.vehicle.overrideinvalidvin</t>
  </si>
  <si>
    <t>regTransaction.newVehicle.stTitle.ownerDLState(STTitle)</t>
  </si>
  <si>
    <t>LA_TITLE.OWNER_DL_STATE</t>
  </si>
  <si>
    <t>deal.vehicle.ownerdlstate</t>
  </si>
  <si>
    <t>UserProfile</t>
  </si>
  <si>
    <t>Transaction.createdByUser</t>
  </si>
  <si>
    <t>TRANSACTION.CREATED_BY_USER</t>
  </si>
  <si>
    <t xml:space="preserve">regTransaction.newVehicle.stTitle.jointOwner.firstName(Individual) </t>
  </si>
  <si>
    <t>deal.vehicle.jointowner.firstname</t>
  </si>
  <si>
    <t>regTransaction.newVehicle.stTitle.jointOwner.lastName(Individual)</t>
  </si>
  <si>
    <t xml:space="preserve">deal.vehicle.jointowner.lastname </t>
  </si>
  <si>
    <t xml:space="preserve">regTransaction.newVehicle.stTitle.jointOwner.middleName(Individual) </t>
  </si>
  <si>
    <t>deal.vehicle.jointowner.middlename</t>
  </si>
  <si>
    <t>regTransaction.newVehicle.stTitle.owner2DLState(STTitle)</t>
  </si>
  <si>
    <t>LA_TITLE.OWNER2_DL_STATE</t>
  </si>
  <si>
    <t>deal.vehicle.owner2dlstate</t>
  </si>
  <si>
    <t>regTransaction.newVehicle.title.legalparties[0].jurisdiction</t>
  </si>
  <si>
    <t>PARTY.JURISDICTION</t>
  </si>
  <si>
    <t>deal.vehicle.ownerlessor.1.jurisdiction</t>
  </si>
  <si>
    <t>regTransaction.newVehicle.title.legalparties[0].taxState</t>
  </si>
  <si>
    <t>PARTY.TAX_STATE</t>
  </si>
  <si>
    <t>deal.vehicle.ownerlessor.1.taxState</t>
  </si>
  <si>
    <t>stRegTransaction.taxExempt</t>
  </si>
  <si>
    <t>LA_REGTRANSACTION.TAX_EXEMPT</t>
  </si>
  <si>
    <t>deal.istaxexempt</t>
  </si>
  <si>
    <t>regTransaction.sales.taxStatus.code</t>
  </si>
  <si>
    <t>regTransaction.sales.taxStatus.description</t>
  </si>
  <si>
    <t>stRegTransaction.tempTagNumber</t>
  </si>
  <si>
    <t>LA_REGTRANSACTION.TEMP_TAG_NUMBER</t>
  </si>
  <si>
    <t>deal.temptagnumber</t>
  </si>
  <si>
    <t>stRegTransaction.  tradeLicenseNumber</t>
  </si>
  <si>
    <t>LA_REGTRANSACTION.TRADE_LICENSE_NUMBER</t>
  </si>
  <si>
    <t>deal.tradelicensenumber</t>
  </si>
  <si>
    <t>regTransaction.newVehicle.registration.platetype.code</t>
  </si>
  <si>
    <t>regTransaction.newVehicle.registration.platetype.description</t>
  </si>
  <si>
    <t>regTransaction.newVehicle.bodyStyleObject.cpde</t>
  </si>
  <si>
    <t>regTransaction.newVehicle.bodyStyleObject.description</t>
  </si>
  <si>
    <t>regTransaction.newVehicle.primaryColor.code</t>
  </si>
  <si>
    <t>regTransaction.newVehicle.primaryColor.description</t>
  </si>
  <si>
    <t>regTransaction.newVehicle.secondaryColor.code</t>
  </si>
  <si>
    <t>regTransaction.newVehicle.secondaryColor.description</t>
  </si>
  <si>
    <t>regTransaction.newVehicle.makeObject.code</t>
  </si>
  <si>
    <t>regTransaction.newVehicle.makeObject.description</t>
  </si>
  <si>
    <t xml:space="preserve">regTransaction.newVehicle.modelObject.code
</t>
  </si>
  <si>
    <t xml:space="preserve">regTransaction.newVehicle.modelObject.description
</t>
  </si>
  <si>
    <t>STRegTransaction.action</t>
  </si>
  <si>
    <t>Transaction.State</t>
  </si>
  <si>
    <t>TRANSACTION.STATE</t>
  </si>
  <si>
    <t>deal.state</t>
  </si>
  <si>
    <t>deal.notes</t>
  </si>
  <si>
    <t xml:space="preserve">regTransaction.newVehicle.title.legalparties[0].firstName  (Individual) +
 regTransaction.newVehicle.title.legalparties[0].middleName (Individual) +
 regTransaction.newVehicle.title.legalparties[0].lastName (Individual) + 
regTransaction.newVehicle.title.legalparties[0].suffix (Individual)
regTransaction.newVehicle.title.legalparties[0].businessName  (Business) </t>
  </si>
  <si>
    <t>PARTY.FIRST_NAME +
 PARTY.MIDDLE_NAME +
 PARTY.LAST_NAME +
 PARTY.SUFFIX
PARTY.NAME</t>
  </si>
  <si>
    <t>regTransaction.newVehicle.makeObject
regTransaction.newVehicle.modelObject</t>
  </si>
  <si>
    <t>VEHICLE.MAKE
VEHICLE.MODEL_ID</t>
  </si>
  <si>
    <t>deal.vehicle.make
deal.vehicle.model</t>
  </si>
  <si>
    <t>regTransaction.newVehicle.title.legalparties[1].firstName  (Individual) (Sale)+ regTransaction.newVehicle.title.legalparties[1].middleName (Individual) (Sale)+ regTransaction.newVehicle.title.legalparties[1].lastName (Individual) (Sale)+ regTransaction.newVehicle.title.legalparties[1].suffix (Individual)(Sale)
regTransaction.newVehicle.title.legalparties[1].businessName  (Business)(Sale)</t>
  </si>
  <si>
    <t xml:space="preserve">deal.vehicle.ownerlessor.2.firstname (Sale)+ deal.vehicle.ownerlessor.2.middlename (Sale)+ deal.vehicle.ownerlessor.2.lastname (Sale)+ deal.vehicle.ownerlessor.2.suffix(Sale)
deal.vehicle.ownerlessor.2.businessname(Sale)
</t>
  </si>
  <si>
    <t>regTransaction.newVehicle.registration.insurance.policynumber</t>
  </si>
  <si>
    <t>INSURANCE.POLICY_NUMBER</t>
  </si>
  <si>
    <t>regTransaction.newVehicle.registration.insurance.insurer.name (Business)</t>
  </si>
  <si>
    <t>deal.vehicle.insurace.insurer.name</t>
  </si>
  <si>
    <t>regTransaction.newVehicle.registration.insurance.insurer.address.street1</t>
  </si>
  <si>
    <t>regTransaction.newVehicle.registration.insurance.insurer.address.city</t>
  </si>
  <si>
    <t>regTransaction.newVehicle.registration.insurance.insurer.address.state</t>
  </si>
  <si>
    <t>regTransaction.newVehicle.registration.insurance.insurer.address.zipCode</t>
  </si>
  <si>
    <t>deal.vehicle.insurace.insurer.mailingaddress.street1</t>
  </si>
  <si>
    <t>deal.vehicle.insurace.insurer.mailingaddress.city</t>
  </si>
  <si>
    <t>deal.vehicle.insurace.insurer.mailingaddress.state</t>
  </si>
  <si>
    <t>deal.vehicle.insurace.insurer.mailingaddress.zip</t>
  </si>
  <si>
    <t>deal.vehicle.insurance.policynumber</t>
  </si>
  <si>
    <t>deal.usernumber</t>
  </si>
  <si>
    <t>stRegTransaction.licenseCancellation.textCode</t>
  </si>
  <si>
    <t>LA_LICENSE_CANCELLATION.TEXT_CODE</t>
  </si>
  <si>
    <t>deal.licensecancellation.textcode</t>
  </si>
  <si>
    <t>stRegTransaction.licenseCancellation.complianceCode</t>
  </si>
  <si>
    <t>LA_LICENSE_CANCELLATION.COMPLIANCE_CODE</t>
  </si>
  <si>
    <t>deal.licensecancellation.compliancecode</t>
  </si>
  <si>
    <t>stRegTransaction.licenseCancellation.complianceDate</t>
  </si>
  <si>
    <t>LA_LICENSE_CANCELLATION.COMPLIANCE_DATE</t>
  </si>
  <si>
    <t>deal.licensecancellation.compliancedate</t>
  </si>
  <si>
    <t>stRegTransaction.licenseCancellation.daysUnInsured</t>
  </si>
  <si>
    <t>LA_LICENSE_CANCELLATION.DAYS_UN_INSURED</t>
  </si>
  <si>
    <t>deal.licensecancellation.daysuninsured</t>
  </si>
  <si>
    <t>stRegTransaction.licenseCancellation.pending</t>
  </si>
  <si>
    <t>LA_LICENSE_CANCELLATION.PENDING</t>
  </si>
  <si>
    <t>deal.licensecancellation.ispending</t>
  </si>
  <si>
    <t>stRegTransaction.licenseCancellation.revoked</t>
  </si>
  <si>
    <t>LA_LICENSE_CANCELLATION.REVOKED</t>
  </si>
  <si>
    <t>deal.licensecancellation.isrevoked</t>
  </si>
  <si>
    <t>stRegTransaction.licenseCancellation.reInState</t>
  </si>
  <si>
    <t>LA_LICENSE_CANCELLATION.REINSTATE</t>
  </si>
  <si>
    <t>deal.licensecancellation.isreinstate</t>
  </si>
  <si>
    <t>stRegTransaction.licenseCancellation.fee</t>
  </si>
  <si>
    <t>LA_LICENSE_CANCELLATION.FEE</t>
  </si>
  <si>
    <t>deal.licensecancellation.isfee</t>
  </si>
  <si>
    <t>stRegTransaction.licenseCancellation.petition</t>
  </si>
  <si>
    <t>LA_LICENSE_CANCELLATION.PETITION</t>
  </si>
  <si>
    <t>deal.licensecancellation.ispetition</t>
  </si>
  <si>
    <t>stRegTransaction.licenseCancellation.investigateHRG</t>
  </si>
  <si>
    <t>LA_LICENSE_CANCELLATION.INVESTIGATE_HRG</t>
  </si>
  <si>
    <t>deal.licensecancellation.isinvestigatehrg</t>
  </si>
  <si>
    <t>deal.licensecancellation.isdelete</t>
  </si>
  <si>
    <t>stRegTransaction.licenseCancellation.delete</t>
  </si>
  <si>
    <t>LA_LICENSE_CANCELLATION.DELETE</t>
  </si>
  <si>
    <t>stRegTransaction.licenseCancellation.payment</t>
  </si>
  <si>
    <t>LA_LICENSE_CANCELLATION.PAYMENT</t>
  </si>
  <si>
    <t>deal.licensecancellation.payment</t>
  </si>
  <si>
    <t>stRegTransaction.licenseCancellation.balance</t>
  </si>
  <si>
    <t>LA_LICENSE_CANCELLATION.balance</t>
  </si>
  <si>
    <t>deal.licensecancellation.balance</t>
  </si>
  <si>
    <t>stRegTransaction.licenseCancellation.paymentMade</t>
  </si>
  <si>
    <t>LA_LICENSE_CANCELLATION.PAYMENT_MADE</t>
  </si>
  <si>
    <t>deal.licensecancellation.paymentmade</t>
  </si>
  <si>
    <t>stRegTransaction.licenseCancellation.maxLimit</t>
  </si>
  <si>
    <t>LA_LICENSE_CANCELLATION.MAX_LIMIT</t>
  </si>
  <si>
    <t>deal.licensecancellation.maxlimit</t>
  </si>
  <si>
    <t>stRegTransaction.licenseCancellation.maxClearanceAmount</t>
  </si>
  <si>
    <t>LA_LICENSE_CANCELLATION.MAX_CLEARANCE_AMOUNT</t>
  </si>
  <si>
    <t>deal.licensecancellation.maxclearanceamount</t>
  </si>
  <si>
    <t>stRegTransaction.licenseCancellation.installment</t>
  </si>
  <si>
    <t>LA_LICENSE_CANCELLATION.INSTALLMENT</t>
  </si>
  <si>
    <t>deal.licensecancellation.installment</t>
  </si>
  <si>
    <t>stRegTransaction.licenseCancellation.firstODRLetter</t>
  </si>
  <si>
    <t>LA_LICENSE_CANCELLATION.FIRST_ODR_LETTER</t>
  </si>
  <si>
    <t>deal.licensecancellation.firstodrletter</t>
  </si>
  <si>
    <t>stRegTransaction.licenseCancellation.secondODRLetter</t>
  </si>
  <si>
    <t>LA_LICENSE_CANCELLATION.SECOND_ODR_LETTER</t>
  </si>
  <si>
    <t>deal.licensecancellation.secondodrletter</t>
  </si>
  <si>
    <t>stRegTransaction.licenseCancellation.sentToODR</t>
  </si>
  <si>
    <t>deal.licensecancellation.senttoodr</t>
  </si>
  <si>
    <t>LA_LICENSE_CANCELLATION.SENT_TO_ODR</t>
  </si>
  <si>
    <t>stRegTransaction.licenseCancellation.capAmount</t>
  </si>
  <si>
    <t>LA_LICENSE_CANCELLATION.CAP_AMOUNT</t>
  </si>
  <si>
    <t>deal.licensecancellation.capamount</t>
  </si>
  <si>
    <t>stRegTransaction.licenseCancellation.capBalance</t>
  </si>
  <si>
    <t>LA_LICENSE_CANCELLATION.CAP_BALANCE</t>
  </si>
  <si>
    <t>deal.licensecancellation.capbalance</t>
  </si>
  <si>
    <t>stRegTransaction.licenseCancellation.insured</t>
  </si>
  <si>
    <t>LA_LICENSE_CANCELLATION.INSURED</t>
  </si>
  <si>
    <t>deal.licensecancellation.insured</t>
  </si>
  <si>
    <t>stRegTransaction.licenseCancellation.insurancePolicy</t>
  </si>
  <si>
    <t>LA_LICENSE_CANCELLATION.INSURANCE_POLICY</t>
  </si>
  <si>
    <t>deal.licensecancellation.insurancepolicy</t>
  </si>
  <si>
    <t>stRegTransaction.licenseCancellation.dateReceived</t>
  </si>
  <si>
    <t>LA_LICENSE_CANCELLATION.DATE_RECEIVED</t>
  </si>
  <si>
    <t>deal.licensecancellation.datereceived</t>
  </si>
  <si>
    <t>STREGTRANSACTION.CANCELLATION_DATE</t>
  </si>
  <si>
    <t>stRegTransaction.licenseCancellation.insuraceRecordType</t>
  </si>
  <si>
    <t>LA_LICENSE_CANCELLATION.INSURANCE_RECORD_TYPE</t>
  </si>
  <si>
    <t>deal.licensecancellation.insurancerecordtype</t>
  </si>
  <si>
    <t>stRegTransaction.licenseCancellation.recordNumber</t>
  </si>
  <si>
    <t>LA_LICENSE_CANCELLATION.RECORD_NUMBER</t>
  </si>
  <si>
    <t>deal.licensecancellation.recordnumber</t>
  </si>
  <si>
    <t>stRegTransaction.licenseCancellation.feeAmount</t>
  </si>
  <si>
    <t>LA_LICENSE_CANCELLATION.FEE_AMOUNT</t>
  </si>
  <si>
    <t>deal.licensecancellation.feeamount</t>
  </si>
  <si>
    <t>OID</t>
  </si>
  <si>
    <t>stRegTransaction.operatorSSN</t>
  </si>
  <si>
    <t>LA_REGTRANSACTION.OPERATOR_SSN</t>
  </si>
  <si>
    <t>deal.operatorssn</t>
  </si>
  <si>
    <t>deal.license.licensee.mailingaddress.street1</t>
  </si>
  <si>
    <t>deal.license.licensee.mailingaddress.street2</t>
  </si>
  <si>
    <t>deal.license.licensee.mailingaddress.city</t>
  </si>
  <si>
    <t>deal.license.licensee.mailingaddress.state</t>
  </si>
  <si>
    <t>deal.license.licensee.mailingaddress.zip</t>
  </si>
  <si>
    <t>deal.license.licensee.residentialaddress.street1</t>
  </si>
  <si>
    <t>deal.license.licensee.residentialaddress.street2</t>
  </si>
  <si>
    <t>deal.license.licensee.residentialaddress.city</t>
  </si>
  <si>
    <t>deal.license.licensee.residentialaddress.state</t>
  </si>
  <si>
    <t>deal.license.licensee.residentialaddress.zip</t>
  </si>
  <si>
    <t>deal.license.licensee.middlename</t>
  </si>
  <si>
    <t>deal.license.licensee.firstname</t>
  </si>
  <si>
    <t>deal.license.licensee.ssn</t>
  </si>
  <si>
    <t>deal.license.firstnametc</t>
  </si>
  <si>
    <t>LA_LICENSE.FIRST_NAME_TC</t>
  </si>
  <si>
    <t>LA_LICENSE.FIRST_NAME_TL</t>
  </si>
  <si>
    <t>deal.license.firstnametl</t>
  </si>
  <si>
    <t>LA_LICENSE.MIDDLE_NAME_TC</t>
  </si>
  <si>
    <t>deal.license.middlenametc</t>
  </si>
  <si>
    <t>LA_LICENSE.MIDDLE_NAME_TL</t>
  </si>
  <si>
    <t>deal.license.middlenametl</t>
  </si>
  <si>
    <t>deal.license.licensee.lastname</t>
  </si>
  <si>
    <t>LA_LICENSE.LAST_NAME_TC</t>
  </si>
  <si>
    <t>deal.license.lastnametc</t>
  </si>
  <si>
    <t>LA_LICENSE.LAST_NAME_TL</t>
  </si>
  <si>
    <t>deal.license.lastnametl</t>
  </si>
  <si>
    <t>LA_LICENSE.RACE</t>
  </si>
  <si>
    <t>deal.license.race</t>
  </si>
  <si>
    <t>deal.license.licensee.gender</t>
  </si>
  <si>
    <t>deal.license.outofstatelicense</t>
  </si>
  <si>
    <t>deal.license.licensee.military</t>
  </si>
  <si>
    <t>LA_LICENSE.AUDIT_NUM</t>
  </si>
  <si>
    <t>deal.license.auditnum</t>
  </si>
  <si>
    <t>deal.license.licensee.isindividual(business)</t>
  </si>
  <si>
    <t xml:space="preserve">license.licensee.dmvID(Individual) </t>
  </si>
  <si>
    <t xml:space="preserve">deal.license.licensee.dmvidno(Individual) </t>
  </si>
  <si>
    <t>stRegTransaction.action
licenseTransaction.operation(DL00,2000)</t>
  </si>
  <si>
    <t>LA_REGTRANSACTION.ACTION
LICENSE_TRANSACTION.OPERATION(DL00,2000)</t>
  </si>
  <si>
    <t>deal.action
deal.operation(DL00,2000)</t>
  </si>
  <si>
    <t>deal.vehicle.ownerlessor.1.dmvidno(Individual) 
deal.license.licensee.dmvidno(DL00)</t>
  </si>
  <si>
    <t>licenseTransaction.license.licenseClass</t>
  </si>
  <si>
    <t>deal.license.licenseclass</t>
  </si>
  <si>
    <t>licenseTransaction.license.licensee.birthDate  (Individual)</t>
  </si>
  <si>
    <t>licenseTransaction.license.licensee.eyeColorObject  (Individual)</t>
  </si>
  <si>
    <t>licenseTransaction.license.licensee.weight  (Individual)</t>
  </si>
  <si>
    <t>licenseTransaction.license.licensee.height  (Individual)</t>
  </si>
  <si>
    <t>deal.license.licensee.dateofbirth</t>
  </si>
  <si>
    <t>deal.license.licensee.eyecolor</t>
  </si>
  <si>
    <t>deal.license.licensee.weight</t>
  </si>
  <si>
    <t>deal.license.licensee.height</t>
  </si>
  <si>
    <t>licenseTransaction.license.restrictionList</t>
  </si>
  <si>
    <t>licenseTransaction.license.endorsementList</t>
  </si>
  <si>
    <t>deal.license.restrictions</t>
  </si>
  <si>
    <t>LICENSE.ENDORSEMENTS</t>
  </si>
  <si>
    <t>deal.license.endorsements</t>
  </si>
  <si>
    <t>licenseTransaction.license.issueDate</t>
  </si>
  <si>
    <t>LICENSE.ISSUE_DATE</t>
  </si>
  <si>
    <t>deal.license.issuedate</t>
  </si>
  <si>
    <t>stLicenseTransaction.dateRecordCreated</t>
  </si>
  <si>
    <t>LA_LICENSETRANSACTION.DATE_RECORD_CREATED</t>
  </si>
  <si>
    <t>deal.daterecordcreated</t>
  </si>
  <si>
    <t>stLicenseTransaction.dateFlagModified</t>
  </si>
  <si>
    <t>LA_LICENSETRANSACTION.DATE_FLAG_MODIFIED</t>
  </si>
  <si>
    <t>deal.dateflagmodified</t>
  </si>
  <si>
    <t>stLicenseTransaction.officeCode</t>
  </si>
  <si>
    <t>LA_LICENSETRANSACTION.OFFICE_CODE</t>
  </si>
  <si>
    <t>stLicenseTransaction.userNumber</t>
  </si>
  <si>
    <t>LA_LICENSETRANSACTION.USER_NUMBER</t>
  </si>
  <si>
    <t>licenseTransaction.license.expirationDate</t>
  </si>
  <si>
    <t>deal.license.expirationdate</t>
  </si>
  <si>
    <t>licenseTransaction.license.licensee.partyType(business)</t>
  </si>
  <si>
    <t xml:space="preserve">licenseTransaction.license.licensee.military (Individual) </t>
  </si>
  <si>
    <t>licenseTransaction.license.outOfStateLicense</t>
  </si>
  <si>
    <t>LICENSE.OOS_LICENSE</t>
  </si>
  <si>
    <t>licenseTransactionlicense.licensee.lastName (Individual)</t>
  </si>
  <si>
    <t>licenseTransaction.license.licensee.addresses[0].street2[Mailing]</t>
  </si>
  <si>
    <t>licenseTransaction.license.licensee.addresses[0].street1[Mailing]</t>
  </si>
  <si>
    <t>licenseTransaction.STLicense.middleNameTL</t>
  </si>
  <si>
    <t>licenseTransaction.STLicense.middleNameTC</t>
  </si>
  <si>
    <t>licenseTransaction.license.licensee.middleName (Individual)</t>
  </si>
  <si>
    <t>licenseTransaction.STLicense.firstNameTL</t>
  </si>
  <si>
    <t>licenseTransaction.STLicense.firstNameTC</t>
  </si>
  <si>
    <t>licenseTransaction.license.licensee.firstName (Individual)</t>
  </si>
  <si>
    <t>licenseTransaction.license.licensee.custSSN(Individual)</t>
  </si>
  <si>
    <t>licenseTransaction.STLicense.lastNameTL</t>
  </si>
  <si>
    <t>licenseTransaction.STLicense.lastNameTC</t>
  </si>
  <si>
    <t>licenseTransaction.STLicense.race</t>
  </si>
  <si>
    <t>licenseTransaction.license.licensee.addresses[0].city[Mailing]</t>
  </si>
  <si>
    <t>licenseTransaction.license.licensee.addresses[0].state[Mailing]</t>
  </si>
  <si>
    <t>licenseTransaction.license.licensee.addresses[0].zipCode[Mailing]</t>
  </si>
  <si>
    <t>licenseTransaction.license.licensee.addresses[0].street1[Residential]</t>
  </si>
  <si>
    <t>licenseTransaction.license.licensee.addresses[0].street2[Residential]</t>
  </si>
  <si>
    <t>licenseTransaction.license.licensee.addresses[0].city[Residential]</t>
  </si>
  <si>
    <t>licenseTransaction.license.licensee.addresses[0].state[Residential]</t>
  </si>
  <si>
    <t>licenseTransaction.license.licensee.addresses[0].zipCode[Residential]</t>
  </si>
  <si>
    <t>Transaction.NOTES</t>
  </si>
  <si>
    <t>licenseTransaction.stLicense.cancellationNumber</t>
  </si>
  <si>
    <t>LA_LICENSE.CANCELLATION_NUMBER</t>
  </si>
  <si>
    <t>deal.license.cancellationnumber</t>
  </si>
  <si>
    <t>stLicenseTransaction.seqno</t>
  </si>
  <si>
    <t>LA_LICENSETRANSACTION.SEQ_NO</t>
  </si>
  <si>
    <t>licenseTransaction.stLicense.caseNo</t>
  </si>
  <si>
    <t>LA_LICENSE.CASE_NO</t>
  </si>
  <si>
    <t>deal.license.caseno</t>
  </si>
  <si>
    <t>LA_LICENSETRANSACTION.MICROFILM_NUMBER</t>
  </si>
  <si>
    <t>stLicenseTYransaction.microfilmNumber</t>
  </si>
  <si>
    <t>deal.microfilmnumber</t>
  </si>
  <si>
    <t>stLicenseTYransaction.returnedMicrofilmNumber</t>
  </si>
  <si>
    <t>LA_LICENSETRANSACTION.RETURNED_MICROFILM_NUMBER</t>
  </si>
  <si>
    <t>deal.returnedmicrofilmnumber</t>
  </si>
  <si>
    <t>stLicenseTransaction.dateOfNotice</t>
  </si>
  <si>
    <t>LA_LICENSETRANSACTION.DATE_OF_NOTICE</t>
  </si>
  <si>
    <t>deal.dateofnotice</t>
  </si>
  <si>
    <t>licenseTransaction.stLicense.reasonCode</t>
  </si>
  <si>
    <t>licenseTransaction.stLicense.statusCode</t>
  </si>
  <si>
    <t>LA_LICENSE.REASON_CODE</t>
  </si>
  <si>
    <t>deal.license.reasoncode</t>
  </si>
  <si>
    <t>LA_LICENSE.STATUS_CODE</t>
  </si>
  <si>
    <t>deal.license.statuscode</t>
  </si>
  <si>
    <t>stLicenseTransaction.voidReason</t>
  </si>
  <si>
    <t>stLicenseTransaction.receiptNumber</t>
  </si>
  <si>
    <t>LA_LICENSETRANSACTION.VOID_REASON</t>
  </si>
  <si>
    <t>deal.voidreason</t>
  </si>
  <si>
    <t>stLicenseTransaction.local</t>
  </si>
  <si>
    <t>LA_LICENSETRANSACTION.LOCAL</t>
  </si>
  <si>
    <t>deal.local</t>
  </si>
  <si>
    <t>LA_LICENSETRANSACTION.RECEIPT_NUMBER</t>
  </si>
  <si>
    <t>deal.receiptnumber</t>
  </si>
  <si>
    <t xml:space="preserve">licenseTransaction.license.licensee.gender (Individual) </t>
  </si>
  <si>
    <t>stLicenseTransaction.pictureNumber</t>
  </si>
  <si>
    <t>LA_LICENSETRANSACTION.PICTURE_NUMBER</t>
  </si>
  <si>
    <t>deal.picturenumber</t>
  </si>
  <si>
    <t>licenseTransaction.license.licensee.firstName  (Individual) + licenseTransaction.license.licensee.middleName (Individual) + licenseTransaction.license.licensee.lastName (Individual) + licenseTransaction.license.licensee.suffix (Individual)
licenseTransaction.license.licensee.businessName  (Business)</t>
  </si>
  <si>
    <t>licenseTransaction.license.licensee.addresses[0].city</t>
  </si>
  <si>
    <t>licenseTransaction.license.licensee.addresses[0].state</t>
  </si>
  <si>
    <t>regTransaction.newVehicle.title.legalparties[0].dmvID(Individual) 
licenseTransaction.license.licenseNo(DL00)</t>
  </si>
  <si>
    <t>LICENSE.LICENSE_NUM</t>
  </si>
  <si>
    <t>STlicenseTransaction.RowsToSkip</t>
  </si>
  <si>
    <t>STlicenseTransaction.totalRecords</t>
  </si>
  <si>
    <t>STLicense.licenseStatus</t>
  </si>
  <si>
    <t>LA_LICENSE.STATUS</t>
  </si>
  <si>
    <t>Transaction.trans_id</t>
  </si>
  <si>
    <t>TRANSACTION.TRANS_ID</t>
  </si>
  <si>
    <t>LA_LICENSETRANSACTION.ROWS_SKIP</t>
  </si>
  <si>
    <t>LA_LICENSETRANSACTION.TOTAL_RESULTS</t>
  </si>
  <si>
    <t>License.licenseFlags</t>
  </si>
  <si>
    <t>LicenseTransaction.STLicense.auditNum</t>
  </si>
  <si>
    <t>License.LicenseClass</t>
  </si>
  <si>
    <t>STLicenseTransaction.issuingOfficeCode</t>
  </si>
  <si>
    <t>STLicense.commercialLicenseStatus</t>
  </si>
  <si>
    <t>STLicense.pseudo</t>
  </si>
  <si>
    <t>LICENSE.PSEUDO</t>
  </si>
  <si>
    <t>license.pseudo</t>
  </si>
  <si>
    <t>licenseTransaction.stLicense.convictionNumber</t>
  </si>
  <si>
    <t>LA_LICENSE.CONVICTION_NUMBER</t>
  </si>
  <si>
    <t>deal.license.convictionnumber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</si>
</sst>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3" formatCode="_(* #,##0.00_);_(* \(#,##0.00\);_(* &quot;-&quot;??_);_(@_)"/>
  </numFmts>
  <fonts count="2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000000"/>
      <name val="Calibri"/>
      <family val="2"/>
      <scheme val="minor"/>
    </font>
    <font>
      <sz val="11"/>
      <color rgb="FF0070C0"/>
      <name val="Calibri"/>
      <family val="2"/>
      <scheme val="minor"/>
    </font>
    <font>
      <sz val="11"/>
      <color rgb="FFC00000"/>
      <name val="Calibri"/>
      <family val="2"/>
      <scheme val="minor"/>
    </font>
    <font>
      <b/>
      <sz val="11"/>
      <color theme="0"/>
      <name val="Calibri"/>
      <family val="2"/>
      <scheme val="minor"/>
    </font>
    <font>
      <sz val="11"/>
      <color theme="0"/>
      <name val="Calibri"/>
      <family val="2"/>
      <scheme val="minor"/>
    </font>
    <font>
      <sz val="11"/>
      <color theme="5"/>
      <name val="Calibri"/>
      <family val="2"/>
      <scheme val="minor"/>
    </font>
    <font>
      <sz val="20"/>
      <color theme="1"/>
      <name val="Calibri"/>
      <family val="2"/>
      <scheme val="minor"/>
    </font>
    <font>
      <b/>
      <sz val="11"/>
      <color rgb="FFFF0000"/>
      <name val="Calibri"/>
      <family val="2"/>
      <scheme val="minor"/>
    </font>
    <font>
      <sz val="11"/>
      <color rgb="FF000000"/>
      <name val="Calibri"/>
      <family val="2"/>
      <scheme val="minor"/>
    </font>
    <font>
      <sz val="11"/>
      <color rgb="FF000000"/>
      <name val="Arial"/>
      <family val="2"/>
    </font>
    <font>
      <sz val="11"/>
      <color theme="4" tint="-0.249977111117893"/>
      <name val="Calibri"/>
      <family val="2"/>
      <scheme val="minor"/>
    </font>
    <font>
      <sz val="24"/>
      <color theme="1"/>
      <name val="Calibri"/>
      <family val="2"/>
      <scheme val="minor"/>
    </font>
    <font>
      <sz val="11"/>
      <color theme="1"/>
      <name val="Calibri"/>
      <family val="2"/>
      <scheme val="minor"/>
    </font>
    <font>
      <sz val="20"/>
      <color theme="2"/>
      <name val="Calibri"/>
      <family val="2"/>
      <scheme val="minor"/>
    </font>
    <font>
      <sz val="8"/>
      <color indexed="81"/>
      <name val="Tahoma"/>
      <family val="2"/>
    </font>
    <font>
      <b/>
      <sz val="8"/>
      <color indexed="81"/>
      <name val="Tahoma"/>
      <family val="2"/>
    </font>
    <font>
      <sz val="9"/>
      <color indexed="81"/>
      <name val="Tahoma"/>
      <charset val="1"/>
    </font>
    <font>
      <b/>
      <sz val="9"/>
      <color indexed="81"/>
      <name val="Tahoma"/>
      <charset val="1"/>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2F2F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5"/>
        <bgColor indexed="64"/>
      </patternFill>
    </fill>
    <fill>
      <patternFill patternType="solid">
        <fgColor rgb="FF00B050"/>
        <bgColor indexed="64"/>
      </patternFill>
    </fill>
    <fill>
      <patternFill patternType="solid">
        <fgColor theme="2"/>
        <bgColor indexed="64"/>
      </patternFill>
    </fill>
    <fill>
      <patternFill patternType="solid">
        <fgColor theme="6"/>
        <bgColor indexed="64"/>
      </patternFill>
    </fill>
    <fill>
      <patternFill patternType="solid">
        <fgColor theme="5" tint="0.39997558519241921"/>
        <bgColor indexed="64"/>
      </patternFill>
    </fill>
    <fill>
      <patternFill patternType="solid">
        <fgColor theme="7" tint="0.39997558519241921"/>
        <bgColor theme="4" tint="0.79998168889431442"/>
      </patternFill>
    </fill>
    <fill>
      <patternFill patternType="solid">
        <fgColor theme="7"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s>
  <cellStyleXfs count="4">
    <xf numFmtId="0" fontId="0" fillId="0" borderId="0"/>
    <xf numFmtId="43" fontId="5" fillId="0" borderId="0" applyFont="0" applyFill="0" applyBorder="0" applyAlignment="0" applyProtection="0"/>
    <xf numFmtId="0" fontId="6" fillId="0" borderId="0" applyNumberFormat="0" applyFill="0" applyBorder="0" applyAlignment="0" applyProtection="0"/>
    <xf numFmtId="0" fontId="5" fillId="0" borderId="0" applyBorder="0">
      <alignment horizontal="center" vertical="center"/>
    </xf>
  </cellStyleXfs>
  <cellXfs count="262">
    <xf numFmtId="0" fontId="0" fillId="0" borderId="0" xfId="0"/>
    <xf numFmtId="0" fontId="1" fillId="0" borderId="1" xfId="0" applyFont="1" applyBorder="1" applyAlignment="1">
      <alignment vertical="top" wrapText="1"/>
    </xf>
    <xf numFmtId="0" fontId="3" fillId="0" borderId="1" xfId="0" applyFont="1" applyBorder="1" applyAlignment="1">
      <alignment vertical="top" wrapText="1"/>
    </xf>
    <xf numFmtId="16" fontId="0" fillId="0" borderId="0" xfId="0" applyNumberFormat="1"/>
    <xf numFmtId="43" fontId="0" fillId="0" borderId="1" xfId="1" applyFont="1" applyBorder="1" applyAlignment="1">
      <alignment vertical="top" wrapText="1"/>
    </xf>
    <xf numFmtId="0" fontId="2" fillId="2" borderId="1" xfId="0" applyFont="1" applyFill="1" applyBorder="1" applyAlignment="1">
      <alignment vertical="top" wrapText="1"/>
    </xf>
    <xf numFmtId="43" fontId="0" fillId="0" borderId="0" xfId="0" applyNumberFormat="1"/>
    <xf numFmtId="8" fontId="0" fillId="0" borderId="0" xfId="0" applyNumberFormat="1"/>
    <xf numFmtId="0" fontId="0" fillId="0" borderId="1" xfId="0" applyFont="1" applyFill="1" applyBorder="1" applyAlignment="1">
      <alignment vertical="top" wrapText="1"/>
    </xf>
    <xf numFmtId="43" fontId="0" fillId="0" borderId="1" xfId="1" applyFont="1" applyFill="1"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2" fillId="3" borderId="1" xfId="0" applyFont="1" applyFill="1" applyBorder="1" applyAlignment="1">
      <alignment vertical="top" wrapText="1"/>
    </xf>
    <xf numFmtId="0" fontId="0" fillId="3" borderId="1" xfId="0" applyFont="1" applyFill="1" applyBorder="1" applyAlignment="1">
      <alignment vertical="top" wrapText="1"/>
    </xf>
    <xf numFmtId="0" fontId="1" fillId="3" borderId="1" xfId="0" applyFont="1" applyFill="1" applyBorder="1" applyAlignment="1">
      <alignment vertical="top" wrapText="1"/>
    </xf>
    <xf numFmtId="0" fontId="4" fillId="3" borderId="1" xfId="0" applyNumberFormat="1" applyFont="1" applyFill="1" applyBorder="1" applyAlignment="1">
      <alignment vertical="top"/>
    </xf>
    <xf numFmtId="0" fontId="2" fillId="3" borderId="1" xfId="0" applyNumberFormat="1" applyFont="1" applyFill="1" applyBorder="1" applyAlignment="1">
      <alignment vertical="top" wrapText="1"/>
    </xf>
    <xf numFmtId="0" fontId="2" fillId="0" borderId="1" xfId="0" applyNumberFormat="1" applyFont="1" applyBorder="1" applyAlignment="1">
      <alignment vertical="top" wrapText="1"/>
    </xf>
    <xf numFmtId="0" fontId="2" fillId="3" borderId="1" xfId="0" applyNumberFormat="1" applyFont="1" applyFill="1" applyBorder="1" applyAlignment="1">
      <alignment vertical="top"/>
    </xf>
    <xf numFmtId="0" fontId="9" fillId="3" borderId="1" xfId="0" applyNumberFormat="1" applyFont="1" applyFill="1" applyBorder="1" applyAlignment="1">
      <alignment vertical="top"/>
    </xf>
    <xf numFmtId="0" fontId="4" fillId="3" borderId="1" xfId="0" applyFont="1" applyFill="1" applyBorder="1" applyAlignment="1">
      <alignment vertical="top"/>
    </xf>
    <xf numFmtId="0" fontId="2" fillId="0" borderId="1" xfId="0" applyFont="1" applyBorder="1" applyAlignment="1">
      <alignment vertical="top"/>
    </xf>
    <xf numFmtId="0" fontId="4" fillId="4" borderId="1" xfId="0" applyFont="1" applyFill="1" applyBorder="1" applyAlignment="1">
      <alignment vertical="top"/>
    </xf>
    <xf numFmtId="0" fontId="4" fillId="3" borderId="1" xfId="0" applyFont="1" applyFill="1" applyBorder="1" applyAlignment="1">
      <alignment vertical="top" wrapText="1"/>
    </xf>
    <xf numFmtId="0" fontId="2" fillId="3" borderId="1" xfId="0" applyFont="1" applyFill="1" applyBorder="1" applyAlignment="1">
      <alignment vertical="top"/>
    </xf>
    <xf numFmtId="0" fontId="2" fillId="0" borderId="1" xfId="0" applyFont="1" applyFill="1" applyBorder="1" applyAlignment="1">
      <alignment vertical="top" wrapText="1"/>
    </xf>
    <xf numFmtId="0" fontId="9" fillId="0" borderId="1" xfId="0" applyFont="1" applyBorder="1" applyAlignment="1">
      <alignment vertical="top"/>
    </xf>
    <xf numFmtId="0" fontId="0" fillId="0" borderId="1" xfId="0" applyFont="1" applyBorder="1" applyAlignment="1">
      <alignment vertical="top" wrapText="1"/>
    </xf>
    <xf numFmtId="0" fontId="6" fillId="0" borderId="1" xfId="2" applyFont="1" applyBorder="1" applyAlignment="1">
      <alignment vertical="top" wrapText="1"/>
    </xf>
    <xf numFmtId="0" fontId="0" fillId="0" borderId="2" xfId="0" applyFill="1" applyBorder="1" applyAlignment="1">
      <alignment vertical="center"/>
    </xf>
    <xf numFmtId="0" fontId="0" fillId="0" borderId="1" xfId="0" applyFont="1" applyBorder="1" applyAlignment="1">
      <alignment vertical="top" wrapText="1"/>
    </xf>
    <xf numFmtId="0" fontId="2" fillId="0" borderId="1" xfId="0" applyFont="1" applyFill="1" applyBorder="1" applyAlignment="1">
      <alignment vertical="top"/>
    </xf>
    <xf numFmtId="0" fontId="2" fillId="0" borderId="1" xfId="0" applyNumberFormat="1" applyFont="1" applyFill="1" applyBorder="1" applyAlignment="1">
      <alignment vertical="top"/>
    </xf>
    <xf numFmtId="0" fontId="2"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9" fillId="0" borderId="1" xfId="0" applyFont="1" applyFill="1" applyBorder="1" applyAlignment="1">
      <alignment vertical="top"/>
    </xf>
    <xf numFmtId="0" fontId="4" fillId="0" borderId="1" xfId="0" applyFont="1" applyFill="1" applyBorder="1" applyAlignment="1">
      <alignment vertical="top"/>
    </xf>
    <xf numFmtId="8" fontId="3" fillId="0" borderId="1" xfId="0" applyNumberFormat="1" applyFont="1" applyFill="1" applyBorder="1" applyAlignment="1">
      <alignment vertical="top" wrapText="1"/>
    </xf>
    <xf numFmtId="0" fontId="6" fillId="0" borderId="1" xfId="2" applyFont="1" applyFill="1" applyBorder="1" applyAlignment="1">
      <alignment vertical="top" wrapText="1"/>
    </xf>
    <xf numFmtId="0" fontId="3" fillId="3" borderId="1" xfId="0" applyFont="1" applyFill="1" applyBorder="1" applyAlignment="1">
      <alignment vertical="top" wrapText="1"/>
    </xf>
    <xf numFmtId="0" fontId="0" fillId="0" borderId="1" xfId="0" applyFont="1" applyBorder="1" applyAlignment="1">
      <alignment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left" vertical="top"/>
    </xf>
    <xf numFmtId="0" fontId="0" fillId="0" borderId="1" xfId="0" applyBorder="1" applyAlignment="1">
      <alignment horizontal="left" vertical="center"/>
    </xf>
    <xf numFmtId="0" fontId="1" fillId="0" borderId="1" xfId="0" applyFont="1" applyBorder="1" applyAlignment="1">
      <alignment horizontal="left" vertical="top" wrapText="1"/>
    </xf>
    <xf numFmtId="0" fontId="0" fillId="0" borderId="0" xfId="0" applyAlignment="1">
      <alignment horizontal="left" vertical="center"/>
    </xf>
    <xf numFmtId="0" fontId="0" fillId="5" borderId="1" xfId="0" applyFill="1" applyBorder="1" applyAlignment="1">
      <alignment horizontal="center" vertical="center"/>
    </xf>
    <xf numFmtId="0" fontId="1" fillId="0" borderId="1" xfId="0" applyFont="1" applyBorder="1" applyAlignment="1">
      <alignment horizontal="center" vertical="center"/>
    </xf>
    <xf numFmtId="0" fontId="0" fillId="0" borderId="0" xfId="0" applyBorder="1" applyAlignment="1">
      <alignment horizontal="left" vertical="top" wrapText="1"/>
    </xf>
    <xf numFmtId="0" fontId="1" fillId="0" borderId="0" xfId="0" applyFont="1" applyBorder="1" applyAlignment="1">
      <alignment horizontal="left" vertical="top" wrapText="1"/>
    </xf>
    <xf numFmtId="0" fontId="0" fillId="6" borderId="0" xfId="0" applyFill="1"/>
    <xf numFmtId="0" fontId="1" fillId="0" borderId="1" xfId="0" applyFont="1" applyBorder="1" applyAlignment="1">
      <alignment horizontal="left" vertical="top"/>
    </xf>
    <xf numFmtId="0" fontId="0" fillId="0" borderId="3"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left" vertical="top" wrapText="1"/>
    </xf>
    <xf numFmtId="0" fontId="0" fillId="0" borderId="5" xfId="0" applyBorder="1"/>
    <xf numFmtId="0" fontId="0" fillId="0" borderId="1" xfId="0" applyBorder="1"/>
    <xf numFmtId="0" fontId="0" fillId="0" borderId="0" xfId="0" applyAlignment="1">
      <alignment horizontal="center"/>
    </xf>
    <xf numFmtId="0" fontId="0" fillId="0" borderId="0" xfId="0" applyFont="1" applyAlignment="1">
      <alignment horizontal="center"/>
    </xf>
    <xf numFmtId="0" fontId="0" fillId="0" borderId="3" xfId="0" applyBorder="1"/>
    <xf numFmtId="0" fontId="0" fillId="0" borderId="2" xfId="0" applyBorder="1"/>
    <xf numFmtId="0" fontId="0" fillId="0" borderId="1" xfId="0" applyFont="1" applyBorder="1" applyAlignment="1">
      <alignment horizontal="center" vertical="center"/>
    </xf>
    <xf numFmtId="0" fontId="3" fillId="6" borderId="5" xfId="0" applyFont="1" applyFill="1" applyBorder="1"/>
    <xf numFmtId="0" fontId="0" fillId="0" borderId="1" xfId="0" applyFont="1" applyBorder="1" applyAlignment="1">
      <alignment horizontal="center" vertical="center" wrapText="1"/>
    </xf>
    <xf numFmtId="0" fontId="0" fillId="0" borderId="1" xfId="0" applyFont="1" applyFill="1" applyBorder="1" applyAlignment="1">
      <alignment horizontal="center" vertical="center"/>
    </xf>
    <xf numFmtId="0" fontId="0" fillId="0" borderId="1" xfId="0" applyNumberFormat="1" applyFont="1" applyBorder="1" applyAlignment="1">
      <alignment horizontal="center" vertical="center" wrapText="1"/>
    </xf>
    <xf numFmtId="0" fontId="3"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17" fillId="0" borderId="1" xfId="0" applyFont="1" applyBorder="1" applyAlignment="1">
      <alignment horizontal="center" vertical="center"/>
    </xf>
    <xf numFmtId="0" fontId="0" fillId="0"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0" fillId="3" borderId="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xf>
    <xf numFmtId="0" fontId="0" fillId="3"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wrapText="1"/>
    </xf>
    <xf numFmtId="0" fontId="17"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0" fillId="0" borderId="4" xfId="0" applyBorder="1" applyAlignment="1">
      <alignment horizontal="left" vertical="center"/>
    </xf>
    <xf numFmtId="0" fontId="0" fillId="0" borderId="5" xfId="0" applyBorder="1" applyAlignment="1">
      <alignment horizontal="center" vertical="center"/>
    </xf>
    <xf numFmtId="0" fontId="0" fillId="0" borderId="5" xfId="0" applyFont="1" applyBorder="1" applyAlignment="1">
      <alignment horizontal="center" vertical="center"/>
    </xf>
    <xf numFmtId="0" fontId="0" fillId="0" borderId="6" xfId="0" applyBorder="1" applyAlignment="1">
      <alignment horizontal="left" vertical="center"/>
    </xf>
    <xf numFmtId="0" fontId="0" fillId="0" borderId="1" xfId="0" applyBorder="1" applyAlignment="1">
      <alignment horizontal="center" vertical="center" wrapText="1"/>
    </xf>
    <xf numFmtId="0" fontId="3" fillId="0" borderId="1" xfId="0" applyFont="1" applyBorder="1" applyAlignment="1">
      <alignment horizontal="left" vertical="top" wrapText="1"/>
    </xf>
    <xf numFmtId="0" fontId="16" fillId="0" borderId="1" xfId="0" applyFont="1" applyBorder="1" applyAlignment="1">
      <alignment horizontal="center" vertical="center"/>
    </xf>
    <xf numFmtId="0" fontId="0" fillId="0" borderId="2"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6" xfId="0" applyFill="1" applyBorder="1" applyAlignment="1">
      <alignment horizontal="center" vertical="center"/>
    </xf>
    <xf numFmtId="0" fontId="0" fillId="0" borderId="1" xfId="0" applyFill="1" applyBorder="1" applyAlignment="1">
      <alignment horizontal="center" vertical="center" wrapText="1"/>
    </xf>
    <xf numFmtId="0" fontId="1" fillId="0" borderId="5" xfId="0" applyFont="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6" xfId="0" applyBorder="1" applyAlignment="1">
      <alignment horizontal="left" vertical="center" wrapText="1"/>
    </xf>
    <xf numFmtId="0" fontId="0" fillId="0" borderId="1" xfId="0" applyBorder="1" applyAlignment="1">
      <alignment horizontal="left" vertical="center" wrapText="1"/>
    </xf>
    <xf numFmtId="0" fontId="0" fillId="8" borderId="1" xfId="0" applyFont="1" applyFill="1" applyBorder="1" applyAlignment="1">
      <alignment horizontal="center" vertical="center"/>
    </xf>
    <xf numFmtId="0" fontId="0" fillId="0" borderId="0" xfId="0" applyBorder="1" applyAlignment="1">
      <alignment horizontal="center" vertical="center"/>
    </xf>
    <xf numFmtId="0" fontId="12" fillId="7" borderId="5" xfId="0" applyFont="1" applyFill="1"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Font="1"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3" fillId="9" borderId="1" xfId="0" applyFont="1" applyFill="1" applyBorder="1" applyAlignment="1">
      <alignment horizontal="center" vertical="center"/>
    </xf>
    <xf numFmtId="0" fontId="3" fillId="3" borderId="1" xfId="0" applyFont="1" applyFill="1" applyBorder="1"/>
    <xf numFmtId="0" fontId="3" fillId="3" borderId="1" xfId="0" applyFont="1" applyFill="1" applyBorder="1" applyAlignment="1">
      <alignment horizontal="center"/>
    </xf>
    <xf numFmtId="0" fontId="2" fillId="0" borderId="0" xfId="0" applyFont="1"/>
    <xf numFmtId="0" fontId="0" fillId="0" borderId="1" xfId="0" applyBorder="1" applyAlignment="1">
      <alignment horizontal="left" vertical="top"/>
    </xf>
    <xf numFmtId="0" fontId="12" fillId="7" borderId="1" xfId="0" applyFont="1" applyFill="1" applyBorder="1" applyAlignment="1">
      <alignment horizontal="center" vertical="center"/>
    </xf>
    <xf numFmtId="0" fontId="12" fillId="7" borderId="1" xfId="0" applyFont="1" applyFill="1" applyBorder="1" applyAlignment="1">
      <alignment horizontal="left" vertical="top"/>
    </xf>
    <xf numFmtId="0" fontId="0" fillId="0" borderId="6" xfId="0" applyFont="1" applyBorder="1" applyAlignment="1">
      <alignment vertical="center"/>
    </xf>
    <xf numFmtId="0" fontId="0" fillId="0" borderId="7" xfId="0" applyFont="1" applyBorder="1" applyAlignment="1">
      <alignment vertical="center"/>
    </xf>
    <xf numFmtId="0" fontId="12" fillId="7" borderId="4" xfId="0" applyFont="1" applyFill="1" applyBorder="1" applyAlignment="1">
      <alignment horizontal="left" vertical="center"/>
    </xf>
    <xf numFmtId="0" fontId="12" fillId="7" borderId="8" xfId="0" applyFont="1" applyFill="1" applyBorder="1" applyAlignment="1">
      <alignment horizontal="left" vertical="top"/>
    </xf>
    <xf numFmtId="0" fontId="12" fillId="7" borderId="5" xfId="0" applyFont="1" applyFill="1" applyBorder="1" applyAlignment="1">
      <alignment horizontal="center" vertical="center" wrapText="1"/>
    </xf>
    <xf numFmtId="0" fontId="0" fillId="0" borderId="3" xfId="0" applyFont="1" applyBorder="1" applyAlignment="1">
      <alignment vertical="center"/>
    </xf>
    <xf numFmtId="0" fontId="0" fillId="0" borderId="3" xfId="0" applyFont="1" applyBorder="1" applyAlignment="1">
      <alignment vertical="center" wrapText="1"/>
    </xf>
    <xf numFmtId="0" fontId="0" fillId="0" borderId="10"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9" xfId="0" applyFont="1" applyBorder="1" applyAlignment="1">
      <alignment vertical="center"/>
    </xf>
    <xf numFmtId="0" fontId="12" fillId="7" borderId="11" xfId="0" applyFont="1" applyFill="1" applyBorder="1" applyAlignment="1">
      <alignment horizontal="left" vertical="center"/>
    </xf>
    <xf numFmtId="0" fontId="12" fillId="7" borderId="1" xfId="0" applyFont="1" applyFill="1" applyBorder="1" applyAlignment="1">
      <alignment horizontal="center" vertical="center" wrapText="1"/>
    </xf>
    <xf numFmtId="0" fontId="0" fillId="0" borderId="3" xfId="0" applyBorder="1" applyAlignment="1">
      <alignment horizontal="left" vertical="center"/>
    </xf>
    <xf numFmtId="0" fontId="0" fillId="0" borderId="3" xfId="0" applyBorder="1" applyAlignment="1">
      <alignment horizontal="left" vertical="top" wrapText="1"/>
    </xf>
    <xf numFmtId="0" fontId="0" fillId="0" borderId="0" xfId="0" applyBorder="1"/>
    <xf numFmtId="0" fontId="0" fillId="0" borderId="8" xfId="0" applyBorder="1" applyAlignment="1">
      <alignment horizontal="left" vertical="top"/>
    </xf>
    <xf numFmtId="0" fontId="0" fillId="0" borderId="7" xfId="0" applyBorder="1" applyAlignment="1">
      <alignment horizontal="left" vertical="top"/>
    </xf>
    <xf numFmtId="0" fontId="0" fillId="0" borderId="7" xfId="0" applyBorder="1" applyAlignment="1">
      <alignment horizontal="left" vertical="top" wrapText="1"/>
    </xf>
    <xf numFmtId="0" fontId="0" fillId="0" borderId="7" xfId="0" applyFill="1" applyBorder="1" applyAlignment="1">
      <alignment horizontal="left" vertical="top" wrapText="1"/>
    </xf>
    <xf numFmtId="0" fontId="1" fillId="0" borderId="7" xfId="0" applyFont="1" applyBorder="1" applyAlignment="1">
      <alignment horizontal="left" vertical="top"/>
    </xf>
    <xf numFmtId="0" fontId="0" fillId="0" borderId="7" xfId="0" applyBorder="1" applyAlignment="1">
      <alignment horizontal="left" vertical="center"/>
    </xf>
    <xf numFmtId="0" fontId="16" fillId="0" borderId="7" xfId="0" applyFont="1" applyBorder="1" applyAlignment="1">
      <alignment horizontal="left" vertical="top"/>
    </xf>
    <xf numFmtId="0" fontId="0" fillId="0" borderId="0" xfId="0" applyFill="1" applyBorder="1" applyAlignment="1">
      <alignment horizontal="center" vertical="center"/>
    </xf>
    <xf numFmtId="0" fontId="1" fillId="0" borderId="0" xfId="0" applyFont="1" applyBorder="1" applyAlignment="1">
      <alignment horizontal="center" vertical="center"/>
    </xf>
    <xf numFmtId="0" fontId="16" fillId="0" borderId="0" xfId="0" applyFont="1" applyBorder="1"/>
    <xf numFmtId="0" fontId="16" fillId="0" borderId="6" xfId="0" applyFont="1" applyBorder="1" applyAlignment="1">
      <alignment horizontal="left" vertical="center" wrapText="1"/>
    </xf>
    <xf numFmtId="0" fontId="0" fillId="0" borderId="0" xfId="0" applyAlignment="1">
      <alignment horizontal="center"/>
    </xf>
    <xf numFmtId="0" fontId="18" fillId="0" borderId="0" xfId="0" applyFont="1"/>
    <xf numFmtId="0" fontId="16" fillId="0" borderId="1" xfId="0" applyFont="1" applyBorder="1" applyAlignment="1">
      <alignment horizontal="center" vertical="center" wrapText="1"/>
    </xf>
    <xf numFmtId="0" fontId="16" fillId="0" borderId="1" xfId="0" applyFont="1" applyBorder="1" applyAlignment="1">
      <alignment horizontal="center"/>
    </xf>
    <xf numFmtId="0" fontId="16" fillId="0" borderId="1" xfId="0" applyFont="1" applyBorder="1"/>
    <xf numFmtId="0" fontId="16" fillId="0" borderId="1" xfId="0" applyFont="1" applyBorder="1" applyAlignment="1">
      <alignment horizontal="left" vertical="center" wrapText="1"/>
    </xf>
    <xf numFmtId="0" fontId="16" fillId="0" borderId="1" xfId="0" applyFont="1" applyBorder="1" applyAlignment="1">
      <alignment horizontal="left" vertical="top" wrapText="1"/>
    </xf>
    <xf numFmtId="0" fontId="12" fillId="7"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0" fontId="3" fillId="9" borderId="1" xfId="0" applyFont="1" applyFill="1" applyBorder="1" applyAlignment="1">
      <alignment horizontal="center" vertical="center" wrapText="1"/>
    </xf>
    <xf numFmtId="0" fontId="0" fillId="0" borderId="1" xfId="0" applyBorder="1" applyAlignment="1">
      <alignment wrapText="1"/>
    </xf>
    <xf numFmtId="0" fontId="3" fillId="9" borderId="2" xfId="0" applyFont="1" applyFill="1" applyBorder="1" applyAlignment="1">
      <alignment horizontal="center" vertical="center"/>
    </xf>
    <xf numFmtId="0" fontId="0" fillId="0" borderId="1" xfId="0" applyBorder="1" applyAlignment="1">
      <alignment horizontal="center" vertical="top"/>
    </xf>
    <xf numFmtId="0" fontId="0" fillId="0" borderId="1" xfId="0" applyFont="1" applyBorder="1" applyAlignment="1">
      <alignment horizontal="center" vertical="top"/>
    </xf>
    <xf numFmtId="0" fontId="0" fillId="0" borderId="0" xfId="0" applyAlignment="1">
      <alignment horizontal="center"/>
    </xf>
    <xf numFmtId="0" fontId="19" fillId="8" borderId="1" xfId="0" applyFont="1" applyFill="1" applyBorder="1" applyAlignment="1">
      <alignment horizontal="center" vertical="center"/>
    </xf>
    <xf numFmtId="0" fontId="19" fillId="0" borderId="1" xfId="0" applyFont="1" applyBorder="1" applyAlignment="1">
      <alignment horizontal="center" vertical="center"/>
    </xf>
    <xf numFmtId="0" fontId="0" fillId="8" borderId="1" xfId="0" applyFont="1" applyFill="1" applyBorder="1" applyAlignment="1">
      <alignment horizontal="center"/>
    </xf>
    <xf numFmtId="0" fontId="0" fillId="0" borderId="1" xfId="0" applyFont="1" applyBorder="1" applyAlignment="1">
      <alignment horizontal="center"/>
    </xf>
    <xf numFmtId="0" fontId="1" fillId="0" borderId="1" xfId="0" applyFont="1" applyBorder="1" applyAlignment="1">
      <alignment horizontal="center"/>
    </xf>
    <xf numFmtId="0" fontId="0" fillId="5" borderId="1" xfId="0" applyFill="1" applyBorder="1" applyAlignment="1">
      <alignment horizontal="center"/>
    </xf>
    <xf numFmtId="0" fontId="0" fillId="5" borderId="1" xfId="0" applyFont="1" applyFill="1" applyBorder="1" applyAlignment="1">
      <alignment horizontal="center"/>
    </xf>
    <xf numFmtId="0" fontId="20" fillId="0" borderId="1" xfId="0" applyFont="1" applyBorder="1" applyAlignment="1">
      <alignment horizontal="center"/>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12" fillId="7" borderId="1" xfId="0" applyFont="1" applyFill="1" applyBorder="1" applyAlignment="1">
      <alignment horizontal="center" vertical="top"/>
    </xf>
    <xf numFmtId="0" fontId="0" fillId="8" borderId="1" xfId="0" applyFont="1" applyFill="1" applyBorder="1" applyAlignment="1">
      <alignment horizontal="center" vertical="top"/>
    </xf>
    <xf numFmtId="0" fontId="13" fillId="7" borderId="1" xfId="0" applyFont="1" applyFill="1" applyBorder="1" applyAlignment="1">
      <alignment horizontal="center" vertical="top"/>
    </xf>
    <xf numFmtId="0" fontId="14" fillId="0" borderId="1" xfId="0" applyFont="1" applyBorder="1" applyAlignment="1">
      <alignment horizontal="center" vertical="top"/>
    </xf>
    <xf numFmtId="0" fontId="2" fillId="8" borderId="1" xfId="0" applyFont="1" applyFill="1" applyBorder="1" applyAlignment="1">
      <alignment horizontal="center" vertical="top"/>
    </xf>
    <xf numFmtId="0" fontId="1" fillId="8" borderId="1" xfId="0" applyFont="1" applyFill="1" applyBorder="1" applyAlignment="1">
      <alignment horizontal="center" vertical="top"/>
    </xf>
    <xf numFmtId="0" fontId="2" fillId="0" borderId="1" xfId="0" applyFont="1" applyBorder="1" applyAlignment="1">
      <alignment horizontal="center" vertical="top"/>
    </xf>
    <xf numFmtId="0" fontId="0" fillId="0" borderId="1" xfId="0" applyFont="1" applyFill="1" applyBorder="1" applyAlignment="1">
      <alignment horizontal="center"/>
    </xf>
    <xf numFmtId="0" fontId="0" fillId="5" borderId="0" xfId="0" applyFill="1" applyBorder="1" applyAlignment="1">
      <alignment horizontal="center"/>
    </xf>
    <xf numFmtId="0" fontId="3" fillId="8" borderId="1" xfId="0" applyFont="1" applyFill="1" applyBorder="1" applyAlignment="1">
      <alignment horizontal="center"/>
    </xf>
    <xf numFmtId="0" fontId="21" fillId="0" borderId="1" xfId="0" applyFont="1" applyBorder="1" applyAlignment="1">
      <alignment vertical="center"/>
    </xf>
    <xf numFmtId="0" fontId="21" fillId="0" borderId="1" xfId="0" applyFont="1" applyBorder="1" applyAlignment="1">
      <alignment vertical="center" wrapText="1"/>
    </xf>
    <xf numFmtId="0" fontId="0" fillId="0" borderId="3" xfId="0" applyFont="1" applyBorder="1" applyAlignment="1">
      <alignment horizontal="center" vertical="center" wrapText="1"/>
    </xf>
    <xf numFmtId="0" fontId="0" fillId="0" borderId="1" xfId="0" applyBorder="1" applyAlignment="1">
      <alignment horizontal="center"/>
    </xf>
    <xf numFmtId="0" fontId="13" fillId="7" borderId="1" xfId="0" applyFont="1" applyFill="1" applyBorder="1" applyAlignment="1">
      <alignment horizontal="center" vertical="center" wrapText="1"/>
    </xf>
    <xf numFmtId="0" fontId="18" fillId="0" borderId="0" xfId="0" applyFont="1" applyAlignment="1">
      <alignment wrapText="1"/>
    </xf>
    <xf numFmtId="0" fontId="0" fillId="0" borderId="1" xfId="0" applyFill="1" applyBorder="1" applyAlignment="1">
      <alignment horizontal="left" vertical="center"/>
    </xf>
    <xf numFmtId="0" fontId="0" fillId="0" borderId="1" xfId="0" applyFill="1" applyBorder="1" applyAlignment="1">
      <alignment horizontal="left" vertical="top"/>
    </xf>
    <xf numFmtId="0" fontId="0" fillId="10" borderId="6" xfId="0" applyFont="1" applyFill="1" applyBorder="1" applyAlignment="1">
      <alignment vertical="center"/>
    </xf>
    <xf numFmtId="0" fontId="0" fillId="10" borderId="1" xfId="0" applyFont="1" applyFill="1" applyBorder="1" applyAlignment="1">
      <alignment vertical="center"/>
    </xf>
    <xf numFmtId="0" fontId="3" fillId="4"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vertical="center"/>
    </xf>
    <xf numFmtId="0" fontId="0" fillId="0" borderId="1" xfId="0" applyNumberFormat="1" applyFont="1" applyBorder="1" applyAlignment="1">
      <alignment vertical="center"/>
    </xf>
    <xf numFmtId="0" fontId="19" fillId="0" borderId="1" xfId="0" applyFont="1" applyBorder="1" applyAlignment="1">
      <alignment horizontal="center" vertical="center" wrapText="1"/>
    </xf>
    <xf numFmtId="0" fontId="0" fillId="0" borderId="1" xfId="0" applyFill="1" applyBorder="1" applyAlignment="1">
      <alignment horizontal="left" vertical="center" wrapText="1"/>
    </xf>
    <xf numFmtId="0" fontId="18" fillId="0" borderId="0" xfId="0" applyFont="1" applyFill="1"/>
    <xf numFmtId="0" fontId="0" fillId="0" borderId="7" xfId="0" applyFill="1" applyBorder="1" applyAlignment="1">
      <alignment horizontal="left" vertical="top"/>
    </xf>
    <xf numFmtId="0" fontId="0" fillId="0" borderId="0" xfId="0" applyFill="1" applyBorder="1"/>
    <xf numFmtId="0" fontId="16" fillId="0" borderId="6" xfId="0" applyFont="1" applyBorder="1" applyAlignment="1">
      <alignment horizontal="left" vertical="center"/>
    </xf>
    <xf numFmtId="0" fontId="1" fillId="0" borderId="1" xfId="0" applyFont="1" applyBorder="1"/>
    <xf numFmtId="0" fontId="19" fillId="0" borderId="1" xfId="0" applyFont="1" applyBorder="1" applyAlignment="1">
      <alignment vertical="center"/>
    </xf>
    <xf numFmtId="0" fontId="19" fillId="8" borderId="1" xfId="0" applyFont="1" applyFill="1" applyBorder="1" applyAlignment="1">
      <alignment vertical="center"/>
    </xf>
    <xf numFmtId="0" fontId="0" fillId="0" borderId="1" xfId="0" applyFont="1" applyBorder="1" applyAlignment="1">
      <alignment horizontal="center" wrapText="1"/>
    </xf>
    <xf numFmtId="0" fontId="3" fillId="3" borderId="1" xfId="0" applyNumberFormat="1" applyFont="1" applyFill="1" applyBorder="1" applyAlignment="1">
      <alignment horizontal="center" wrapText="1"/>
    </xf>
    <xf numFmtId="0" fontId="3" fillId="3" borderId="1" xfId="0" applyNumberFormat="1" applyFont="1" applyFill="1" applyBorder="1" applyAlignment="1">
      <alignment horizontal="center" vertical="top" wrapText="1"/>
    </xf>
    <xf numFmtId="0" fontId="19" fillId="0" borderId="1" xfId="0" applyFont="1" applyBorder="1" applyAlignment="1">
      <alignment vertical="center" wrapText="1"/>
    </xf>
    <xf numFmtId="0" fontId="12" fillId="7" borderId="0" xfId="0" applyFont="1" applyFill="1" applyBorder="1" applyAlignment="1">
      <alignment horizontal="center" vertical="center"/>
    </xf>
    <xf numFmtId="0" fontId="13" fillId="7" borderId="0"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7" borderId="0" xfId="0" applyFont="1" applyFill="1" applyBorder="1" applyAlignment="1">
      <alignment horizontal="left" vertical="top"/>
    </xf>
    <xf numFmtId="0" fontId="2" fillId="0" borderId="0" xfId="0" applyFont="1" applyAlignment="1">
      <alignment horizontal="center"/>
    </xf>
    <xf numFmtId="0" fontId="2" fillId="0" borderId="0" xfId="0" applyFont="1" applyAlignment="1"/>
    <xf numFmtId="0" fontId="19" fillId="8" borderId="1" xfId="0" applyFont="1" applyFill="1" applyBorder="1" applyAlignment="1">
      <alignment horizontal="center" vertical="center" wrapText="1"/>
    </xf>
    <xf numFmtId="0" fontId="0" fillId="0" borderId="1" xfId="0"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1" fillId="0" borderId="7" xfId="0" applyFont="1" applyBorder="1" applyAlignment="1">
      <alignment horizontal="left" vertical="top" wrapText="1"/>
    </xf>
    <xf numFmtId="0" fontId="0" fillId="0" borderId="7" xfId="0" applyFont="1" applyFill="1" applyBorder="1" applyAlignment="1">
      <alignment vertical="top" wrapText="1"/>
    </xf>
    <xf numFmtId="0" fontId="0" fillId="0" borderId="7" xfId="0" applyBorder="1" applyAlignment="1">
      <alignment horizontal="center" vertical="center" wrapText="1"/>
    </xf>
    <xf numFmtId="0" fontId="1" fillId="8" borderId="1" xfId="0" applyFont="1" applyFill="1" applyBorder="1" applyAlignment="1">
      <alignment vertical="center"/>
    </xf>
    <xf numFmtId="0" fontId="1" fillId="0" borderId="1" xfId="0" applyFont="1" applyBorder="1" applyAlignment="1">
      <alignment vertical="center"/>
    </xf>
    <xf numFmtId="0" fontId="19" fillId="8" borderId="2" xfId="0" applyFont="1" applyFill="1" applyBorder="1" applyAlignment="1">
      <alignment vertical="center"/>
    </xf>
    <xf numFmtId="0" fontId="19" fillId="8" borderId="1" xfId="0" applyFont="1" applyFill="1" applyBorder="1" applyAlignment="1">
      <alignment horizontal="left" vertical="center"/>
    </xf>
    <xf numFmtId="0" fontId="19" fillId="0" borderId="1" xfId="0" applyFont="1" applyBorder="1" applyAlignment="1">
      <alignment horizontal="left" vertical="center"/>
    </xf>
    <xf numFmtId="0" fontId="19" fillId="8" borderId="1" xfId="0" applyFont="1" applyFill="1" applyBorder="1" applyAlignment="1">
      <alignment vertical="center" wrapText="1"/>
    </xf>
    <xf numFmtId="0" fontId="19" fillId="0" borderId="6" xfId="0" applyFont="1" applyBorder="1" applyAlignment="1">
      <alignment vertical="center"/>
    </xf>
    <xf numFmtId="0" fontId="19" fillId="8" borderId="6" xfId="0" applyFont="1" applyFill="1" applyBorder="1" applyAlignment="1">
      <alignment vertical="center"/>
    </xf>
    <xf numFmtId="0" fontId="12" fillId="7" borderId="1" xfId="0" applyFont="1" applyFill="1" applyBorder="1" applyAlignment="1">
      <alignment horizontal="left" vertical="center"/>
    </xf>
    <xf numFmtId="0" fontId="19" fillId="0" borderId="1" xfId="0" applyFont="1" applyFill="1" applyBorder="1" applyAlignment="1">
      <alignment vertical="center"/>
    </xf>
    <xf numFmtId="0" fontId="19" fillId="0" borderId="1" xfId="0" applyFont="1" applyBorder="1" applyAlignment="1">
      <alignment horizontal="center" vertical="center"/>
    </xf>
    <xf numFmtId="0" fontId="19" fillId="8" borderId="1" xfId="0" applyFont="1" applyFill="1" applyBorder="1" applyAlignment="1">
      <alignment horizontal="center" vertical="center"/>
    </xf>
    <xf numFmtId="0" fontId="19" fillId="14" borderId="1" xfId="0" applyFont="1" applyFill="1" applyBorder="1" applyAlignment="1">
      <alignment horizontal="center" vertical="center"/>
    </xf>
    <xf numFmtId="0" fontId="19" fillId="0" borderId="1" xfId="0" applyFont="1" applyBorder="1" applyAlignment="1">
      <alignment horizontal="left" vertical="center" wrapText="1"/>
    </xf>
    <xf numFmtId="0" fontId="19" fillId="8" borderId="1" xfId="0" applyFont="1" applyFill="1" applyBorder="1" applyAlignment="1">
      <alignment horizontal="left" vertical="center" wrapText="1"/>
    </xf>
    <xf numFmtId="0" fontId="0" fillId="0" borderId="0" xfId="0" applyAlignment="1">
      <alignment wrapText="1"/>
    </xf>
    <xf numFmtId="0" fontId="0" fillId="8" borderId="1" xfId="0" applyFont="1" applyFill="1" applyBorder="1" applyAlignment="1">
      <alignment horizontal="center" vertical="center" wrapText="1"/>
    </xf>
    <xf numFmtId="0" fontId="19" fillId="0" borderId="1" xfId="0" applyFont="1" applyBorder="1" applyAlignment="1">
      <alignment horizontal="center" vertical="center"/>
    </xf>
    <xf numFmtId="0" fontId="19" fillId="8" borderId="1" xfId="0" applyFont="1" applyFill="1" applyBorder="1" applyAlignment="1">
      <alignment horizontal="center" vertical="center"/>
    </xf>
    <xf numFmtId="0" fontId="15" fillId="6" borderId="0" xfId="0" applyFont="1" applyFill="1" applyBorder="1" applyAlignment="1">
      <alignment horizontal="center"/>
    </xf>
    <xf numFmtId="0" fontId="22" fillId="11" borderId="0" xfId="0" applyFont="1" applyFill="1" applyBorder="1" applyAlignment="1">
      <alignment horizontal="center"/>
    </xf>
    <xf numFmtId="0" fontId="15" fillId="12" borderId="0" xfId="0" applyFont="1" applyFill="1" applyBorder="1" applyAlignment="1">
      <alignment horizontal="center"/>
    </xf>
    <xf numFmtId="0" fontId="19" fillId="0" borderId="3" xfId="0" applyFont="1" applyBorder="1" applyAlignment="1">
      <alignment horizontal="center" vertical="center"/>
    </xf>
    <xf numFmtId="0" fontId="19" fillId="0" borderId="5" xfId="0" applyFont="1" applyBorder="1" applyAlignment="1">
      <alignment horizontal="center" vertical="center"/>
    </xf>
    <xf numFmtId="0" fontId="2" fillId="0" borderId="0" xfId="0" applyFont="1" applyAlignment="1">
      <alignment horizontal="center"/>
    </xf>
    <xf numFmtId="0" fontId="12" fillId="13" borderId="0" xfId="0" applyFont="1" applyFill="1" applyAlignment="1">
      <alignment horizontal="left"/>
    </xf>
    <xf numFmtId="0" fontId="19" fillId="8" borderId="3" xfId="0" applyFont="1" applyFill="1" applyBorder="1" applyAlignment="1">
      <alignment horizontal="center" vertical="center"/>
    </xf>
    <xf numFmtId="0" fontId="19" fillId="8" borderId="2" xfId="0" applyFont="1" applyFill="1" applyBorder="1" applyAlignment="1">
      <alignment horizontal="center" vertical="center"/>
    </xf>
    <xf numFmtId="0" fontId="19" fillId="8" borderId="5" xfId="0" applyFont="1" applyFill="1" applyBorder="1" applyAlignment="1">
      <alignment horizontal="center" vertical="center"/>
    </xf>
    <xf numFmtId="0" fontId="15" fillId="0" borderId="1" xfId="0" applyFont="1" applyBorder="1" applyAlignment="1">
      <alignment horizontal="center"/>
    </xf>
    <xf numFmtId="0" fontId="0" fillId="0" borderId="1" xfId="0" applyBorder="1" applyAlignment="1">
      <alignment horizontal="center"/>
    </xf>
    <xf numFmtId="0" fontId="0" fillId="5" borderId="0" xfId="0" applyFill="1" applyBorder="1" applyAlignment="1">
      <alignment horizontal="center"/>
    </xf>
    <xf numFmtId="0" fontId="0" fillId="8" borderId="7" xfId="0" applyFont="1" applyFill="1" applyBorder="1" applyAlignment="1">
      <alignment horizontal="center" vertical="top"/>
    </xf>
    <xf numFmtId="0" fontId="0" fillId="8" borderId="6" xfId="0" applyFont="1" applyFill="1" applyBorder="1" applyAlignment="1">
      <alignment horizontal="center" vertical="top"/>
    </xf>
    <xf numFmtId="0" fontId="0" fillId="0" borderId="7" xfId="0" applyFont="1" applyBorder="1" applyAlignment="1">
      <alignment horizontal="center" vertical="top"/>
    </xf>
    <xf numFmtId="0" fontId="0" fillId="0" borderId="6" xfId="0" applyFont="1" applyBorder="1" applyAlignment="1">
      <alignment horizontal="center" vertical="top"/>
    </xf>
    <xf numFmtId="0" fontId="15" fillId="0" borderId="0" xfId="0" applyFont="1" applyAlignment="1">
      <alignment horizontal="center"/>
    </xf>
    <xf numFmtId="0" fontId="0" fillId="0" borderId="1" xfId="0" applyFont="1" applyBorder="1" applyAlignment="1">
      <alignment vertical="top" wrapText="1"/>
    </xf>
    <xf numFmtId="0" fontId="19" fillId="15" borderId="1" xfId="0" applyFont="1" applyFill="1" applyBorder="1" applyAlignment="1">
      <alignment horizontal="left" vertical="center"/>
    </xf>
    <xf numFmtId="0" fontId="19" fillId="15" borderId="1" xfId="0" applyFont="1" applyFill="1" applyBorder="1" applyAlignment="1">
      <alignment horizontal="left" vertical="center" wrapText="1"/>
    </xf>
    <xf numFmtId="0" fontId="0" fillId="16" borderId="0" xfId="0" applyFill="1"/>
  </cellXfs>
  <cellStyles count="4">
    <cellStyle name="Comma" xfId="1" builtinId="3"/>
    <cellStyle name="Hyperlink" xfId="2" builtinId="8"/>
    <cellStyle name="Normal" xfId="0" builtinId="0"/>
    <cellStyle name="Style 1" xfId="3"/>
  </cellStyles>
  <dxfs count="3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border diagonalUp="0" diagonalDown="0">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top" textRotation="0" wrapText="0" indent="0" justifyLastLine="0" shrinkToFit="0" readingOrder="0"/>
    </dxf>
    <dxf>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theme="4" tint="0.39997558519241921"/>
        </top>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border outline="0">
        <bottom style="thin">
          <color auto="1"/>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alignment horizontal="left" vertical="top" textRotation="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family val="2"/>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family val="2"/>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family val="2"/>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left"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textRotation="0" wrapText="0" indent="0" justifyLastLine="0" shrinkToFit="0" readingOrder="0"/>
      <border diagonalUp="0" diagonalDown="0" outline="0">
        <left style="thin">
          <color indexed="64"/>
        </left>
        <right style="thin">
          <color auto="1"/>
        </right>
        <top style="thin">
          <color auto="1"/>
        </top>
        <bottom style="thin">
          <color auto="1"/>
        </bottom>
      </border>
    </dxf>
    <dxf>
      <alignment horizont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diagonalUp="0" diagonalDown="0" outline="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diagonalUp="0" diagonalDown="0" outline="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textRotation="0" indent="0" justifyLastLine="0" shrinkToFit="0" readingOrder="0"/>
      <border diagonalUp="0" diagonalDown="0" outline="0">
        <left/>
        <right style="thin">
          <color auto="1"/>
        </right>
        <top style="thin">
          <color auto="1"/>
        </top>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colors>
    <mruColors>
      <color rgb="FFFF33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id="8" name="Table3" displayName="Table3" ref="A1:AM247" totalsRowShown="0" headerRowDxfId="303">
  <autoFilter ref="A1:AM247"/>
  <tableColumns count="39">
    <tableColumn id="1" name="HLL API Field Name" dataDxfId="302"/>
    <tableColumn id="2" name="TT11" dataDxfId="301"/>
    <tableColumn id="3" name="TT16" dataDxfId="300"/>
    <tableColumn id="4" name="TT17" dataDxfId="299"/>
    <tableColumn id="5" name="TT19" dataDxfId="298"/>
    <tableColumn id="6" name="TT21" dataDxfId="297"/>
    <tableColumn id="7" name="TT22" dataDxfId="296"/>
    <tableColumn id="8" name="TT24" dataDxfId="295"/>
    <tableColumn id="9" name="TT25" dataDxfId="294"/>
    <tableColumn id="10" name="TT26" dataDxfId="293"/>
    <tableColumn id="11" name="TT28" dataDxfId="292"/>
    <tableColumn id="12" name="TT29" dataDxfId="291"/>
    <tableColumn id="13" name="TT30" dataDxfId="290"/>
    <tableColumn id="14" name="TT31" dataDxfId="289"/>
    <tableColumn id="15" name="TT32" dataDxfId="288"/>
    <tableColumn id="16" name="TT33" dataDxfId="287"/>
    <tableColumn id="17" name="TT34" dataDxfId="286"/>
    <tableColumn id="18" name="TT35" dataDxfId="285"/>
    <tableColumn id="19" name="TT37" dataDxfId="284"/>
    <tableColumn id="20" name="TT38" dataDxfId="283"/>
    <tableColumn id="22" name="TT41" dataDxfId="282"/>
    <tableColumn id="23" name="TT42" dataDxfId="281"/>
    <tableColumn id="24" name="TT44" dataDxfId="280"/>
    <tableColumn id="25" name="TT51" dataDxfId="279"/>
    <tableColumn id="26" name="TT57" dataDxfId="278"/>
    <tableColumn id="27" name="TT58" dataDxfId="277"/>
    <tableColumn id="28" name="TT59" dataDxfId="276"/>
    <tableColumn id="29" name="TT60" dataDxfId="275"/>
    <tableColumn id="30" name="TT61" dataDxfId="274"/>
    <tableColumn id="31" name="TT62" dataDxfId="273"/>
    <tableColumn id="32" name="TT64" dataDxfId="272"/>
    <tableColumn id="33" name="TT65" dataDxfId="271"/>
    <tableColumn id="34" name="TT91" dataDxfId="270"/>
    <tableColumn id="35" name="TT92" dataDxfId="269"/>
    <tableColumn id="36" name="TT93" dataDxfId="268"/>
    <tableColumn id="37" name="AF80" dataDxfId="267"/>
    <tableColumn id="38" name="CR82" dataDxfId="266"/>
    <tableColumn id="39" name="LA" dataDxfId="265"/>
    <tableColumn id="40" name="VA" dataDxfId="264"/>
  </tableColumns>
  <tableStyleInfo name="TableStyleMedium2" showFirstColumn="0" showLastColumn="0" showRowStripes="1" showColumnStripes="0"/>
</table>
</file>

<file path=xl/tables/table10.xml><?xml version="1.0" encoding="utf-8"?>
<table xmlns="http://schemas.openxmlformats.org/spreadsheetml/2006/main" id="13" name="Table3610" displayName="Table3610" ref="B3:D112" totalsRowShown="0" headerRowDxfId="188">
  <autoFilter ref="B3:D112"/>
  <tableColumns count="3">
    <tableColumn id="1" name="HLL API Field Name" dataDxfId="187"/>
    <tableColumn id="2" name="Position" dataDxfId="186"/>
    <tableColumn id="3" name="Width" dataDxfId="185"/>
  </tableColumns>
  <tableStyleInfo name="TableStyleMedium2" showFirstColumn="0" showLastColumn="0" showRowStripes="1" showColumnStripes="0"/>
</table>
</file>

<file path=xl/tables/table11.xml><?xml version="1.0" encoding="utf-8"?>
<table xmlns="http://schemas.openxmlformats.org/spreadsheetml/2006/main" id="15" name="Table3914" displayName="Table3914" ref="B3:B102" totalsRowShown="0" headerRowDxfId="184" dataDxfId="183">
  <autoFilter ref="B3:B102"/>
  <tableColumns count="1">
    <tableColumn id="1" name="HLL API Field Name" dataDxfId="182"/>
  </tableColumns>
  <tableStyleInfo name="TableStyleMedium2" showFirstColumn="0" showLastColumn="0" showRowStripes="1" showColumnStripes="0"/>
</table>
</file>

<file path=xl/tables/table2.xml><?xml version="1.0" encoding="utf-8"?>
<table xmlns="http://schemas.openxmlformats.org/spreadsheetml/2006/main" id="9" name="Table1" displayName="Table1" ref="A1:L201" totalsRowShown="0" headerRowDxfId="263">
  <autoFilter ref="A1:L201"/>
  <tableColumns count="12">
    <tableColumn id="1" name="Transaction Type" dataDxfId="262"/>
    <tableColumn id="12" name="HLL API Field Name" dataDxfId="261"/>
    <tableColumn id="9" name="SOAP Field Full Name" dataDxfId="260"/>
    <tableColumn id="3" name="SOAP Layer DataType" dataDxfId="259"/>
    <tableColumn id="4" name="Business Object Field Name" dataDxfId="258"/>
    <tableColumn id="11" name="DataBase Column Name" dataDxfId="257"/>
    <tableColumn id="5" name="Dictionary Field Name" dataDxfId="256"/>
    <tableColumn id="6" name="Business Rule " dataDxfId="255"/>
    <tableColumn id="7" name="Data Format" dataDxfId="254"/>
    <tableColumn id="8" name="Comments / Notes" dataDxfId="253"/>
    <tableColumn id="13" name="HLL API Mapping notes" dataDxfId="252"/>
    <tableColumn id="2" name="Assumptions" dataDxfId="251"/>
  </tableColumns>
  <tableStyleInfo name="TableStyleMedium2" showFirstColumn="0" showLastColumn="0" showRowStripes="1" showColumnStripes="0"/>
</table>
</file>

<file path=xl/tables/table3.xml><?xml version="1.0" encoding="utf-8"?>
<table xmlns="http://schemas.openxmlformats.org/spreadsheetml/2006/main" id="10" name="Table13" displayName="Table13" ref="A1:L153" totalsRowShown="0">
  <autoFilter ref="A1:L153"/>
  <tableColumns count="12">
    <tableColumn id="1" name="Transaction Type" dataDxfId="250"/>
    <tableColumn id="12" name="HLL API Field Name" dataDxfId="249"/>
    <tableColumn id="2" name="SOAP Layer Field Name" dataDxfId="248"/>
    <tableColumn id="3" name="SOAP Layer DataType" dataDxfId="247"/>
    <tableColumn id="4" name="Business Object Field Name" dataDxfId="246"/>
    <tableColumn id="11" name="DataBase Column Name" dataDxfId="245"/>
    <tableColumn id="5" name="Dictionary Field Name" dataDxfId="244"/>
    <tableColumn id="6" name="Business Rule " dataDxfId="243"/>
    <tableColumn id="7" name="Data Format" dataDxfId="242"/>
    <tableColumn id="8" name="Comments / Notes" dataDxfId="241"/>
    <tableColumn id="13" name="HLL API Mapping notes" dataDxfId="240"/>
    <tableColumn id="9" name="Assumptions" dataDxfId="239"/>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M101" totalsRowShown="0" dataDxfId="237" headerRowBorderDxfId="238" tableBorderDxfId="236">
  <autoFilter ref="A1:M101"/>
  <tableColumns count="13">
    <tableColumn id="1" name="Inquiry Type" dataDxfId="235"/>
    <tableColumn id="2" name="HLL API Field Name" dataDxfId="234"/>
    <tableColumn id="3" name="SOAP Layer Field Name" dataDxfId="233"/>
    <tableColumn id="12" name="SOAP Field Full Name" dataDxfId="232"/>
    <tableColumn id="4" name="SOAP Layer DataType" dataDxfId="231"/>
    <tableColumn id="13" name="SOAP Field format" dataDxfId="230">
      <calculatedColumnFormula>CONCATENATE("&lt;",TRIM(C2),"&gt; &lt;/",TRIM(C2),"&gt;")</calculatedColumnFormula>
    </tableColumn>
    <tableColumn id="5" name="Business Object Field Name" dataDxfId="229"/>
    <tableColumn id="6" name="DataBase Column Name" dataDxfId="228"/>
    <tableColumn id="7" name="Dictionary Field Name" dataDxfId="227"/>
    <tableColumn id="8" name="Business Rule " dataDxfId="226"/>
    <tableColumn id="9" name="Data Format" dataDxfId="225"/>
    <tableColumn id="10" name="Comments / Notes" dataDxfId="224"/>
    <tableColumn id="11" name="HLL API Mapping notes" dataDxfId="223"/>
  </tableColumns>
  <tableStyleInfo name="TableStyleLight2" showFirstColumn="0" showLastColumn="0" showRowStripes="1" showColumnStripes="0"/>
</table>
</file>

<file path=xl/tables/table5.xml><?xml version="1.0" encoding="utf-8"?>
<table xmlns="http://schemas.openxmlformats.org/spreadsheetml/2006/main" id="3" name="Table5" displayName="Table5" ref="A1:M171" totalsRowShown="0" headerRowDxfId="222" headerRowBorderDxfId="221" tableBorderDxfId="220" totalsRowBorderDxfId="219">
  <autoFilter ref="A1:M171"/>
  <sortState ref="A3:M143">
    <sortCondition ref="B1:B171"/>
  </sortState>
  <tableColumns count="13">
    <tableColumn id="1" name="Inquiry Type" dataDxfId="218"/>
    <tableColumn id="2" name="HLL API Field Name" dataDxfId="217"/>
    <tableColumn id="3" name="SOAP Layer Field Name" dataDxfId="216"/>
    <tableColumn id="12" name="SOAP Field Full Name" dataDxfId="215"/>
    <tableColumn id="4" name="SOAP Layer DataType" dataDxfId="214"/>
    <tableColumn id="13" name="SOAP Field format" dataDxfId="213">
      <calculatedColumnFormula>CONCATENATE("&lt;",TRIM(C2),"&gt; &lt;/",TRIM(C2),"&gt;")</calculatedColumnFormula>
    </tableColumn>
    <tableColumn id="5" name="Business Object Field Name" dataDxfId="212"/>
    <tableColumn id="6" name="DataBase Column Name" dataDxfId="211"/>
    <tableColumn id="7" name="Dictionary Field Name" dataDxfId="210"/>
    <tableColumn id="8" name="Business Rule " dataDxfId="209"/>
    <tableColumn id="9" name="Data Format" dataDxfId="208"/>
    <tableColumn id="10" name="Comments / Notes" dataDxfId="207"/>
    <tableColumn id="11" name="HLL API Mapping notes" dataDxfId="206"/>
  </tableColumns>
  <tableStyleInfo name="TableStyleLight2" showFirstColumn="0" showLastColumn="0" showRowStripes="1" showColumnStripes="0"/>
</table>
</file>

<file path=xl/tables/table6.xml><?xml version="1.0" encoding="utf-8"?>
<table xmlns="http://schemas.openxmlformats.org/spreadsheetml/2006/main" id="5" name="Table39106" displayName="Table39106" ref="C3:E112" totalsRowShown="0" headerRowDxfId="205" dataDxfId="204">
  <autoFilter ref="C3:E112"/>
  <tableColumns count="3">
    <tableColumn id="1" name="HLL API Field Name" dataDxfId="203"/>
    <tableColumn id="2" name="Position" dataDxfId="202"/>
    <tableColumn id="3" name="Width" dataDxfId="201"/>
  </tableColumns>
  <tableStyleInfo name="TableStyleMedium2" showFirstColumn="0" showLastColumn="0" showRowStripes="1" showColumnStripes="0"/>
</table>
</file>

<file path=xl/tables/table7.xml><?xml version="1.0" encoding="utf-8"?>
<table xmlns="http://schemas.openxmlformats.org/spreadsheetml/2006/main" id="1" name="Table36122" displayName="Table36122" ref="B3:D14" totalsRowShown="0" headerRowDxfId="200">
  <autoFilter ref="B3:D14"/>
  <tableColumns count="3">
    <tableColumn id="1" name="HLL API Field Name" dataDxfId="199"/>
    <tableColumn id="2" name="Position" dataDxfId="198"/>
    <tableColumn id="3" name="Width" dataDxfId="197"/>
  </tableColumns>
  <tableStyleInfo name="TableStyleMedium2" showFirstColumn="0" showLastColumn="0" showRowStripes="1" showColumnStripes="0"/>
</table>
</file>

<file path=xl/tables/table8.xml><?xml version="1.0" encoding="utf-8"?>
<table xmlns="http://schemas.openxmlformats.org/spreadsheetml/2006/main" id="6" name="Table361227" displayName="Table361227" ref="F3:H14" totalsRowShown="0" headerRowDxfId="196">
  <autoFilter ref="F3:H14"/>
  <tableColumns count="3">
    <tableColumn id="1" name="HLL API Field Name" dataDxfId="195"/>
    <tableColumn id="2" name="Position" dataDxfId="194"/>
    <tableColumn id="3" name="Width" dataDxfId="193"/>
  </tableColumns>
  <tableStyleInfo name="TableStyleMedium2" showFirstColumn="0" showLastColumn="0" showRowStripes="1" showColumnStripes="0"/>
</table>
</file>

<file path=xl/tables/table9.xml><?xml version="1.0" encoding="utf-8"?>
<table xmlns="http://schemas.openxmlformats.org/spreadsheetml/2006/main" id="11" name="Table3612" displayName="Table3612" ref="B3:D80" totalsRowShown="0" headerRowDxfId="192">
  <autoFilter ref="B3:D80"/>
  <tableColumns count="3">
    <tableColumn id="1" name="HLL API Field Name" dataDxfId="191"/>
    <tableColumn id="2" name="Position" dataDxfId="190"/>
    <tableColumn id="3" name="Width" dataDxfId="18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http://dpsweb.dps.louisiana.gov/omv1.nsf/47c22a6b4cac67ec862570c90053bd7f/3447e5acc3fb4a2e862564bf005608a2?OpenDocument&amp;Highlight=2,penalty" TargetMode="External"/><Relationship Id="rId7" Type="http://schemas.openxmlformats.org/officeDocument/2006/relationships/vmlDrawing" Target="../drawings/vmlDrawing10.vml"/><Relationship Id="rId2" Type="http://schemas.openxmlformats.org/officeDocument/2006/relationships/hyperlink" Target="http://dpsweb.dps.louisiana.gov/omv1.nsf/47c22a6b4cac67ec862570c90053bd7f/3447e5acc3fb4a2e862564bf005608a2?OpenDocument&amp;Highlight=2,penalty" TargetMode="External"/><Relationship Id="rId1" Type="http://schemas.openxmlformats.org/officeDocument/2006/relationships/hyperlink" Target="http://dpsweb.dps.louisiana.gov/OMV_Welcome.nsf/c12363415339e36e8625724700043adc/5306532dd9e7ab5d862575f4006d97e0?OpenDocument" TargetMode="External"/><Relationship Id="rId6" Type="http://schemas.openxmlformats.org/officeDocument/2006/relationships/customProperty" Target="../customProperty1.bin"/><Relationship Id="rId5" Type="http://schemas.openxmlformats.org/officeDocument/2006/relationships/printerSettings" Target="../printerSettings/printerSettings14.bin"/><Relationship Id="rId4" Type="http://schemas.openxmlformats.org/officeDocument/2006/relationships/hyperlink" Target="https://fuel.coxautoinc.com/docs/DOC-103838"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7"/>
  <sheetViews>
    <sheetView workbookViewId="0">
      <pane xSplit="1" ySplit="1" topLeftCell="B65" activePane="bottomRight" state="frozen"/>
      <selection activeCell="C97" sqref="C97"/>
      <selection pane="topRight" activeCell="C97" sqref="C97"/>
      <selection pane="bottomLeft" activeCell="C97" sqref="C97"/>
      <selection pane="bottomRight" activeCell="B69" sqref="B69"/>
    </sheetView>
  </sheetViews>
  <sheetFormatPr defaultColWidth="9.140625" defaultRowHeight="15" x14ac:dyDescent="0.25"/>
  <cols>
    <col min="1" max="1" width="24.7109375" style="98" customWidth="1"/>
    <col min="2" max="2" width="9.140625" style="57" customWidth="1"/>
    <col min="3" max="3" width="9.42578125" style="57" customWidth="1"/>
    <col min="4" max="4" width="7.28515625" style="42" customWidth="1"/>
    <col min="5" max="16" width="7.28515625" style="57" customWidth="1"/>
    <col min="17" max="19" width="9.5703125" style="90" customWidth="1"/>
    <col min="20" max="20" width="9.28515625" style="90" customWidth="1"/>
    <col min="21" max="25" width="9.5703125" style="90" customWidth="1"/>
    <col min="26" max="35" width="7.28515625" style="57" customWidth="1"/>
    <col min="36" max="37" width="7.5703125" style="57" customWidth="1"/>
    <col min="38" max="38" width="5.42578125" style="57" customWidth="1"/>
    <col min="39" max="39" width="5.85546875" style="57" customWidth="1"/>
    <col min="40" max="16384" width="9.140625" style="57"/>
  </cols>
  <sheetData>
    <row r="1" spans="1:39" s="56" customFormat="1" x14ac:dyDescent="0.25">
      <c r="A1" s="97" t="s">
        <v>731</v>
      </c>
      <c r="B1" s="56" t="s">
        <v>740</v>
      </c>
      <c r="C1" s="56" t="s">
        <v>907</v>
      </c>
      <c r="D1" s="56" t="s">
        <v>908</v>
      </c>
      <c r="E1" s="56" t="s">
        <v>910</v>
      </c>
      <c r="F1" s="56" t="s">
        <v>911</v>
      </c>
      <c r="G1" s="56" t="s">
        <v>912</v>
      </c>
      <c r="H1" s="56" t="s">
        <v>913</v>
      </c>
      <c r="I1" s="56" t="s">
        <v>914</v>
      </c>
      <c r="J1" s="63" t="s">
        <v>915</v>
      </c>
      <c r="K1" s="63" t="s">
        <v>916</v>
      </c>
      <c r="L1" s="56" t="s">
        <v>917</v>
      </c>
      <c r="M1" s="56" t="s">
        <v>788</v>
      </c>
      <c r="N1" s="56" t="s">
        <v>918</v>
      </c>
      <c r="O1" s="56" t="s">
        <v>919</v>
      </c>
      <c r="P1" s="56" t="s">
        <v>920</v>
      </c>
      <c r="Q1" s="91" t="s">
        <v>921</v>
      </c>
      <c r="R1" s="91" t="s">
        <v>922</v>
      </c>
      <c r="S1" s="91" t="s">
        <v>923</v>
      </c>
      <c r="T1" s="95" t="s">
        <v>790</v>
      </c>
      <c r="U1" s="89" t="s">
        <v>924</v>
      </c>
      <c r="V1" s="89" t="s">
        <v>925</v>
      </c>
      <c r="W1" s="89" t="s">
        <v>926</v>
      </c>
      <c r="X1" s="89" t="s">
        <v>927</v>
      </c>
      <c r="Y1" s="89" t="s">
        <v>928</v>
      </c>
      <c r="Z1" s="61" t="s">
        <v>929</v>
      </c>
      <c r="AA1" s="61" t="s">
        <v>930</v>
      </c>
      <c r="AB1" s="61" t="s">
        <v>931</v>
      </c>
      <c r="AC1" s="61" t="s">
        <v>932</v>
      </c>
      <c r="AD1" s="61" t="s">
        <v>933</v>
      </c>
      <c r="AE1" s="61" t="s">
        <v>878</v>
      </c>
      <c r="AF1" s="61" t="s">
        <v>879</v>
      </c>
      <c r="AG1" s="61" t="s">
        <v>934</v>
      </c>
      <c r="AH1" s="61" t="s">
        <v>935</v>
      </c>
      <c r="AI1" s="61" t="s">
        <v>936</v>
      </c>
      <c r="AJ1" s="61" t="s">
        <v>937</v>
      </c>
      <c r="AK1" s="61" t="s">
        <v>938</v>
      </c>
      <c r="AL1" s="61" t="s">
        <v>939</v>
      </c>
      <c r="AM1" s="61" t="s">
        <v>940</v>
      </c>
    </row>
    <row r="2" spans="1:39" s="56" customFormat="1" x14ac:dyDescent="0.25">
      <c r="A2" s="41" t="s">
        <v>955</v>
      </c>
      <c r="B2" s="57"/>
      <c r="C2" s="57"/>
      <c r="D2" s="42"/>
      <c r="E2" s="57"/>
      <c r="F2" s="57"/>
      <c r="G2" s="57"/>
      <c r="H2" s="57"/>
      <c r="I2" s="57"/>
      <c r="J2" s="57"/>
      <c r="K2" s="57"/>
      <c r="L2" s="57"/>
      <c r="M2" s="57"/>
      <c r="N2" s="57"/>
      <c r="O2" s="57"/>
      <c r="P2" s="57"/>
      <c r="Q2" s="90"/>
      <c r="R2" s="90"/>
      <c r="S2" s="90"/>
      <c r="T2" s="96"/>
      <c r="U2" s="90"/>
      <c r="V2" s="90"/>
      <c r="W2" s="90"/>
      <c r="X2" s="90"/>
      <c r="Y2" s="90"/>
      <c r="Z2" s="57"/>
      <c r="AA2" s="57"/>
      <c r="AB2" s="57"/>
      <c r="AC2" s="57"/>
      <c r="AD2" s="57"/>
      <c r="AE2" s="57"/>
      <c r="AF2" s="57"/>
      <c r="AG2" s="57"/>
      <c r="AH2" s="57"/>
      <c r="AI2" s="57"/>
      <c r="AJ2" s="57"/>
      <c r="AK2" s="57"/>
      <c r="AL2" s="57"/>
      <c r="AM2" s="57"/>
    </row>
    <row r="3" spans="1:39" s="56" customFormat="1" x14ac:dyDescent="0.25">
      <c r="A3" s="41" t="s">
        <v>901</v>
      </c>
      <c r="B3" s="57"/>
      <c r="C3" s="57"/>
      <c r="D3" s="42"/>
      <c r="E3" s="57"/>
      <c r="F3" s="57"/>
      <c r="G3" s="57"/>
      <c r="H3" s="57"/>
      <c r="I3" s="57"/>
      <c r="J3" s="57"/>
      <c r="K3" s="57"/>
      <c r="L3" s="57"/>
      <c r="M3" s="57"/>
      <c r="N3" s="57"/>
      <c r="O3" s="57"/>
      <c r="P3" s="57"/>
      <c r="Q3" s="90"/>
      <c r="R3" s="90"/>
      <c r="S3" s="90"/>
      <c r="T3" s="96"/>
      <c r="U3" s="90"/>
      <c r="V3" s="90"/>
      <c r="W3" s="90"/>
      <c r="X3" s="90"/>
      <c r="Y3" s="90"/>
      <c r="Z3" s="57"/>
      <c r="AA3" s="57"/>
      <c r="AB3" s="57"/>
      <c r="AC3" s="57"/>
      <c r="AD3" s="57"/>
      <c r="AE3" s="57"/>
      <c r="AF3" s="57"/>
      <c r="AG3" s="57"/>
      <c r="AH3" s="57"/>
      <c r="AI3" s="57"/>
      <c r="AJ3" s="57"/>
      <c r="AK3" s="57" t="s">
        <v>909</v>
      </c>
      <c r="AL3" s="57"/>
      <c r="AM3" s="57"/>
    </row>
    <row r="4" spans="1:39" x14ac:dyDescent="0.25">
      <c r="A4" s="42" t="s">
        <v>748</v>
      </c>
      <c r="U4" s="91"/>
      <c r="V4" s="91"/>
      <c r="W4" s="91"/>
      <c r="X4" s="91"/>
      <c r="Y4" s="91"/>
      <c r="Z4" s="56"/>
      <c r="AA4" s="56"/>
      <c r="AB4" s="56"/>
      <c r="AC4" s="56"/>
      <c r="AD4" s="56"/>
      <c r="AE4" s="56"/>
      <c r="AF4" s="56"/>
      <c r="AG4" s="56"/>
      <c r="AH4" s="56"/>
      <c r="AI4" s="56"/>
      <c r="AJ4" s="56" t="s">
        <v>909</v>
      </c>
      <c r="AK4" s="57" t="s">
        <v>909</v>
      </c>
      <c r="AL4" s="56" t="s">
        <v>909</v>
      </c>
      <c r="AM4" s="56" t="s">
        <v>909</v>
      </c>
    </row>
    <row r="5" spans="1:39" x14ac:dyDescent="0.25">
      <c r="A5" s="42" t="s">
        <v>749</v>
      </c>
      <c r="AJ5" s="56" t="s">
        <v>909</v>
      </c>
      <c r="AK5" s="57" t="s">
        <v>909</v>
      </c>
      <c r="AL5" s="56" t="s">
        <v>909</v>
      </c>
      <c r="AM5" s="56" t="s">
        <v>909</v>
      </c>
    </row>
    <row r="6" spans="1:39" x14ac:dyDescent="0.25">
      <c r="A6" s="42" t="s">
        <v>750</v>
      </c>
      <c r="AJ6" s="56" t="s">
        <v>909</v>
      </c>
      <c r="AK6" s="57" t="s">
        <v>909</v>
      </c>
      <c r="AL6" s="56" t="s">
        <v>909</v>
      </c>
      <c r="AM6" s="56" t="s">
        <v>909</v>
      </c>
    </row>
    <row r="7" spans="1:39" x14ac:dyDescent="0.25">
      <c r="A7" s="42" t="s">
        <v>751</v>
      </c>
      <c r="AJ7" s="56" t="s">
        <v>909</v>
      </c>
      <c r="AK7" s="57" t="s">
        <v>909</v>
      </c>
      <c r="AL7" s="56" t="s">
        <v>909</v>
      </c>
      <c r="AM7" s="56" t="s">
        <v>909</v>
      </c>
    </row>
    <row r="8" spans="1:39" x14ac:dyDescent="0.25">
      <c r="A8" s="42" t="s">
        <v>752</v>
      </c>
      <c r="AJ8" s="56" t="s">
        <v>909</v>
      </c>
      <c r="AK8" s="57" t="s">
        <v>909</v>
      </c>
      <c r="AL8" s="56" t="s">
        <v>909</v>
      </c>
      <c r="AM8" s="56" t="s">
        <v>909</v>
      </c>
    </row>
    <row r="9" spans="1:39" x14ac:dyDescent="0.25">
      <c r="A9" s="42" t="s">
        <v>753</v>
      </c>
      <c r="AJ9" s="56" t="s">
        <v>909</v>
      </c>
      <c r="AK9" s="57" t="s">
        <v>909</v>
      </c>
      <c r="AL9" s="56" t="s">
        <v>909</v>
      </c>
      <c r="AM9" s="56" t="s">
        <v>909</v>
      </c>
    </row>
    <row r="10" spans="1:39" x14ac:dyDescent="0.25">
      <c r="A10" s="42" t="s">
        <v>754</v>
      </c>
      <c r="AJ10" s="56" t="s">
        <v>909</v>
      </c>
      <c r="AK10" s="57" t="s">
        <v>909</v>
      </c>
      <c r="AL10" s="56" t="s">
        <v>909</v>
      </c>
      <c r="AM10" s="56" t="s">
        <v>909</v>
      </c>
    </row>
    <row r="11" spans="1:39" x14ac:dyDescent="0.25">
      <c r="A11" s="42" t="s">
        <v>755</v>
      </c>
      <c r="AJ11" s="56" t="s">
        <v>909</v>
      </c>
      <c r="AK11" s="57" t="s">
        <v>909</v>
      </c>
      <c r="AL11" s="56" t="s">
        <v>909</v>
      </c>
      <c r="AM11" s="56" t="s">
        <v>909</v>
      </c>
    </row>
    <row r="12" spans="1:39" x14ac:dyDescent="0.25">
      <c r="A12" s="42" t="s">
        <v>756</v>
      </c>
      <c r="AJ12" s="56" t="s">
        <v>909</v>
      </c>
      <c r="AK12" s="57" t="s">
        <v>909</v>
      </c>
      <c r="AL12" s="56" t="s">
        <v>909</v>
      </c>
      <c r="AM12" s="56" t="s">
        <v>909</v>
      </c>
    </row>
    <row r="13" spans="1:39" x14ac:dyDescent="0.25">
      <c r="A13" s="42" t="s">
        <v>757</v>
      </c>
      <c r="AJ13" s="56" t="s">
        <v>909</v>
      </c>
      <c r="AK13" s="57" t="s">
        <v>909</v>
      </c>
      <c r="AL13" s="56" t="s">
        <v>909</v>
      </c>
      <c r="AM13" s="56" t="s">
        <v>909</v>
      </c>
    </row>
    <row r="14" spans="1:39" x14ac:dyDescent="0.25">
      <c r="A14" s="42" t="s">
        <v>726</v>
      </c>
      <c r="AJ14" s="56" t="s">
        <v>909</v>
      </c>
      <c r="AK14" s="57" t="s">
        <v>909</v>
      </c>
      <c r="AL14" s="56" t="s">
        <v>909</v>
      </c>
      <c r="AM14" s="56" t="s">
        <v>909</v>
      </c>
    </row>
    <row r="15" spans="1:39" x14ac:dyDescent="0.25">
      <c r="A15" s="42" t="s">
        <v>741</v>
      </c>
      <c r="AJ15" s="56" t="s">
        <v>909</v>
      </c>
      <c r="AK15" s="57" t="s">
        <v>909</v>
      </c>
      <c r="AL15" s="56" t="s">
        <v>909</v>
      </c>
      <c r="AM15" s="56" t="s">
        <v>909</v>
      </c>
    </row>
    <row r="16" spans="1:39" x14ac:dyDescent="0.25">
      <c r="A16" s="48" t="s">
        <v>1844</v>
      </c>
      <c r="AJ16" s="56" t="s">
        <v>909</v>
      </c>
      <c r="AK16" s="57" t="s">
        <v>909</v>
      </c>
    </row>
    <row r="17" spans="1:39" x14ac:dyDescent="0.25">
      <c r="A17" s="48" t="s">
        <v>1845</v>
      </c>
      <c r="AK17" s="57" t="s">
        <v>909</v>
      </c>
    </row>
    <row r="18" spans="1:39" x14ac:dyDescent="0.25">
      <c r="A18" s="42" t="s">
        <v>644</v>
      </c>
      <c r="AJ18" s="57" t="s">
        <v>909</v>
      </c>
      <c r="AK18" s="57" t="s">
        <v>909</v>
      </c>
      <c r="AL18" s="57" t="s">
        <v>909</v>
      </c>
      <c r="AM18" s="57" t="s">
        <v>909</v>
      </c>
    </row>
    <row r="19" spans="1:39" x14ac:dyDescent="0.25">
      <c r="A19" s="42" t="s">
        <v>744</v>
      </c>
      <c r="AJ19" s="57" t="s">
        <v>909</v>
      </c>
      <c r="AK19" s="57" t="s">
        <v>909</v>
      </c>
      <c r="AL19" s="57" t="s">
        <v>909</v>
      </c>
      <c r="AM19" s="57" t="s">
        <v>909</v>
      </c>
    </row>
    <row r="20" spans="1:39" x14ac:dyDescent="0.25">
      <c r="A20" s="42" t="s">
        <v>17</v>
      </c>
      <c r="AJ20" s="57" t="s">
        <v>909</v>
      </c>
      <c r="AK20" s="57" t="s">
        <v>909</v>
      </c>
      <c r="AL20" s="57" t="s">
        <v>1265</v>
      </c>
      <c r="AM20" s="57" t="s">
        <v>1265</v>
      </c>
    </row>
    <row r="21" spans="1:39" x14ac:dyDescent="0.25">
      <c r="A21" s="42" t="s">
        <v>113</v>
      </c>
      <c r="AJ21" s="57" t="s">
        <v>909</v>
      </c>
      <c r="AK21" s="57" t="s">
        <v>909</v>
      </c>
      <c r="AL21" s="57" t="s">
        <v>909</v>
      </c>
      <c r="AM21" s="57" t="s">
        <v>909</v>
      </c>
    </row>
    <row r="22" spans="1:39" x14ac:dyDescent="0.25">
      <c r="A22" s="42" t="s">
        <v>116</v>
      </c>
      <c r="AJ22" s="57" t="s">
        <v>909</v>
      </c>
      <c r="AL22" s="57" t="s">
        <v>1265</v>
      </c>
      <c r="AM22" s="57" t="s">
        <v>1265</v>
      </c>
    </row>
    <row r="23" spans="1:39" ht="30" x14ac:dyDescent="0.25">
      <c r="A23" s="86" t="s">
        <v>1007</v>
      </c>
      <c r="AJ23" s="57" t="s">
        <v>909</v>
      </c>
      <c r="AL23" s="57" t="s">
        <v>909</v>
      </c>
      <c r="AM23" s="57" t="s">
        <v>909</v>
      </c>
    </row>
    <row r="24" spans="1:39" x14ac:dyDescent="0.25">
      <c r="A24" s="42" t="s">
        <v>114</v>
      </c>
      <c r="AJ24" s="57" t="s">
        <v>909</v>
      </c>
      <c r="AK24" s="57" t="s">
        <v>909</v>
      </c>
      <c r="AL24" s="57" t="s">
        <v>909</v>
      </c>
      <c r="AM24" s="57" t="s">
        <v>909</v>
      </c>
    </row>
    <row r="25" spans="1:39" x14ac:dyDescent="0.25">
      <c r="A25" s="42" t="s">
        <v>803</v>
      </c>
      <c r="AJ25" s="57" t="s">
        <v>909</v>
      </c>
      <c r="AK25" s="57" t="s">
        <v>909</v>
      </c>
      <c r="AL25" s="57" t="s">
        <v>909</v>
      </c>
      <c r="AM25" s="57" t="s">
        <v>909</v>
      </c>
    </row>
    <row r="26" spans="1:39" x14ac:dyDescent="0.25">
      <c r="A26" s="42" t="s">
        <v>804</v>
      </c>
      <c r="AJ26" s="57" t="s">
        <v>909</v>
      </c>
      <c r="AK26" s="57" t="s">
        <v>909</v>
      </c>
      <c r="AL26" s="57" t="s">
        <v>909</v>
      </c>
      <c r="AM26" s="57" t="s">
        <v>909</v>
      </c>
    </row>
    <row r="27" spans="1:39" x14ac:dyDescent="0.25">
      <c r="A27" s="42" t="s">
        <v>120</v>
      </c>
      <c r="AJ27" s="57" t="s">
        <v>909</v>
      </c>
      <c r="AK27" s="57" t="s">
        <v>909</v>
      </c>
      <c r="AL27" s="57" t="s">
        <v>909</v>
      </c>
      <c r="AM27" s="57" t="s">
        <v>909</v>
      </c>
    </row>
    <row r="28" spans="1:39" x14ac:dyDescent="0.25">
      <c r="A28" s="42" t="s">
        <v>121</v>
      </c>
      <c r="AJ28" s="57" t="s">
        <v>909</v>
      </c>
      <c r="AK28" s="57" t="s">
        <v>909</v>
      </c>
      <c r="AL28" s="57" t="s">
        <v>909</v>
      </c>
      <c r="AM28" s="57" t="s">
        <v>909</v>
      </c>
    </row>
    <row r="29" spans="1:39" x14ac:dyDescent="0.25">
      <c r="A29" s="42" t="s">
        <v>745</v>
      </c>
      <c r="AJ29" s="57" t="s">
        <v>909</v>
      </c>
      <c r="AK29" s="57" t="s">
        <v>909</v>
      </c>
      <c r="AL29" s="57" t="s">
        <v>909</v>
      </c>
      <c r="AM29" s="57" t="s">
        <v>909</v>
      </c>
    </row>
    <row r="30" spans="1:39" x14ac:dyDescent="0.25">
      <c r="A30" s="42" t="s">
        <v>122</v>
      </c>
      <c r="AJ30" s="57" t="s">
        <v>909</v>
      </c>
      <c r="AL30" s="57" t="s">
        <v>909</v>
      </c>
      <c r="AM30" s="57" t="s">
        <v>909</v>
      </c>
    </row>
    <row r="31" spans="1:39" x14ac:dyDescent="0.25">
      <c r="A31" s="42" t="s">
        <v>746</v>
      </c>
      <c r="AJ31" s="57" t="s">
        <v>909</v>
      </c>
      <c r="AK31" s="57" t="s">
        <v>909</v>
      </c>
      <c r="AL31" s="57" t="s">
        <v>909</v>
      </c>
      <c r="AM31" s="57" t="s">
        <v>909</v>
      </c>
    </row>
    <row r="32" spans="1:39" x14ac:dyDescent="0.25">
      <c r="A32" s="54" t="s">
        <v>805</v>
      </c>
      <c r="AJ32" s="57" t="s">
        <v>909</v>
      </c>
      <c r="AK32" s="57" t="s">
        <v>909</v>
      </c>
      <c r="AL32" s="57" t="s">
        <v>909</v>
      </c>
      <c r="AM32" s="57" t="s">
        <v>909</v>
      </c>
    </row>
    <row r="33" spans="1:39" x14ac:dyDescent="0.25">
      <c r="A33" s="42" t="s">
        <v>806</v>
      </c>
      <c r="AJ33" s="57" t="s">
        <v>909</v>
      </c>
      <c r="AK33" s="57" t="s">
        <v>909</v>
      </c>
      <c r="AL33" s="57" t="s">
        <v>909</v>
      </c>
      <c r="AM33" s="57" t="s">
        <v>909</v>
      </c>
    </row>
    <row r="34" spans="1:39" x14ac:dyDescent="0.25">
      <c r="A34" s="42" t="s">
        <v>807</v>
      </c>
      <c r="AJ34" s="57" t="s">
        <v>909</v>
      </c>
      <c r="AK34" s="57" t="s">
        <v>909</v>
      </c>
      <c r="AL34" s="57" t="s">
        <v>909</v>
      </c>
      <c r="AM34" s="57" t="s">
        <v>909</v>
      </c>
    </row>
    <row r="35" spans="1:39" x14ac:dyDescent="0.25">
      <c r="A35" s="42" t="s">
        <v>125</v>
      </c>
      <c r="AJ35" s="57" t="s">
        <v>909</v>
      </c>
      <c r="AK35" s="57" t="s">
        <v>909</v>
      </c>
      <c r="AL35" s="57" t="s">
        <v>909</v>
      </c>
      <c r="AM35" s="57" t="s">
        <v>909</v>
      </c>
    </row>
    <row r="36" spans="1:39" x14ac:dyDescent="0.25">
      <c r="A36" s="42" t="s">
        <v>890</v>
      </c>
      <c r="AJ36" s="57" t="s">
        <v>909</v>
      </c>
      <c r="AK36" s="57" t="s">
        <v>909</v>
      </c>
      <c r="AL36" s="57" t="s">
        <v>909</v>
      </c>
      <c r="AM36" s="57" t="s">
        <v>909</v>
      </c>
    </row>
    <row r="37" spans="1:39" x14ac:dyDescent="0.25">
      <c r="A37" s="42" t="s">
        <v>891</v>
      </c>
      <c r="AJ37" s="57" t="s">
        <v>909</v>
      </c>
      <c r="AK37" s="57" t="s">
        <v>909</v>
      </c>
      <c r="AL37" s="57" t="s">
        <v>909</v>
      </c>
      <c r="AM37" s="57" t="s">
        <v>909</v>
      </c>
    </row>
    <row r="38" spans="1:39" x14ac:dyDescent="0.25">
      <c r="A38" s="42" t="s">
        <v>126</v>
      </c>
      <c r="AJ38" s="57" t="s">
        <v>909</v>
      </c>
      <c r="AK38" s="57" t="s">
        <v>909</v>
      </c>
      <c r="AL38" s="57" t="s">
        <v>909</v>
      </c>
      <c r="AM38" s="57" t="s">
        <v>909</v>
      </c>
    </row>
    <row r="39" spans="1:39" x14ac:dyDescent="0.25">
      <c r="A39" s="42" t="s">
        <v>811</v>
      </c>
      <c r="AJ39" s="57" t="s">
        <v>909</v>
      </c>
      <c r="AK39" s="57" t="s">
        <v>909</v>
      </c>
      <c r="AL39" s="57" t="s">
        <v>909</v>
      </c>
      <c r="AM39" s="57" t="s">
        <v>909</v>
      </c>
    </row>
    <row r="40" spans="1:39" x14ac:dyDescent="0.25">
      <c r="A40" s="42" t="s">
        <v>812</v>
      </c>
      <c r="AJ40" s="57" t="s">
        <v>909</v>
      </c>
      <c r="AK40" s="57" t="s">
        <v>909</v>
      </c>
      <c r="AL40" s="57" t="s">
        <v>909</v>
      </c>
      <c r="AM40" s="57" t="s">
        <v>909</v>
      </c>
    </row>
    <row r="41" spans="1:39" x14ac:dyDescent="0.25">
      <c r="A41" s="42" t="s">
        <v>130</v>
      </c>
      <c r="AJ41" s="57" t="s">
        <v>909</v>
      </c>
      <c r="AK41" s="57" t="s">
        <v>909</v>
      </c>
      <c r="AL41" s="57" t="s">
        <v>909</v>
      </c>
      <c r="AM41" s="57" t="s">
        <v>909</v>
      </c>
    </row>
    <row r="42" spans="1:39" x14ac:dyDescent="0.25">
      <c r="A42" s="48" t="s">
        <v>651</v>
      </c>
      <c r="AJ42" s="57" t="s">
        <v>909</v>
      </c>
      <c r="AK42" s="57" t="s">
        <v>909</v>
      </c>
      <c r="AL42" s="57" t="s">
        <v>909</v>
      </c>
      <c r="AM42" s="57" t="s">
        <v>909</v>
      </c>
    </row>
    <row r="43" spans="1:39" x14ac:dyDescent="0.25">
      <c r="A43" s="42" t="s">
        <v>131</v>
      </c>
      <c r="D43" s="42" t="s">
        <v>909</v>
      </c>
      <c r="AJ43" s="57" t="s">
        <v>909</v>
      </c>
      <c r="AK43" s="57" t="s">
        <v>909</v>
      </c>
      <c r="AL43" s="57" t="s">
        <v>909</v>
      </c>
      <c r="AM43" s="57" t="s">
        <v>909</v>
      </c>
    </row>
    <row r="44" spans="1:39" x14ac:dyDescent="0.25">
      <c r="A44" s="42" t="s">
        <v>132</v>
      </c>
      <c r="AJ44" s="57" t="s">
        <v>909</v>
      </c>
      <c r="AK44" s="57" t="s">
        <v>909</v>
      </c>
      <c r="AL44" s="57" t="s">
        <v>909</v>
      </c>
      <c r="AM44" s="57" t="s">
        <v>909</v>
      </c>
    </row>
    <row r="45" spans="1:39" x14ac:dyDescent="0.25">
      <c r="A45" s="42" t="s">
        <v>892</v>
      </c>
      <c r="AJ45" s="57" t="s">
        <v>909</v>
      </c>
      <c r="AK45" s="57" t="s">
        <v>909</v>
      </c>
      <c r="AL45" s="57" t="s">
        <v>909</v>
      </c>
      <c r="AM45" s="57" t="s">
        <v>909</v>
      </c>
    </row>
    <row r="46" spans="1:39" x14ac:dyDescent="0.25">
      <c r="A46" s="42" t="s">
        <v>893</v>
      </c>
      <c r="AJ46" s="57" t="s">
        <v>909</v>
      </c>
      <c r="AK46" s="57" t="s">
        <v>909</v>
      </c>
      <c r="AL46" s="57" t="s">
        <v>909</v>
      </c>
      <c r="AM46" s="57" t="s">
        <v>909</v>
      </c>
    </row>
    <row r="47" spans="1:39" x14ac:dyDescent="0.25">
      <c r="A47" s="42" t="s">
        <v>894</v>
      </c>
      <c r="AJ47" s="57" t="s">
        <v>909</v>
      </c>
      <c r="AK47" s="57" t="s">
        <v>909</v>
      </c>
      <c r="AL47" s="57" t="s">
        <v>909</v>
      </c>
      <c r="AM47" s="57" t="s">
        <v>909</v>
      </c>
    </row>
    <row r="48" spans="1:39" x14ac:dyDescent="0.25">
      <c r="A48" s="42" t="s">
        <v>548</v>
      </c>
      <c r="D48" s="42" t="s">
        <v>909</v>
      </c>
      <c r="M48" s="57" t="s">
        <v>909</v>
      </c>
      <c r="S48" s="90" t="s">
        <v>909</v>
      </c>
      <c r="T48" s="90" t="s">
        <v>909</v>
      </c>
      <c r="X48" s="90" t="s">
        <v>909</v>
      </c>
      <c r="AJ48" s="57" t="s">
        <v>909</v>
      </c>
      <c r="AL48" s="57" t="s">
        <v>909</v>
      </c>
      <c r="AM48" s="57" t="s">
        <v>909</v>
      </c>
    </row>
    <row r="49" spans="1:39" x14ac:dyDescent="0.25">
      <c r="A49" s="42" t="s">
        <v>133</v>
      </c>
      <c r="AJ49" s="57" t="s">
        <v>909</v>
      </c>
      <c r="AK49" s="57" t="s">
        <v>909</v>
      </c>
      <c r="AL49" s="57" t="s">
        <v>909</v>
      </c>
      <c r="AM49" s="57" t="s">
        <v>909</v>
      </c>
    </row>
    <row r="50" spans="1:39" x14ac:dyDescent="0.25">
      <c r="A50" s="42" t="s">
        <v>656</v>
      </c>
      <c r="AJ50" s="57" t="s">
        <v>909</v>
      </c>
      <c r="AK50" s="57" t="s">
        <v>909</v>
      </c>
      <c r="AL50" s="57" t="s">
        <v>909</v>
      </c>
      <c r="AM50" s="57" t="s">
        <v>909</v>
      </c>
    </row>
    <row r="51" spans="1:39" x14ac:dyDescent="0.25">
      <c r="A51" s="42" t="s">
        <v>524</v>
      </c>
      <c r="AJ51" s="57" t="s">
        <v>909</v>
      </c>
      <c r="AK51" s="57" t="s">
        <v>909</v>
      </c>
      <c r="AL51" s="57" t="s">
        <v>909</v>
      </c>
      <c r="AM51" s="57" t="s">
        <v>909</v>
      </c>
    </row>
    <row r="52" spans="1:39" x14ac:dyDescent="0.25">
      <c r="A52" s="42" t="s">
        <v>138</v>
      </c>
      <c r="D52" s="42" t="s">
        <v>909</v>
      </c>
      <c r="M52" s="57" t="s">
        <v>909</v>
      </c>
      <c r="S52" s="90" t="s">
        <v>909</v>
      </c>
      <c r="X52" s="90" t="s">
        <v>909</v>
      </c>
      <c r="AJ52" s="57" t="s">
        <v>909</v>
      </c>
      <c r="AK52" s="57" t="s">
        <v>909</v>
      </c>
      <c r="AL52" s="57" t="s">
        <v>909</v>
      </c>
      <c r="AM52" s="57" t="s">
        <v>909</v>
      </c>
    </row>
    <row r="53" spans="1:39" x14ac:dyDescent="0.25">
      <c r="A53" s="42" t="s">
        <v>895</v>
      </c>
      <c r="AJ53" s="57" t="s">
        <v>909</v>
      </c>
      <c r="AK53" s="57" t="s">
        <v>909</v>
      </c>
      <c r="AL53" s="57" t="s">
        <v>909</v>
      </c>
      <c r="AM53" s="57" t="s">
        <v>909</v>
      </c>
    </row>
    <row r="54" spans="1:39" x14ac:dyDescent="0.25">
      <c r="A54" s="42" t="s">
        <v>896</v>
      </c>
      <c r="AJ54" s="57" t="s">
        <v>909</v>
      </c>
      <c r="AK54" s="57" t="s">
        <v>909</v>
      </c>
      <c r="AL54" s="57" t="s">
        <v>909</v>
      </c>
      <c r="AM54" s="57" t="s">
        <v>909</v>
      </c>
    </row>
    <row r="55" spans="1:39" x14ac:dyDescent="0.25">
      <c r="A55" s="42" t="s">
        <v>897</v>
      </c>
      <c r="AJ55" s="57" t="s">
        <v>909</v>
      </c>
      <c r="AK55" s="57" t="s">
        <v>909</v>
      </c>
      <c r="AL55" s="57" t="s">
        <v>909</v>
      </c>
      <c r="AM55" s="57" t="s">
        <v>909</v>
      </c>
    </row>
    <row r="56" spans="1:39" x14ac:dyDescent="0.25">
      <c r="A56" s="42" t="s">
        <v>906</v>
      </c>
      <c r="AJ56" s="57" t="s">
        <v>909</v>
      </c>
      <c r="AK56" s="57" t="s">
        <v>909</v>
      </c>
      <c r="AL56" s="57" t="s">
        <v>909</v>
      </c>
      <c r="AM56" s="57" t="s">
        <v>909</v>
      </c>
    </row>
    <row r="57" spans="1:39" x14ac:dyDescent="0.25">
      <c r="A57" s="42" t="s">
        <v>530</v>
      </c>
      <c r="D57" s="42" t="s">
        <v>909</v>
      </c>
      <c r="AJ57" s="57" t="s">
        <v>909</v>
      </c>
      <c r="AK57" s="57" t="s">
        <v>909</v>
      </c>
      <c r="AL57" s="57" t="s">
        <v>909</v>
      </c>
      <c r="AM57" s="57" t="s">
        <v>909</v>
      </c>
    </row>
    <row r="58" spans="1:39" x14ac:dyDescent="0.25">
      <c r="A58" s="42" t="s">
        <v>134</v>
      </c>
      <c r="AJ58" s="57" t="s">
        <v>909</v>
      </c>
      <c r="AK58" s="57" t="s">
        <v>909</v>
      </c>
      <c r="AL58" s="57" t="s">
        <v>909</v>
      </c>
      <c r="AM58" s="57" t="s">
        <v>909</v>
      </c>
    </row>
    <row r="59" spans="1:39" x14ac:dyDescent="0.25">
      <c r="A59" s="42" t="s">
        <v>135</v>
      </c>
      <c r="AJ59" s="57" t="s">
        <v>909</v>
      </c>
      <c r="AL59" s="57" t="s">
        <v>909</v>
      </c>
      <c r="AM59" s="57" t="s">
        <v>909</v>
      </c>
    </row>
    <row r="60" spans="1:39" x14ac:dyDescent="0.25">
      <c r="A60" s="42" t="s">
        <v>136</v>
      </c>
      <c r="AJ60" s="57" t="s">
        <v>909</v>
      </c>
      <c r="AK60" s="57" t="s">
        <v>909</v>
      </c>
      <c r="AL60" s="57" t="s">
        <v>909</v>
      </c>
      <c r="AM60" s="57" t="s">
        <v>909</v>
      </c>
    </row>
    <row r="61" spans="1:39" x14ac:dyDescent="0.25">
      <c r="A61" s="42" t="s">
        <v>137</v>
      </c>
      <c r="AJ61" s="57" t="s">
        <v>909</v>
      </c>
      <c r="AK61" s="57" t="s">
        <v>909</v>
      </c>
      <c r="AL61" s="57" t="s">
        <v>909</v>
      </c>
      <c r="AM61" s="57" t="s">
        <v>909</v>
      </c>
    </row>
    <row r="62" spans="1:39" x14ac:dyDescent="0.25">
      <c r="A62" s="42" t="s">
        <v>538</v>
      </c>
      <c r="AJ62" s="57" t="s">
        <v>909</v>
      </c>
      <c r="AL62" s="57" t="s">
        <v>909</v>
      </c>
      <c r="AM62" s="57" t="s">
        <v>909</v>
      </c>
    </row>
    <row r="63" spans="1:39" x14ac:dyDescent="0.25">
      <c r="A63" s="42" t="s">
        <v>1530</v>
      </c>
      <c r="AJ63" s="57" t="s">
        <v>909</v>
      </c>
      <c r="AK63" s="57" t="s">
        <v>909</v>
      </c>
      <c r="AL63" s="57" t="s">
        <v>909</v>
      </c>
      <c r="AM63" s="57" t="s">
        <v>909</v>
      </c>
    </row>
    <row r="64" spans="1:39" x14ac:dyDescent="0.25">
      <c r="A64" s="42" t="s">
        <v>544</v>
      </c>
      <c r="D64" s="42" t="s">
        <v>909</v>
      </c>
      <c r="M64" s="57" t="s">
        <v>909</v>
      </c>
      <c r="S64" s="90" t="s">
        <v>909</v>
      </c>
      <c r="T64" s="90" t="s">
        <v>909</v>
      </c>
      <c r="X64" s="90" t="s">
        <v>909</v>
      </c>
      <c r="AJ64" s="57" t="s">
        <v>909</v>
      </c>
      <c r="AK64" s="57" t="s">
        <v>909</v>
      </c>
      <c r="AL64" s="57" t="s">
        <v>909</v>
      </c>
      <c r="AM64" s="57" t="s">
        <v>909</v>
      </c>
    </row>
    <row r="65" spans="1:39" x14ac:dyDescent="0.25">
      <c r="A65" s="42" t="s">
        <v>551</v>
      </c>
      <c r="AJ65" s="57" t="s">
        <v>909</v>
      </c>
      <c r="AK65" s="57" t="s">
        <v>909</v>
      </c>
      <c r="AL65" s="57" t="s">
        <v>909</v>
      </c>
      <c r="AM65" s="57" t="s">
        <v>909</v>
      </c>
    </row>
    <row r="66" spans="1:39" x14ac:dyDescent="0.25">
      <c r="A66" s="42" t="s">
        <v>554</v>
      </c>
      <c r="AJ66" s="57" t="s">
        <v>909</v>
      </c>
      <c r="AK66" s="57" t="s">
        <v>909</v>
      </c>
      <c r="AL66" s="57" t="s">
        <v>909</v>
      </c>
      <c r="AM66" s="57" t="s">
        <v>909</v>
      </c>
    </row>
    <row r="67" spans="1:39" x14ac:dyDescent="0.25">
      <c r="A67" s="42" t="s">
        <v>556</v>
      </c>
      <c r="AJ67" s="57" t="s">
        <v>909</v>
      </c>
      <c r="AK67" s="57" t="s">
        <v>909</v>
      </c>
      <c r="AL67" s="57" t="s">
        <v>909</v>
      </c>
      <c r="AM67" s="57" t="s">
        <v>909</v>
      </c>
    </row>
    <row r="68" spans="1:39" x14ac:dyDescent="0.25">
      <c r="A68" s="42" t="s">
        <v>560</v>
      </c>
      <c r="AJ68" s="57" t="s">
        <v>909</v>
      </c>
      <c r="AK68" s="57" t="s">
        <v>909</v>
      </c>
      <c r="AL68" s="57" t="s">
        <v>909</v>
      </c>
      <c r="AM68" s="57" t="s">
        <v>909</v>
      </c>
    </row>
    <row r="69" spans="1:39" x14ac:dyDescent="0.25">
      <c r="A69" s="42" t="s">
        <v>563</v>
      </c>
      <c r="AJ69" s="57" t="s">
        <v>909</v>
      </c>
      <c r="AK69" s="57" t="s">
        <v>909</v>
      </c>
      <c r="AL69" s="57" t="s">
        <v>909</v>
      </c>
      <c r="AM69" s="57" t="s">
        <v>909</v>
      </c>
    </row>
    <row r="70" spans="1:39" x14ac:dyDescent="0.25">
      <c r="A70" s="42" t="s">
        <v>566</v>
      </c>
      <c r="D70" s="42" t="s">
        <v>909</v>
      </c>
      <c r="M70" s="57" t="s">
        <v>909</v>
      </c>
      <c r="S70" s="90" t="s">
        <v>909</v>
      </c>
      <c r="T70" s="90" t="s">
        <v>909</v>
      </c>
      <c r="X70" s="90" t="s">
        <v>909</v>
      </c>
      <c r="AJ70" s="57" t="s">
        <v>909</v>
      </c>
      <c r="AL70" s="57" t="s">
        <v>909</v>
      </c>
      <c r="AM70" s="57" t="s">
        <v>909</v>
      </c>
    </row>
    <row r="71" spans="1:39" x14ac:dyDescent="0.25">
      <c r="A71" s="42" t="s">
        <v>210</v>
      </c>
      <c r="AJ71" s="57" t="s">
        <v>909</v>
      </c>
      <c r="AL71" s="57" t="s">
        <v>909</v>
      </c>
      <c r="AM71" s="57" t="s">
        <v>909</v>
      </c>
    </row>
    <row r="72" spans="1:39" x14ac:dyDescent="0.25">
      <c r="A72" s="42" t="s">
        <v>571</v>
      </c>
      <c r="AJ72" s="57" t="s">
        <v>909</v>
      </c>
    </row>
    <row r="73" spans="1:39" x14ac:dyDescent="0.25">
      <c r="A73" s="42" t="s">
        <v>139</v>
      </c>
      <c r="D73" s="42" t="s">
        <v>909</v>
      </c>
      <c r="M73" s="57" t="s">
        <v>909</v>
      </c>
      <c r="S73" s="90" t="s">
        <v>909</v>
      </c>
      <c r="AJ73" s="57" t="s">
        <v>909</v>
      </c>
      <c r="AL73" s="57" t="s">
        <v>909</v>
      </c>
      <c r="AM73" s="57" t="s">
        <v>909</v>
      </c>
    </row>
    <row r="74" spans="1:39" x14ac:dyDescent="0.25">
      <c r="A74" s="42" t="s">
        <v>576</v>
      </c>
      <c r="D74" s="42" t="s">
        <v>909</v>
      </c>
      <c r="M74" s="57" t="s">
        <v>909</v>
      </c>
      <c r="S74" s="90" t="s">
        <v>909</v>
      </c>
      <c r="AJ74" s="57" t="s">
        <v>909</v>
      </c>
      <c r="AL74" s="57" t="s">
        <v>909</v>
      </c>
      <c r="AM74" s="57" t="s">
        <v>909</v>
      </c>
    </row>
    <row r="75" spans="1:39" x14ac:dyDescent="0.25">
      <c r="A75" s="42" t="s">
        <v>579</v>
      </c>
      <c r="D75" s="42" t="s">
        <v>909</v>
      </c>
      <c r="M75" s="57" t="s">
        <v>909</v>
      </c>
      <c r="S75" s="90" t="s">
        <v>909</v>
      </c>
      <c r="AJ75" s="57" t="s">
        <v>909</v>
      </c>
      <c r="AL75" s="57" t="s">
        <v>909</v>
      </c>
      <c r="AM75" s="57" t="s">
        <v>909</v>
      </c>
    </row>
    <row r="76" spans="1:39" x14ac:dyDescent="0.25">
      <c r="A76" s="42" t="s">
        <v>107</v>
      </c>
      <c r="D76" s="42" t="s">
        <v>909</v>
      </c>
      <c r="M76" s="57" t="s">
        <v>909</v>
      </c>
      <c r="S76" s="90" t="s">
        <v>909</v>
      </c>
      <c r="AJ76" s="57" t="s">
        <v>909</v>
      </c>
      <c r="AL76" s="57" t="s">
        <v>909</v>
      </c>
      <c r="AM76" s="57" t="s">
        <v>909</v>
      </c>
    </row>
    <row r="77" spans="1:39" x14ac:dyDescent="0.25">
      <c r="A77" s="42" t="s">
        <v>223</v>
      </c>
      <c r="D77" s="42" t="s">
        <v>909</v>
      </c>
      <c r="M77" s="57" t="s">
        <v>909</v>
      </c>
      <c r="S77" s="90" t="s">
        <v>909</v>
      </c>
      <c r="T77" s="90" t="s">
        <v>909</v>
      </c>
      <c r="AJ77" s="57" t="s">
        <v>909</v>
      </c>
      <c r="AL77" s="57" t="s">
        <v>909</v>
      </c>
      <c r="AM77" s="57" t="s">
        <v>909</v>
      </c>
    </row>
    <row r="78" spans="1:39" x14ac:dyDescent="0.25">
      <c r="A78" s="42" t="s">
        <v>586</v>
      </c>
      <c r="D78" s="42" t="s">
        <v>909</v>
      </c>
      <c r="M78" s="57" t="s">
        <v>909</v>
      </c>
      <c r="S78" s="90" t="s">
        <v>909</v>
      </c>
      <c r="T78" s="90" t="s">
        <v>909</v>
      </c>
      <c r="AJ78" s="57" t="s">
        <v>909</v>
      </c>
      <c r="AL78" s="57" t="s">
        <v>909</v>
      </c>
      <c r="AM78" s="57" t="s">
        <v>909</v>
      </c>
    </row>
    <row r="79" spans="1:39" x14ac:dyDescent="0.25">
      <c r="A79" s="42" t="s">
        <v>165</v>
      </c>
      <c r="D79" s="42" t="s">
        <v>909</v>
      </c>
      <c r="M79" s="57" t="s">
        <v>909</v>
      </c>
      <c r="S79" s="90" t="s">
        <v>909</v>
      </c>
      <c r="X79" s="90" t="s">
        <v>909</v>
      </c>
      <c r="AJ79" s="57" t="s">
        <v>909</v>
      </c>
      <c r="AL79" s="57" t="s">
        <v>909</v>
      </c>
      <c r="AM79" s="57" t="s">
        <v>909</v>
      </c>
    </row>
    <row r="80" spans="1:39" x14ac:dyDescent="0.25">
      <c r="A80" s="42" t="s">
        <v>1406</v>
      </c>
      <c r="D80" s="42" t="s">
        <v>909</v>
      </c>
      <c r="M80" s="57" t="s">
        <v>909</v>
      </c>
      <c r="S80" s="90" t="s">
        <v>909</v>
      </c>
      <c r="AJ80" s="57" t="s">
        <v>909</v>
      </c>
      <c r="AL80" s="57" t="s">
        <v>909</v>
      </c>
      <c r="AM80" s="57" t="s">
        <v>909</v>
      </c>
    </row>
    <row r="81" spans="1:39" x14ac:dyDescent="0.25">
      <c r="A81" s="42" t="s">
        <v>592</v>
      </c>
      <c r="D81" s="42" t="s">
        <v>909</v>
      </c>
      <c r="M81" s="57" t="s">
        <v>909</v>
      </c>
      <c r="S81" s="90" t="s">
        <v>909</v>
      </c>
      <c r="AJ81" s="57" t="s">
        <v>909</v>
      </c>
      <c r="AK81" s="57" t="s">
        <v>909</v>
      </c>
    </row>
    <row r="82" spans="1:39" x14ac:dyDescent="0.25">
      <c r="A82" s="42" t="s">
        <v>595</v>
      </c>
      <c r="D82" s="42" t="s">
        <v>909</v>
      </c>
      <c r="M82" s="57" t="s">
        <v>909</v>
      </c>
      <c r="S82" s="90" t="s">
        <v>909</v>
      </c>
      <c r="AJ82" s="57" t="s">
        <v>909</v>
      </c>
      <c r="AL82" s="57" t="s">
        <v>909</v>
      </c>
      <c r="AM82" s="57" t="s">
        <v>909</v>
      </c>
    </row>
    <row r="83" spans="1:39" x14ac:dyDescent="0.25">
      <c r="A83" s="42" t="s">
        <v>597</v>
      </c>
      <c r="D83" s="42" t="s">
        <v>909</v>
      </c>
      <c r="M83" s="57" t="s">
        <v>909</v>
      </c>
      <c r="S83" s="90" t="s">
        <v>909</v>
      </c>
      <c r="AJ83" s="57" t="s">
        <v>909</v>
      </c>
      <c r="AL83" s="57" t="s">
        <v>909</v>
      </c>
      <c r="AM83" s="57" t="s">
        <v>909</v>
      </c>
    </row>
    <row r="84" spans="1:39" x14ac:dyDescent="0.25">
      <c r="A84" s="42" t="s">
        <v>600</v>
      </c>
      <c r="D84" s="42" t="s">
        <v>909</v>
      </c>
      <c r="M84" s="57" t="s">
        <v>909</v>
      </c>
      <c r="S84" s="90" t="s">
        <v>909</v>
      </c>
      <c r="AJ84" s="57" t="s">
        <v>909</v>
      </c>
      <c r="AL84" s="57" t="s">
        <v>909</v>
      </c>
      <c r="AM84" s="57" t="s">
        <v>909</v>
      </c>
    </row>
    <row r="85" spans="1:39" ht="30" x14ac:dyDescent="0.25">
      <c r="A85" s="86" t="s">
        <v>2314</v>
      </c>
      <c r="D85" s="42" t="s">
        <v>909</v>
      </c>
      <c r="M85" s="57" t="s">
        <v>909</v>
      </c>
      <c r="S85" s="90" t="s">
        <v>909</v>
      </c>
      <c r="T85" s="90" t="s">
        <v>909</v>
      </c>
      <c r="AJ85" s="57" t="s">
        <v>909</v>
      </c>
      <c r="AL85" s="57" t="s">
        <v>909</v>
      </c>
      <c r="AM85" s="57" t="s">
        <v>909</v>
      </c>
    </row>
    <row r="86" spans="1:39" x14ac:dyDescent="0.25">
      <c r="A86" s="42" t="s">
        <v>167</v>
      </c>
      <c r="D86" s="42" t="s">
        <v>909</v>
      </c>
      <c r="M86" s="57" t="s">
        <v>909</v>
      </c>
      <c r="S86" s="90" t="s">
        <v>909</v>
      </c>
      <c r="X86" s="90" t="s">
        <v>909</v>
      </c>
      <c r="AJ86" s="57" t="s">
        <v>909</v>
      </c>
      <c r="AL86" s="57" t="s">
        <v>909</v>
      </c>
      <c r="AM86" s="57" t="s">
        <v>909</v>
      </c>
    </row>
    <row r="87" spans="1:39" x14ac:dyDescent="0.25">
      <c r="A87" s="42" t="s">
        <v>607</v>
      </c>
      <c r="D87" s="42" t="s">
        <v>909</v>
      </c>
      <c r="M87" s="57" t="s">
        <v>909</v>
      </c>
      <c r="S87" s="90" t="s">
        <v>909</v>
      </c>
      <c r="T87" s="90" t="s">
        <v>909</v>
      </c>
      <c r="AJ87" s="57" t="s">
        <v>909</v>
      </c>
      <c r="AL87" s="57" t="s">
        <v>909</v>
      </c>
      <c r="AM87" s="57" t="s">
        <v>909</v>
      </c>
    </row>
    <row r="88" spans="1:39" x14ac:dyDescent="0.25">
      <c r="A88" s="42" t="s">
        <v>170</v>
      </c>
      <c r="D88" s="42" t="s">
        <v>909</v>
      </c>
      <c r="M88" s="57" t="s">
        <v>909</v>
      </c>
      <c r="S88" s="90" t="s">
        <v>909</v>
      </c>
      <c r="T88" s="90" t="s">
        <v>909</v>
      </c>
      <c r="AJ88" s="57" t="s">
        <v>909</v>
      </c>
      <c r="AL88" s="57" t="s">
        <v>909</v>
      </c>
      <c r="AM88" s="57" t="s">
        <v>909</v>
      </c>
    </row>
    <row r="89" spans="1:39" x14ac:dyDescent="0.25">
      <c r="A89" s="42" t="s">
        <v>169</v>
      </c>
      <c r="D89" s="42" t="s">
        <v>909</v>
      </c>
      <c r="M89" s="57" t="s">
        <v>909</v>
      </c>
      <c r="S89" s="90" t="s">
        <v>909</v>
      </c>
      <c r="T89" s="90" t="s">
        <v>909</v>
      </c>
      <c r="AJ89" s="57" t="s">
        <v>909</v>
      </c>
      <c r="AL89" s="57" t="s">
        <v>909</v>
      </c>
      <c r="AM89" s="57" t="s">
        <v>909</v>
      </c>
    </row>
    <row r="90" spans="1:39" x14ac:dyDescent="0.25">
      <c r="A90" s="42" t="s">
        <v>613</v>
      </c>
      <c r="AJ90" s="57" t="s">
        <v>909</v>
      </c>
      <c r="AL90" s="57" t="s">
        <v>909</v>
      </c>
      <c r="AM90" s="57" t="s">
        <v>909</v>
      </c>
    </row>
    <row r="91" spans="1:39" x14ac:dyDescent="0.25">
      <c r="A91" s="42" t="s">
        <v>188</v>
      </c>
      <c r="D91" s="42" t="s">
        <v>909</v>
      </c>
      <c r="M91" s="57" t="s">
        <v>909</v>
      </c>
      <c r="S91" s="90" t="s">
        <v>909</v>
      </c>
      <c r="AJ91" s="57" t="s">
        <v>909</v>
      </c>
      <c r="AK91" s="57" t="s">
        <v>909</v>
      </c>
    </row>
    <row r="92" spans="1:39" x14ac:dyDescent="0.25">
      <c r="A92" s="42" t="s">
        <v>615</v>
      </c>
      <c r="D92" s="42" t="s">
        <v>909</v>
      </c>
      <c r="M92" s="57" t="s">
        <v>909</v>
      </c>
      <c r="S92" s="90" t="s">
        <v>909</v>
      </c>
      <c r="AJ92" s="57" t="s">
        <v>909</v>
      </c>
      <c r="AL92" s="57" t="s">
        <v>909</v>
      </c>
      <c r="AM92" s="57" t="s">
        <v>909</v>
      </c>
    </row>
    <row r="93" spans="1:39" ht="30" x14ac:dyDescent="0.25">
      <c r="A93" s="86" t="s">
        <v>990</v>
      </c>
      <c r="D93" s="42" t="s">
        <v>909</v>
      </c>
      <c r="M93" s="57" t="s">
        <v>909</v>
      </c>
      <c r="S93" s="90" t="s">
        <v>909</v>
      </c>
      <c r="X93" s="90" t="s">
        <v>909</v>
      </c>
      <c r="AJ93" s="57" t="s">
        <v>909</v>
      </c>
      <c r="AL93" s="57" t="s">
        <v>909</v>
      </c>
      <c r="AM93" s="57" t="s">
        <v>909</v>
      </c>
    </row>
    <row r="94" spans="1:39" x14ac:dyDescent="0.25">
      <c r="A94" s="42" t="s">
        <v>216</v>
      </c>
      <c r="D94" s="42" t="s">
        <v>909</v>
      </c>
      <c r="M94" s="57" t="s">
        <v>909</v>
      </c>
      <c r="S94" s="90" t="s">
        <v>909</v>
      </c>
      <c r="AJ94" s="57" t="s">
        <v>909</v>
      </c>
      <c r="AL94" s="57" t="s">
        <v>909</v>
      </c>
      <c r="AM94" s="57" t="s">
        <v>909</v>
      </c>
    </row>
    <row r="95" spans="1:39" x14ac:dyDescent="0.25">
      <c r="A95" s="42" t="s">
        <v>622</v>
      </c>
      <c r="D95" s="42" t="s">
        <v>909</v>
      </c>
      <c r="M95" s="57" t="s">
        <v>909</v>
      </c>
      <c r="S95" s="90" t="s">
        <v>909</v>
      </c>
      <c r="AJ95" s="57" t="s">
        <v>909</v>
      </c>
      <c r="AL95" s="57" t="s">
        <v>909</v>
      </c>
      <c r="AM95" s="57" t="s">
        <v>909</v>
      </c>
    </row>
    <row r="96" spans="1:39" x14ac:dyDescent="0.25">
      <c r="A96" s="42" t="s">
        <v>140</v>
      </c>
      <c r="D96" s="42" t="s">
        <v>909</v>
      </c>
      <c r="M96" s="57" t="s">
        <v>909</v>
      </c>
      <c r="S96" s="90" t="s">
        <v>909</v>
      </c>
      <c r="AJ96" s="57" t="s">
        <v>909</v>
      </c>
      <c r="AL96" s="57" t="s">
        <v>909</v>
      </c>
      <c r="AM96" s="57" t="s">
        <v>909</v>
      </c>
    </row>
    <row r="97" spans="1:39" x14ac:dyDescent="0.25">
      <c r="A97" s="42" t="s">
        <v>626</v>
      </c>
      <c r="D97" s="42" t="s">
        <v>909</v>
      </c>
      <c r="M97" s="57" t="s">
        <v>909</v>
      </c>
      <c r="S97" s="90" t="s">
        <v>909</v>
      </c>
      <c r="T97" s="90" t="s">
        <v>909</v>
      </c>
      <c r="AJ97" s="57" t="s">
        <v>909</v>
      </c>
      <c r="AL97" s="57" t="s">
        <v>909</v>
      </c>
      <c r="AM97" s="57" t="s">
        <v>909</v>
      </c>
    </row>
    <row r="98" spans="1:39" x14ac:dyDescent="0.25">
      <c r="A98" s="42" t="s">
        <v>106</v>
      </c>
      <c r="AJ98" s="57" t="s">
        <v>909</v>
      </c>
      <c r="AL98" s="57" t="s">
        <v>909</v>
      </c>
      <c r="AM98" s="57" t="s">
        <v>909</v>
      </c>
    </row>
    <row r="99" spans="1:39" ht="30" x14ac:dyDescent="0.25">
      <c r="A99" s="86" t="s">
        <v>991</v>
      </c>
      <c r="D99" s="42" t="s">
        <v>909</v>
      </c>
      <c r="M99" s="57" t="s">
        <v>909</v>
      </c>
      <c r="S99" s="90" t="s">
        <v>909</v>
      </c>
      <c r="X99" s="90" t="s">
        <v>909</v>
      </c>
      <c r="AJ99" s="57" t="s">
        <v>909</v>
      </c>
      <c r="AK99" s="57" t="s">
        <v>909</v>
      </c>
      <c r="AL99" s="57" t="s">
        <v>909</v>
      </c>
      <c r="AM99" s="57" t="s">
        <v>909</v>
      </c>
    </row>
    <row r="100" spans="1:39" ht="30" x14ac:dyDescent="0.25">
      <c r="A100" s="86" t="s">
        <v>989</v>
      </c>
      <c r="D100" s="42" t="s">
        <v>909</v>
      </c>
      <c r="M100" s="57" t="s">
        <v>909</v>
      </c>
      <c r="S100" s="90" t="s">
        <v>909</v>
      </c>
      <c r="X100" s="90" t="s">
        <v>909</v>
      </c>
      <c r="AJ100" s="57" t="s">
        <v>909</v>
      </c>
      <c r="AL100" s="57" t="s">
        <v>909</v>
      </c>
      <c r="AM100" s="57" t="s">
        <v>909</v>
      </c>
    </row>
    <row r="101" spans="1:39" x14ac:dyDescent="0.25">
      <c r="A101" s="42" t="s">
        <v>174</v>
      </c>
      <c r="D101" s="42" t="s">
        <v>909</v>
      </c>
      <c r="M101" s="57" t="s">
        <v>909</v>
      </c>
      <c r="S101" s="90" t="s">
        <v>909</v>
      </c>
      <c r="T101" s="90" t="s">
        <v>909</v>
      </c>
      <c r="AJ101" s="57" t="s">
        <v>909</v>
      </c>
      <c r="AL101" s="57" t="s">
        <v>909</v>
      </c>
      <c r="AM101" s="57" t="s">
        <v>909</v>
      </c>
    </row>
    <row r="102" spans="1:39" x14ac:dyDescent="0.25">
      <c r="A102" s="42" t="s">
        <v>635</v>
      </c>
      <c r="D102" s="42" t="s">
        <v>909</v>
      </c>
      <c r="M102" s="57" t="s">
        <v>909</v>
      </c>
      <c r="S102" s="90" t="s">
        <v>909</v>
      </c>
      <c r="T102" s="90" t="s">
        <v>909</v>
      </c>
      <c r="X102" s="90" t="s">
        <v>909</v>
      </c>
      <c r="AJ102" s="57" t="s">
        <v>909</v>
      </c>
      <c r="AL102" s="57" t="s">
        <v>909</v>
      </c>
      <c r="AM102" s="57" t="s">
        <v>909</v>
      </c>
    </row>
    <row r="103" spans="1:39" x14ac:dyDescent="0.25">
      <c r="A103" s="54" t="s">
        <v>1003</v>
      </c>
      <c r="D103" s="42" t="s">
        <v>909</v>
      </c>
      <c r="T103" s="90" t="s">
        <v>909</v>
      </c>
      <c r="AJ103" s="57" t="s">
        <v>909</v>
      </c>
      <c r="AK103" s="57" t="s">
        <v>909</v>
      </c>
      <c r="AL103" s="57" t="s">
        <v>909</v>
      </c>
      <c r="AM103" s="57" t="s">
        <v>909</v>
      </c>
    </row>
    <row r="104" spans="1:39" x14ac:dyDescent="0.25">
      <c r="A104" s="54" t="s">
        <v>1004</v>
      </c>
      <c r="D104" s="42" t="s">
        <v>909</v>
      </c>
      <c r="T104" s="90" t="s">
        <v>909</v>
      </c>
      <c r="AJ104" s="57" t="s">
        <v>909</v>
      </c>
      <c r="AK104" s="57" t="s">
        <v>909</v>
      </c>
      <c r="AL104" s="57" t="s">
        <v>909</v>
      </c>
      <c r="AM104" s="57" t="s">
        <v>909</v>
      </c>
    </row>
    <row r="105" spans="1:39" x14ac:dyDescent="0.25">
      <c r="A105" s="93" t="s">
        <v>1005</v>
      </c>
      <c r="B105" s="57" t="s">
        <v>909</v>
      </c>
      <c r="F105" s="57" t="s">
        <v>909</v>
      </c>
      <c r="G105" s="57" t="s">
        <v>909</v>
      </c>
      <c r="H105" s="57" t="s">
        <v>909</v>
      </c>
      <c r="I105" s="57" t="s">
        <v>909</v>
      </c>
      <c r="J105" s="57" t="s">
        <v>909</v>
      </c>
      <c r="K105" s="57" t="s">
        <v>909</v>
      </c>
      <c r="L105" s="57" t="s">
        <v>909</v>
      </c>
      <c r="M105" s="57" t="s">
        <v>909</v>
      </c>
      <c r="N105" s="57" t="s">
        <v>909</v>
      </c>
      <c r="O105" s="57" t="s">
        <v>909</v>
      </c>
      <c r="P105" s="57" t="s">
        <v>909</v>
      </c>
      <c r="Q105" s="90" t="s">
        <v>909</v>
      </c>
      <c r="R105" s="90" t="s">
        <v>909</v>
      </c>
      <c r="T105" s="90" t="s">
        <v>909</v>
      </c>
      <c r="U105" s="90" t="s">
        <v>909</v>
      </c>
      <c r="V105" s="90" t="s">
        <v>909</v>
      </c>
      <c r="W105" s="90" t="s">
        <v>909</v>
      </c>
      <c r="Y105" s="90" t="s">
        <v>909</v>
      </c>
      <c r="Z105" s="90" t="s">
        <v>909</v>
      </c>
      <c r="AA105" s="90" t="s">
        <v>909</v>
      </c>
      <c r="AB105" s="90" t="s">
        <v>909</v>
      </c>
      <c r="AC105" s="90" t="s">
        <v>909</v>
      </c>
      <c r="AD105" s="90" t="s">
        <v>909</v>
      </c>
      <c r="AE105" s="90" t="s">
        <v>909</v>
      </c>
      <c r="AF105" s="90"/>
      <c r="AG105" s="90" t="s">
        <v>909</v>
      </c>
      <c r="AH105" s="90" t="s">
        <v>909</v>
      </c>
      <c r="AI105" s="90" t="s">
        <v>909</v>
      </c>
      <c r="AJ105" s="57" t="s">
        <v>909</v>
      </c>
      <c r="AK105" s="57" t="s">
        <v>909</v>
      </c>
      <c r="AL105" s="57" t="s">
        <v>909</v>
      </c>
      <c r="AM105" s="57" t="s">
        <v>909</v>
      </c>
    </row>
    <row r="106" spans="1:39" s="201" customFormat="1" x14ac:dyDescent="0.25">
      <c r="A106" s="48" t="s">
        <v>638</v>
      </c>
      <c r="B106" s="48" t="s">
        <v>909</v>
      </c>
      <c r="C106" s="48" t="s">
        <v>909</v>
      </c>
      <c r="D106" s="48" t="s">
        <v>909</v>
      </c>
      <c r="E106" s="48" t="s">
        <v>909</v>
      </c>
      <c r="F106" s="48" t="s">
        <v>909</v>
      </c>
      <c r="G106" s="48" t="s">
        <v>909</v>
      </c>
      <c r="H106" s="48" t="s">
        <v>909</v>
      </c>
      <c r="I106" s="48" t="s">
        <v>909</v>
      </c>
      <c r="L106" s="48" t="s">
        <v>909</v>
      </c>
      <c r="N106" s="48" t="s">
        <v>909</v>
      </c>
      <c r="O106" s="48" t="s">
        <v>909</v>
      </c>
      <c r="P106" s="48" t="s">
        <v>909</v>
      </c>
      <c r="Q106" s="48" t="s">
        <v>909</v>
      </c>
      <c r="R106" s="48" t="s">
        <v>909</v>
      </c>
      <c r="S106" s="165"/>
      <c r="T106" s="165" t="s">
        <v>909</v>
      </c>
      <c r="U106" s="48" t="s">
        <v>909</v>
      </c>
      <c r="V106" s="48" t="s">
        <v>909</v>
      </c>
      <c r="W106" s="48" t="s">
        <v>909</v>
      </c>
      <c r="X106" s="48" t="s">
        <v>909</v>
      </c>
      <c r="Y106" s="48" t="s">
        <v>909</v>
      </c>
      <c r="Z106" s="48" t="s">
        <v>909</v>
      </c>
      <c r="AA106" s="48" t="s">
        <v>909</v>
      </c>
      <c r="AB106" s="48" t="s">
        <v>909</v>
      </c>
      <c r="AC106" s="48" t="s">
        <v>909</v>
      </c>
      <c r="AD106" s="48" t="s">
        <v>909</v>
      </c>
      <c r="AE106" s="48" t="s">
        <v>909</v>
      </c>
      <c r="AF106" s="48" t="s">
        <v>909</v>
      </c>
      <c r="AG106" s="48" t="s">
        <v>909</v>
      </c>
      <c r="AH106" s="48" t="s">
        <v>909</v>
      </c>
      <c r="AI106" s="48" t="s">
        <v>909</v>
      </c>
      <c r="AJ106" s="201" t="s">
        <v>909</v>
      </c>
      <c r="AK106" s="201" t="s">
        <v>909</v>
      </c>
      <c r="AL106" s="201" t="s">
        <v>909</v>
      </c>
      <c r="AM106" s="201" t="s">
        <v>909</v>
      </c>
    </row>
    <row r="107" spans="1:39" x14ac:dyDescent="0.25">
      <c r="A107" s="42" t="s">
        <v>903</v>
      </c>
      <c r="B107" s="42" t="s">
        <v>909</v>
      </c>
      <c r="C107" s="42" t="s">
        <v>909</v>
      </c>
      <c r="D107" s="42" t="s">
        <v>909</v>
      </c>
      <c r="E107" s="42" t="s">
        <v>909</v>
      </c>
      <c r="F107" s="42" t="s">
        <v>909</v>
      </c>
      <c r="G107" s="42" t="s">
        <v>909</v>
      </c>
      <c r="H107" s="42" t="s">
        <v>909</v>
      </c>
      <c r="I107" s="42" t="s">
        <v>909</v>
      </c>
      <c r="L107" s="42" t="s">
        <v>909</v>
      </c>
      <c r="N107" s="42" t="s">
        <v>909</v>
      </c>
      <c r="O107" s="42" t="s">
        <v>909</v>
      </c>
      <c r="P107" s="42" t="s">
        <v>909</v>
      </c>
      <c r="Q107" s="42" t="s">
        <v>909</v>
      </c>
      <c r="R107" s="42" t="s">
        <v>909</v>
      </c>
      <c r="T107" s="90" t="s">
        <v>909</v>
      </c>
      <c r="U107" s="42" t="s">
        <v>909</v>
      </c>
      <c r="V107" s="42" t="s">
        <v>909</v>
      </c>
      <c r="W107" s="42" t="s">
        <v>909</v>
      </c>
      <c r="X107" s="42" t="s">
        <v>909</v>
      </c>
      <c r="Y107" s="42" t="s">
        <v>909</v>
      </c>
      <c r="Z107" s="42" t="s">
        <v>909</v>
      </c>
      <c r="AA107" s="42" t="s">
        <v>909</v>
      </c>
      <c r="AB107" s="42" t="s">
        <v>909</v>
      </c>
      <c r="AC107" s="42" t="s">
        <v>909</v>
      </c>
      <c r="AD107" s="42" t="s">
        <v>909</v>
      </c>
      <c r="AE107" s="42" t="s">
        <v>909</v>
      </c>
      <c r="AF107" s="42" t="s">
        <v>909</v>
      </c>
      <c r="AG107" s="42" t="s">
        <v>909</v>
      </c>
      <c r="AH107" s="42" t="s">
        <v>909</v>
      </c>
      <c r="AI107" s="42" t="s">
        <v>909</v>
      </c>
      <c r="AJ107" s="57" t="s">
        <v>909</v>
      </c>
      <c r="AK107" s="57" t="s">
        <v>909</v>
      </c>
      <c r="AL107" s="57" t="s">
        <v>909</v>
      </c>
      <c r="AM107" s="57" t="s">
        <v>909</v>
      </c>
    </row>
    <row r="108" spans="1:39" x14ac:dyDescent="0.25">
      <c r="A108" s="42" t="s">
        <v>904</v>
      </c>
      <c r="B108" s="42" t="s">
        <v>909</v>
      </c>
      <c r="C108" s="42" t="s">
        <v>909</v>
      </c>
      <c r="D108" s="42" t="s">
        <v>909</v>
      </c>
      <c r="E108" s="42" t="s">
        <v>909</v>
      </c>
      <c r="F108" s="42" t="s">
        <v>909</v>
      </c>
      <c r="G108" s="42" t="s">
        <v>909</v>
      </c>
      <c r="H108" s="42" t="s">
        <v>909</v>
      </c>
      <c r="I108" s="42" t="s">
        <v>909</v>
      </c>
      <c r="L108" s="42" t="s">
        <v>909</v>
      </c>
      <c r="N108" s="42" t="s">
        <v>909</v>
      </c>
      <c r="O108" s="42" t="s">
        <v>909</v>
      </c>
      <c r="P108" s="42" t="s">
        <v>909</v>
      </c>
      <c r="Q108" s="42" t="s">
        <v>909</v>
      </c>
      <c r="R108" s="42" t="s">
        <v>909</v>
      </c>
      <c r="T108" s="90" t="s">
        <v>909</v>
      </c>
      <c r="U108" s="42" t="s">
        <v>909</v>
      </c>
      <c r="V108" s="42" t="s">
        <v>909</v>
      </c>
      <c r="W108" s="42" t="s">
        <v>909</v>
      </c>
      <c r="X108" s="42" t="s">
        <v>909</v>
      </c>
      <c r="Y108" s="42" t="s">
        <v>909</v>
      </c>
      <c r="Z108" s="42" t="s">
        <v>909</v>
      </c>
      <c r="AA108" s="42" t="s">
        <v>909</v>
      </c>
      <c r="AB108" s="42" t="s">
        <v>909</v>
      </c>
      <c r="AC108" s="42" t="s">
        <v>909</v>
      </c>
      <c r="AD108" s="42" t="s">
        <v>909</v>
      </c>
      <c r="AE108" s="42" t="s">
        <v>909</v>
      </c>
      <c r="AF108" s="42" t="s">
        <v>909</v>
      </c>
      <c r="AG108" s="42" t="s">
        <v>909</v>
      </c>
      <c r="AH108" s="42" t="s">
        <v>909</v>
      </c>
      <c r="AI108" s="42" t="s">
        <v>909</v>
      </c>
      <c r="AJ108" s="57" t="s">
        <v>909</v>
      </c>
      <c r="AK108" s="57" t="s">
        <v>909</v>
      </c>
      <c r="AL108" s="57" t="s">
        <v>909</v>
      </c>
      <c r="AM108" s="57" t="s">
        <v>909</v>
      </c>
    </row>
    <row r="109" spans="1:39" x14ac:dyDescent="0.25">
      <c r="A109" s="42" t="s">
        <v>905</v>
      </c>
      <c r="B109" s="42" t="s">
        <v>909</v>
      </c>
      <c r="C109" s="42" t="s">
        <v>909</v>
      </c>
      <c r="D109" s="42" t="s">
        <v>909</v>
      </c>
      <c r="E109" s="42" t="s">
        <v>909</v>
      </c>
      <c r="F109" s="42" t="s">
        <v>909</v>
      </c>
      <c r="G109" s="42" t="s">
        <v>909</v>
      </c>
      <c r="H109" s="42" t="s">
        <v>909</v>
      </c>
      <c r="I109" s="42" t="s">
        <v>909</v>
      </c>
      <c r="L109" s="42" t="s">
        <v>909</v>
      </c>
      <c r="N109" s="42" t="s">
        <v>909</v>
      </c>
      <c r="O109" s="42" t="s">
        <v>909</v>
      </c>
      <c r="P109" s="42" t="s">
        <v>909</v>
      </c>
      <c r="Q109" s="42" t="s">
        <v>909</v>
      </c>
      <c r="R109" s="42" t="s">
        <v>909</v>
      </c>
      <c r="T109" s="90" t="s">
        <v>909</v>
      </c>
      <c r="U109" s="42" t="s">
        <v>909</v>
      </c>
      <c r="V109" s="42" t="s">
        <v>909</v>
      </c>
      <c r="W109" s="42" t="s">
        <v>909</v>
      </c>
      <c r="X109" s="42" t="s">
        <v>909</v>
      </c>
      <c r="Y109" s="42" t="s">
        <v>909</v>
      </c>
      <c r="Z109" s="42" t="s">
        <v>909</v>
      </c>
      <c r="AA109" s="42" t="s">
        <v>909</v>
      </c>
      <c r="AB109" s="42" t="s">
        <v>909</v>
      </c>
      <c r="AC109" s="42" t="s">
        <v>909</v>
      </c>
      <c r="AD109" s="42" t="s">
        <v>909</v>
      </c>
      <c r="AE109" s="42" t="s">
        <v>909</v>
      </c>
      <c r="AF109" s="42" t="s">
        <v>909</v>
      </c>
      <c r="AG109" s="42" t="s">
        <v>909</v>
      </c>
      <c r="AH109" s="42" t="s">
        <v>909</v>
      </c>
      <c r="AI109" s="42" t="s">
        <v>909</v>
      </c>
      <c r="AJ109" s="57" t="s">
        <v>909</v>
      </c>
      <c r="AK109" s="57" t="s">
        <v>909</v>
      </c>
      <c r="AL109" s="57" t="s">
        <v>909</v>
      </c>
      <c r="AM109" s="57" t="s">
        <v>909</v>
      </c>
    </row>
    <row r="110" spans="1:39" s="201" customFormat="1" x14ac:dyDescent="0.25">
      <c r="A110" s="48" t="s">
        <v>642</v>
      </c>
      <c r="B110" s="48" t="s">
        <v>909</v>
      </c>
      <c r="C110" s="48" t="s">
        <v>909</v>
      </c>
      <c r="D110" s="48" t="s">
        <v>909</v>
      </c>
      <c r="E110" s="48" t="s">
        <v>909</v>
      </c>
      <c r="F110" s="48" t="s">
        <v>909</v>
      </c>
      <c r="G110" s="48" t="s">
        <v>909</v>
      </c>
      <c r="H110" s="48" t="s">
        <v>909</v>
      </c>
      <c r="I110" s="48" t="s">
        <v>909</v>
      </c>
      <c r="L110" s="48" t="s">
        <v>909</v>
      </c>
      <c r="N110" s="48" t="s">
        <v>909</v>
      </c>
      <c r="O110" s="48" t="s">
        <v>909</v>
      </c>
      <c r="P110" s="48" t="s">
        <v>909</v>
      </c>
      <c r="Q110" s="48" t="s">
        <v>909</v>
      </c>
      <c r="R110" s="48" t="s">
        <v>909</v>
      </c>
      <c r="S110" s="165"/>
      <c r="T110" s="165" t="s">
        <v>909</v>
      </c>
      <c r="U110" s="48" t="s">
        <v>909</v>
      </c>
      <c r="V110" s="48" t="s">
        <v>909</v>
      </c>
      <c r="W110" s="48" t="s">
        <v>909</v>
      </c>
      <c r="X110" s="48" t="s">
        <v>909</v>
      </c>
      <c r="Y110" s="48" t="s">
        <v>909</v>
      </c>
      <c r="Z110" s="48" t="s">
        <v>909</v>
      </c>
      <c r="AA110" s="48" t="s">
        <v>909</v>
      </c>
      <c r="AB110" s="48" t="s">
        <v>909</v>
      </c>
      <c r="AC110" s="48" t="s">
        <v>909</v>
      </c>
      <c r="AD110" s="48" t="s">
        <v>909</v>
      </c>
      <c r="AE110" s="48" t="s">
        <v>909</v>
      </c>
      <c r="AF110" s="48" t="s">
        <v>909</v>
      </c>
      <c r="AG110" s="48" t="s">
        <v>909</v>
      </c>
      <c r="AH110" s="48" t="s">
        <v>909</v>
      </c>
      <c r="AI110" s="48" t="s">
        <v>909</v>
      </c>
      <c r="AJ110" s="201" t="s">
        <v>909</v>
      </c>
      <c r="AK110" s="201" t="s">
        <v>909</v>
      </c>
      <c r="AL110" s="201" t="s">
        <v>909</v>
      </c>
      <c r="AM110" s="201" t="s">
        <v>909</v>
      </c>
    </row>
    <row r="111" spans="1:39" s="201" customFormat="1" x14ac:dyDescent="0.25">
      <c r="A111" s="48" t="s">
        <v>643</v>
      </c>
      <c r="B111" s="48" t="s">
        <v>909</v>
      </c>
      <c r="C111" s="48" t="s">
        <v>909</v>
      </c>
      <c r="D111" s="48" t="s">
        <v>909</v>
      </c>
      <c r="E111" s="48" t="s">
        <v>909</v>
      </c>
      <c r="F111" s="48" t="s">
        <v>909</v>
      </c>
      <c r="G111" s="48" t="s">
        <v>909</v>
      </c>
      <c r="H111" s="48" t="s">
        <v>909</v>
      </c>
      <c r="I111" s="48" t="s">
        <v>909</v>
      </c>
      <c r="L111" s="48" t="s">
        <v>909</v>
      </c>
      <c r="N111" s="48" t="s">
        <v>909</v>
      </c>
      <c r="O111" s="48" t="s">
        <v>909</v>
      </c>
      <c r="P111" s="48" t="s">
        <v>909</v>
      </c>
      <c r="Q111" s="48" t="s">
        <v>909</v>
      </c>
      <c r="R111" s="48" t="s">
        <v>909</v>
      </c>
      <c r="S111" s="165"/>
      <c r="T111" s="165" t="s">
        <v>909</v>
      </c>
      <c r="U111" s="48" t="s">
        <v>909</v>
      </c>
      <c r="V111" s="48" t="s">
        <v>909</v>
      </c>
      <c r="W111" s="48" t="s">
        <v>909</v>
      </c>
      <c r="X111" s="48" t="s">
        <v>909</v>
      </c>
      <c r="Y111" s="48" t="s">
        <v>909</v>
      </c>
      <c r="Z111" s="48" t="s">
        <v>909</v>
      </c>
      <c r="AA111" s="48" t="s">
        <v>909</v>
      </c>
      <c r="AB111" s="48" t="s">
        <v>909</v>
      </c>
      <c r="AC111" s="48" t="s">
        <v>909</v>
      </c>
      <c r="AD111" s="48" t="s">
        <v>909</v>
      </c>
      <c r="AE111" s="48" t="s">
        <v>909</v>
      </c>
      <c r="AF111" s="48" t="s">
        <v>909</v>
      </c>
      <c r="AG111" s="48" t="s">
        <v>909</v>
      </c>
      <c r="AH111" s="48" t="s">
        <v>909</v>
      </c>
      <c r="AI111" s="48" t="s">
        <v>909</v>
      </c>
      <c r="AJ111" s="201" t="s">
        <v>909</v>
      </c>
      <c r="AK111" s="201" t="s">
        <v>909</v>
      </c>
      <c r="AL111" s="201" t="s">
        <v>909</v>
      </c>
      <c r="AM111" s="201" t="s">
        <v>909</v>
      </c>
    </row>
    <row r="112" spans="1:39" x14ac:dyDescent="0.25">
      <c r="A112" s="42" t="s">
        <v>660</v>
      </c>
      <c r="B112" s="42" t="s">
        <v>909</v>
      </c>
      <c r="C112" s="42" t="s">
        <v>909</v>
      </c>
      <c r="D112" s="42" t="s">
        <v>909</v>
      </c>
      <c r="E112" s="42" t="s">
        <v>909</v>
      </c>
      <c r="F112" s="42" t="s">
        <v>909</v>
      </c>
      <c r="G112" s="42" t="s">
        <v>909</v>
      </c>
      <c r="H112" s="42" t="s">
        <v>909</v>
      </c>
      <c r="I112" s="42" t="s">
        <v>909</v>
      </c>
      <c r="J112" s="42" t="s">
        <v>909</v>
      </c>
      <c r="K112" s="42" t="s">
        <v>909</v>
      </c>
      <c r="L112" s="42" t="s">
        <v>909</v>
      </c>
      <c r="M112" s="42" t="s">
        <v>909</v>
      </c>
      <c r="N112" s="42" t="s">
        <v>909</v>
      </c>
      <c r="O112" s="42" t="s">
        <v>909</v>
      </c>
      <c r="P112" s="42" t="s">
        <v>909</v>
      </c>
      <c r="Q112" s="42" t="s">
        <v>909</v>
      </c>
      <c r="R112" s="42" t="s">
        <v>909</v>
      </c>
      <c r="S112" s="42" t="s">
        <v>909</v>
      </c>
      <c r="T112" s="96"/>
      <c r="U112" s="42" t="s">
        <v>909</v>
      </c>
      <c r="V112" s="42" t="s">
        <v>909</v>
      </c>
      <c r="W112" s="42" t="s">
        <v>909</v>
      </c>
      <c r="X112" s="42" t="s">
        <v>909</v>
      </c>
      <c r="Y112" s="42" t="s">
        <v>909</v>
      </c>
      <c r="Z112" s="42" t="s">
        <v>909</v>
      </c>
      <c r="AA112" s="42" t="s">
        <v>909</v>
      </c>
      <c r="AB112" s="42" t="s">
        <v>909</v>
      </c>
      <c r="AC112" s="42" t="s">
        <v>909</v>
      </c>
      <c r="AD112" s="42" t="s">
        <v>909</v>
      </c>
      <c r="AE112" s="42" t="s">
        <v>909</v>
      </c>
      <c r="AF112" s="42" t="s">
        <v>909</v>
      </c>
      <c r="AG112" s="42" t="s">
        <v>909</v>
      </c>
      <c r="AH112" s="42" t="s">
        <v>909</v>
      </c>
      <c r="AI112" s="42" t="s">
        <v>909</v>
      </c>
      <c r="AJ112" s="57" t="s">
        <v>909</v>
      </c>
      <c r="AK112" s="57" t="s">
        <v>909</v>
      </c>
      <c r="AL112" s="57" t="s">
        <v>909</v>
      </c>
      <c r="AM112" s="57" t="s">
        <v>909</v>
      </c>
    </row>
    <row r="113" spans="1:39" x14ac:dyDescent="0.25">
      <c r="A113" s="42" t="s">
        <v>653</v>
      </c>
      <c r="B113" s="42" t="s">
        <v>909</v>
      </c>
      <c r="C113" s="42" t="s">
        <v>909</v>
      </c>
      <c r="D113" s="42" t="s">
        <v>909</v>
      </c>
      <c r="E113" s="42" t="s">
        <v>909</v>
      </c>
      <c r="F113" s="42" t="s">
        <v>909</v>
      </c>
      <c r="G113" s="42" t="s">
        <v>909</v>
      </c>
      <c r="H113" s="42" t="s">
        <v>909</v>
      </c>
      <c r="I113" s="42" t="s">
        <v>909</v>
      </c>
      <c r="J113" s="42" t="s">
        <v>909</v>
      </c>
      <c r="K113" s="42" t="s">
        <v>909</v>
      </c>
      <c r="L113" s="42" t="s">
        <v>909</v>
      </c>
      <c r="M113" s="42" t="s">
        <v>909</v>
      </c>
      <c r="N113" s="42" t="s">
        <v>909</v>
      </c>
      <c r="O113" s="42" t="s">
        <v>909</v>
      </c>
      <c r="P113" s="42" t="s">
        <v>909</v>
      </c>
      <c r="Q113" s="42" t="s">
        <v>909</v>
      </c>
      <c r="R113" s="42" t="s">
        <v>909</v>
      </c>
      <c r="S113" s="42" t="s">
        <v>909</v>
      </c>
      <c r="U113" s="42" t="s">
        <v>909</v>
      </c>
      <c r="V113" s="42" t="s">
        <v>909</v>
      </c>
      <c r="W113" s="42" t="s">
        <v>909</v>
      </c>
      <c r="X113" s="42" t="s">
        <v>909</v>
      </c>
      <c r="Y113" s="42" t="s">
        <v>909</v>
      </c>
      <c r="Z113" s="42" t="s">
        <v>909</v>
      </c>
      <c r="AA113" s="42" t="s">
        <v>909</v>
      </c>
      <c r="AB113" s="42" t="s">
        <v>909</v>
      </c>
      <c r="AC113" s="42" t="s">
        <v>909</v>
      </c>
      <c r="AD113" s="42" t="s">
        <v>909</v>
      </c>
      <c r="AE113" s="42" t="s">
        <v>909</v>
      </c>
      <c r="AF113" s="42" t="s">
        <v>909</v>
      </c>
      <c r="AG113" s="42" t="s">
        <v>909</v>
      </c>
      <c r="AH113" s="42" t="s">
        <v>909</v>
      </c>
      <c r="AI113" s="42" t="s">
        <v>909</v>
      </c>
      <c r="AJ113" s="57" t="s">
        <v>909</v>
      </c>
      <c r="AK113" s="57" t="s">
        <v>909</v>
      </c>
      <c r="AL113" s="57" t="s">
        <v>909</v>
      </c>
      <c r="AM113" s="57" t="s">
        <v>909</v>
      </c>
    </row>
    <row r="114" spans="1:39" x14ac:dyDescent="0.25">
      <c r="A114" s="42" t="s">
        <v>791</v>
      </c>
      <c r="B114" s="42" t="s">
        <v>909</v>
      </c>
      <c r="C114" s="42" t="s">
        <v>909</v>
      </c>
      <c r="D114" s="42" t="s">
        <v>909</v>
      </c>
      <c r="E114" s="42" t="s">
        <v>909</v>
      </c>
      <c r="F114" s="42" t="s">
        <v>909</v>
      </c>
      <c r="G114" s="42" t="s">
        <v>909</v>
      </c>
      <c r="H114" s="42" t="s">
        <v>909</v>
      </c>
      <c r="I114" s="42" t="s">
        <v>909</v>
      </c>
      <c r="J114" s="42" t="s">
        <v>909</v>
      </c>
      <c r="K114" s="42" t="s">
        <v>909</v>
      </c>
      <c r="L114" s="42" t="s">
        <v>909</v>
      </c>
      <c r="M114" s="42" t="s">
        <v>909</v>
      </c>
      <c r="N114" s="42" t="s">
        <v>909</v>
      </c>
      <c r="O114" s="42" t="s">
        <v>909</v>
      </c>
      <c r="P114" s="42" t="s">
        <v>909</v>
      </c>
      <c r="Q114" s="42" t="s">
        <v>909</v>
      </c>
      <c r="R114" s="42" t="s">
        <v>909</v>
      </c>
      <c r="S114" s="42" t="s">
        <v>909</v>
      </c>
      <c r="U114" s="42" t="s">
        <v>909</v>
      </c>
      <c r="V114" s="42" t="s">
        <v>909</v>
      </c>
      <c r="W114" s="42" t="s">
        <v>909</v>
      </c>
      <c r="X114" s="42" t="s">
        <v>909</v>
      </c>
      <c r="Y114" s="42" t="s">
        <v>909</v>
      </c>
      <c r="Z114" s="42" t="s">
        <v>909</v>
      </c>
      <c r="AA114" s="42" t="s">
        <v>909</v>
      </c>
      <c r="AB114" s="42" t="s">
        <v>909</v>
      </c>
      <c r="AC114" s="42" t="s">
        <v>909</v>
      </c>
      <c r="AD114" s="42" t="s">
        <v>909</v>
      </c>
      <c r="AE114" s="42" t="s">
        <v>909</v>
      </c>
      <c r="AF114" s="42" t="s">
        <v>909</v>
      </c>
      <c r="AG114" s="42" t="s">
        <v>909</v>
      </c>
      <c r="AH114" s="42" t="s">
        <v>909</v>
      </c>
      <c r="AI114" s="42" t="s">
        <v>909</v>
      </c>
      <c r="AJ114" s="57" t="s">
        <v>909</v>
      </c>
      <c r="AK114" s="57" t="s">
        <v>909</v>
      </c>
      <c r="AL114" s="57" t="s">
        <v>909</v>
      </c>
      <c r="AM114" s="57" t="s">
        <v>909</v>
      </c>
    </row>
    <row r="115" spans="1:39" s="149" customFormat="1" x14ac:dyDescent="0.25">
      <c r="A115" s="88" t="s">
        <v>792</v>
      </c>
      <c r="B115" s="88" t="s">
        <v>909</v>
      </c>
      <c r="C115" s="88" t="s">
        <v>909</v>
      </c>
      <c r="D115" s="88" t="s">
        <v>909</v>
      </c>
      <c r="E115" s="88" t="s">
        <v>909</v>
      </c>
      <c r="F115" s="88" t="s">
        <v>909</v>
      </c>
      <c r="G115" s="88" t="s">
        <v>909</v>
      </c>
      <c r="H115" s="88" t="s">
        <v>909</v>
      </c>
      <c r="I115" s="88" t="s">
        <v>909</v>
      </c>
      <c r="J115" s="88" t="s">
        <v>909</v>
      </c>
      <c r="K115" s="88" t="s">
        <v>909</v>
      </c>
      <c r="L115" s="88" t="s">
        <v>909</v>
      </c>
      <c r="M115" s="88" t="s">
        <v>909</v>
      </c>
      <c r="N115" s="88" t="s">
        <v>909</v>
      </c>
      <c r="O115" s="88" t="s">
        <v>909</v>
      </c>
      <c r="P115" s="88" t="s">
        <v>909</v>
      </c>
      <c r="Q115" s="88" t="s">
        <v>909</v>
      </c>
      <c r="R115" s="88" t="s">
        <v>909</v>
      </c>
      <c r="S115" s="88" t="s">
        <v>909</v>
      </c>
      <c r="T115" s="148"/>
      <c r="U115" s="88" t="s">
        <v>909</v>
      </c>
      <c r="V115" s="88" t="s">
        <v>909</v>
      </c>
      <c r="W115" s="88" t="s">
        <v>909</v>
      </c>
      <c r="X115" s="88" t="s">
        <v>909</v>
      </c>
      <c r="Y115" s="88" t="s">
        <v>909</v>
      </c>
      <c r="Z115" s="88" t="s">
        <v>909</v>
      </c>
      <c r="AA115" s="88" t="s">
        <v>909</v>
      </c>
      <c r="AB115" s="88" t="s">
        <v>909</v>
      </c>
      <c r="AC115" s="88" t="s">
        <v>909</v>
      </c>
      <c r="AD115" s="88" t="s">
        <v>909</v>
      </c>
      <c r="AE115" s="88" t="s">
        <v>909</v>
      </c>
      <c r="AF115" s="88" t="s">
        <v>909</v>
      </c>
      <c r="AG115" s="88" t="s">
        <v>909</v>
      </c>
      <c r="AH115" s="88" t="s">
        <v>909</v>
      </c>
      <c r="AI115" s="88" t="s">
        <v>909</v>
      </c>
      <c r="AJ115" s="149" t="s">
        <v>909</v>
      </c>
      <c r="AK115" s="149" t="s">
        <v>909</v>
      </c>
      <c r="AL115" s="149" t="s">
        <v>909</v>
      </c>
      <c r="AM115" s="149" t="s">
        <v>909</v>
      </c>
    </row>
    <row r="116" spans="1:39" s="149" customFormat="1" x14ac:dyDescent="0.25">
      <c r="A116" s="88" t="s">
        <v>793</v>
      </c>
      <c r="B116" s="88" t="s">
        <v>909</v>
      </c>
      <c r="C116" s="88" t="s">
        <v>909</v>
      </c>
      <c r="D116" s="88" t="s">
        <v>909</v>
      </c>
      <c r="E116" s="88" t="s">
        <v>909</v>
      </c>
      <c r="F116" s="88" t="s">
        <v>909</v>
      </c>
      <c r="G116" s="88" t="s">
        <v>909</v>
      </c>
      <c r="H116" s="88" t="s">
        <v>909</v>
      </c>
      <c r="I116" s="88" t="s">
        <v>909</v>
      </c>
      <c r="J116" s="88" t="s">
        <v>909</v>
      </c>
      <c r="K116" s="88" t="s">
        <v>909</v>
      </c>
      <c r="L116" s="88" t="s">
        <v>909</v>
      </c>
      <c r="M116" s="88" t="s">
        <v>909</v>
      </c>
      <c r="N116" s="88" t="s">
        <v>909</v>
      </c>
      <c r="O116" s="88" t="s">
        <v>909</v>
      </c>
      <c r="P116" s="88" t="s">
        <v>909</v>
      </c>
      <c r="Q116" s="88" t="s">
        <v>909</v>
      </c>
      <c r="R116" s="88" t="s">
        <v>909</v>
      </c>
      <c r="S116" s="88" t="s">
        <v>909</v>
      </c>
      <c r="T116" s="148"/>
      <c r="U116" s="88" t="s">
        <v>909</v>
      </c>
      <c r="V116" s="88" t="s">
        <v>909</v>
      </c>
      <c r="W116" s="88" t="s">
        <v>909</v>
      </c>
      <c r="X116" s="88" t="s">
        <v>909</v>
      </c>
      <c r="Y116" s="88" t="s">
        <v>909</v>
      </c>
      <c r="Z116" s="88" t="s">
        <v>909</v>
      </c>
      <c r="AA116" s="88" t="s">
        <v>909</v>
      </c>
      <c r="AB116" s="88" t="s">
        <v>909</v>
      </c>
      <c r="AC116" s="88" t="s">
        <v>909</v>
      </c>
      <c r="AD116" s="88" t="s">
        <v>909</v>
      </c>
      <c r="AE116" s="88" t="s">
        <v>909</v>
      </c>
      <c r="AF116" s="88" t="s">
        <v>909</v>
      </c>
      <c r="AG116" s="88" t="s">
        <v>909</v>
      </c>
      <c r="AH116" s="88" t="s">
        <v>909</v>
      </c>
      <c r="AI116" s="88" t="s">
        <v>909</v>
      </c>
      <c r="AJ116" s="149" t="s">
        <v>909</v>
      </c>
      <c r="AK116" s="149" t="s">
        <v>909</v>
      </c>
      <c r="AL116" s="149" t="s">
        <v>909</v>
      </c>
      <c r="AM116" s="149" t="s">
        <v>909</v>
      </c>
    </row>
    <row r="117" spans="1:39" s="149" customFormat="1" x14ac:dyDescent="0.25">
      <c r="A117" s="88" t="s">
        <v>794</v>
      </c>
      <c r="B117" s="88" t="s">
        <v>909</v>
      </c>
      <c r="C117" s="88" t="s">
        <v>909</v>
      </c>
      <c r="D117" s="88" t="s">
        <v>909</v>
      </c>
      <c r="E117" s="88" t="s">
        <v>909</v>
      </c>
      <c r="F117" s="88" t="s">
        <v>909</v>
      </c>
      <c r="G117" s="88" t="s">
        <v>909</v>
      </c>
      <c r="H117" s="88" t="s">
        <v>909</v>
      </c>
      <c r="I117" s="88" t="s">
        <v>909</v>
      </c>
      <c r="J117" s="88" t="s">
        <v>909</v>
      </c>
      <c r="K117" s="88" t="s">
        <v>909</v>
      </c>
      <c r="L117" s="88" t="s">
        <v>909</v>
      </c>
      <c r="M117" s="88" t="s">
        <v>909</v>
      </c>
      <c r="N117" s="88" t="s">
        <v>909</v>
      </c>
      <c r="O117" s="88" t="s">
        <v>909</v>
      </c>
      <c r="P117" s="88" t="s">
        <v>909</v>
      </c>
      <c r="Q117" s="88" t="s">
        <v>909</v>
      </c>
      <c r="R117" s="88" t="s">
        <v>909</v>
      </c>
      <c r="S117" s="88" t="s">
        <v>909</v>
      </c>
      <c r="T117" s="148"/>
      <c r="U117" s="88" t="s">
        <v>909</v>
      </c>
      <c r="V117" s="88" t="s">
        <v>909</v>
      </c>
      <c r="W117" s="88" t="s">
        <v>909</v>
      </c>
      <c r="X117" s="88" t="s">
        <v>909</v>
      </c>
      <c r="Y117" s="88" t="s">
        <v>909</v>
      </c>
      <c r="Z117" s="88" t="s">
        <v>909</v>
      </c>
      <c r="AA117" s="88" t="s">
        <v>909</v>
      </c>
      <c r="AB117" s="88" t="s">
        <v>909</v>
      </c>
      <c r="AC117" s="88" t="s">
        <v>909</v>
      </c>
      <c r="AD117" s="88" t="s">
        <v>909</v>
      </c>
      <c r="AE117" s="88" t="s">
        <v>909</v>
      </c>
      <c r="AF117" s="88" t="s">
        <v>909</v>
      </c>
      <c r="AG117" s="88" t="s">
        <v>909</v>
      </c>
      <c r="AH117" s="88" t="s">
        <v>909</v>
      </c>
      <c r="AI117" s="88" t="s">
        <v>909</v>
      </c>
      <c r="AJ117" s="149" t="s">
        <v>909</v>
      </c>
      <c r="AK117" s="149" t="s">
        <v>909</v>
      </c>
      <c r="AL117" s="149" t="s">
        <v>909</v>
      </c>
      <c r="AM117" s="149" t="s">
        <v>909</v>
      </c>
    </row>
    <row r="118" spans="1:39" x14ac:dyDescent="0.25">
      <c r="A118" s="42" t="s">
        <v>795</v>
      </c>
      <c r="B118" s="42" t="s">
        <v>909</v>
      </c>
      <c r="C118" s="42" t="s">
        <v>909</v>
      </c>
      <c r="D118" s="42" t="s">
        <v>909</v>
      </c>
      <c r="E118" s="42" t="s">
        <v>909</v>
      </c>
      <c r="F118" s="42" t="s">
        <v>909</v>
      </c>
      <c r="G118" s="42" t="s">
        <v>909</v>
      </c>
      <c r="H118" s="42" t="s">
        <v>909</v>
      </c>
      <c r="I118" s="42" t="s">
        <v>909</v>
      </c>
      <c r="J118" s="42" t="s">
        <v>909</v>
      </c>
      <c r="K118" s="42" t="s">
        <v>909</v>
      </c>
      <c r="L118" s="42" t="s">
        <v>909</v>
      </c>
      <c r="M118" s="42" t="s">
        <v>909</v>
      </c>
      <c r="N118" s="42" t="s">
        <v>909</v>
      </c>
      <c r="O118" s="42" t="s">
        <v>909</v>
      </c>
      <c r="P118" s="42" t="s">
        <v>909</v>
      </c>
      <c r="Q118" s="42" t="s">
        <v>909</v>
      </c>
      <c r="R118" s="42" t="s">
        <v>909</v>
      </c>
      <c r="S118" s="42" t="s">
        <v>909</v>
      </c>
      <c r="U118" s="42" t="s">
        <v>909</v>
      </c>
      <c r="V118" s="42" t="s">
        <v>909</v>
      </c>
      <c r="W118" s="42" t="s">
        <v>909</v>
      </c>
      <c r="X118" s="42" t="s">
        <v>909</v>
      </c>
      <c r="Y118" s="42" t="s">
        <v>909</v>
      </c>
      <c r="Z118" s="42" t="s">
        <v>909</v>
      </c>
      <c r="AA118" s="42" t="s">
        <v>909</v>
      </c>
      <c r="AB118" s="42" t="s">
        <v>909</v>
      </c>
      <c r="AC118" s="42" t="s">
        <v>909</v>
      </c>
      <c r="AD118" s="42" t="s">
        <v>909</v>
      </c>
      <c r="AE118" s="42" t="s">
        <v>909</v>
      </c>
      <c r="AF118" s="42" t="s">
        <v>909</v>
      </c>
      <c r="AG118" s="42" t="s">
        <v>909</v>
      </c>
      <c r="AH118" s="42" t="s">
        <v>909</v>
      </c>
      <c r="AI118" s="42" t="s">
        <v>909</v>
      </c>
      <c r="AJ118" s="57" t="s">
        <v>909</v>
      </c>
      <c r="AK118" s="57" t="s">
        <v>909</v>
      </c>
      <c r="AL118" s="57" t="s">
        <v>909</v>
      </c>
      <c r="AM118" s="57" t="s">
        <v>909</v>
      </c>
    </row>
    <row r="119" spans="1:39" x14ac:dyDescent="0.25">
      <c r="A119" s="42" t="s">
        <v>796</v>
      </c>
      <c r="B119" s="42" t="s">
        <v>909</v>
      </c>
      <c r="C119" s="42" t="s">
        <v>909</v>
      </c>
      <c r="D119" s="42" t="s">
        <v>909</v>
      </c>
      <c r="E119" s="42" t="s">
        <v>909</v>
      </c>
      <c r="F119" s="42" t="s">
        <v>909</v>
      </c>
      <c r="G119" s="42" t="s">
        <v>909</v>
      </c>
      <c r="H119" s="42" t="s">
        <v>909</v>
      </c>
      <c r="I119" s="42" t="s">
        <v>909</v>
      </c>
      <c r="J119" s="42" t="s">
        <v>909</v>
      </c>
      <c r="K119" s="42" t="s">
        <v>909</v>
      </c>
      <c r="L119" s="42" t="s">
        <v>909</v>
      </c>
      <c r="M119" s="42" t="s">
        <v>909</v>
      </c>
      <c r="N119" s="42" t="s">
        <v>909</v>
      </c>
      <c r="O119" s="42" t="s">
        <v>909</v>
      </c>
      <c r="P119" s="42" t="s">
        <v>909</v>
      </c>
      <c r="Q119" s="42" t="s">
        <v>909</v>
      </c>
      <c r="R119" s="42" t="s">
        <v>909</v>
      </c>
      <c r="S119" s="42" t="s">
        <v>909</v>
      </c>
      <c r="U119" s="42" t="s">
        <v>909</v>
      </c>
      <c r="V119" s="42" t="s">
        <v>909</v>
      </c>
      <c r="W119" s="42" t="s">
        <v>909</v>
      </c>
      <c r="X119" s="42" t="s">
        <v>909</v>
      </c>
      <c r="Y119" s="42" t="s">
        <v>909</v>
      </c>
      <c r="Z119" s="42" t="s">
        <v>909</v>
      </c>
      <c r="AA119" s="42" t="s">
        <v>909</v>
      </c>
      <c r="AB119" s="42" t="s">
        <v>909</v>
      </c>
      <c r="AC119" s="42" t="s">
        <v>909</v>
      </c>
      <c r="AD119" s="42" t="s">
        <v>909</v>
      </c>
      <c r="AE119" s="42" t="s">
        <v>909</v>
      </c>
      <c r="AF119" s="42" t="s">
        <v>909</v>
      </c>
      <c r="AG119" s="42" t="s">
        <v>909</v>
      </c>
      <c r="AH119" s="42" t="s">
        <v>909</v>
      </c>
      <c r="AI119" s="42" t="s">
        <v>909</v>
      </c>
      <c r="AJ119" s="57" t="s">
        <v>909</v>
      </c>
      <c r="AK119" s="57" t="s">
        <v>909</v>
      </c>
      <c r="AL119" s="57" t="s">
        <v>909</v>
      </c>
      <c r="AM119" s="57" t="s">
        <v>909</v>
      </c>
    </row>
    <row r="120" spans="1:39" x14ac:dyDescent="0.25">
      <c r="A120" s="42" t="s">
        <v>797</v>
      </c>
      <c r="B120" s="42" t="s">
        <v>909</v>
      </c>
      <c r="C120" s="42" t="s">
        <v>909</v>
      </c>
      <c r="D120" s="42" t="s">
        <v>909</v>
      </c>
      <c r="E120" s="42" t="s">
        <v>909</v>
      </c>
      <c r="F120" s="42" t="s">
        <v>909</v>
      </c>
      <c r="G120" s="42" t="s">
        <v>909</v>
      </c>
      <c r="H120" s="42" t="s">
        <v>909</v>
      </c>
      <c r="I120" s="42" t="s">
        <v>909</v>
      </c>
      <c r="J120" s="42" t="s">
        <v>909</v>
      </c>
      <c r="K120" s="42" t="s">
        <v>909</v>
      </c>
      <c r="L120" s="42" t="s">
        <v>909</v>
      </c>
      <c r="M120" s="42" t="s">
        <v>909</v>
      </c>
      <c r="N120" s="42" t="s">
        <v>909</v>
      </c>
      <c r="O120" s="42" t="s">
        <v>909</v>
      </c>
      <c r="P120" s="42" t="s">
        <v>909</v>
      </c>
      <c r="Q120" s="42" t="s">
        <v>909</v>
      </c>
      <c r="R120" s="42" t="s">
        <v>909</v>
      </c>
      <c r="S120" s="42" t="s">
        <v>909</v>
      </c>
      <c r="U120" s="42" t="s">
        <v>909</v>
      </c>
      <c r="V120" s="42" t="s">
        <v>909</v>
      </c>
      <c r="W120" s="42" t="s">
        <v>909</v>
      </c>
      <c r="X120" s="42" t="s">
        <v>909</v>
      </c>
      <c r="Y120" s="42" t="s">
        <v>909</v>
      </c>
      <c r="Z120" s="42" t="s">
        <v>909</v>
      </c>
      <c r="AA120" s="42" t="s">
        <v>909</v>
      </c>
      <c r="AB120" s="42" t="s">
        <v>909</v>
      </c>
      <c r="AC120" s="42" t="s">
        <v>909</v>
      </c>
      <c r="AD120" s="42" t="s">
        <v>909</v>
      </c>
      <c r="AE120" s="42" t="s">
        <v>909</v>
      </c>
      <c r="AF120" s="42" t="s">
        <v>909</v>
      </c>
      <c r="AG120" s="42" t="s">
        <v>909</v>
      </c>
      <c r="AH120" s="42" t="s">
        <v>909</v>
      </c>
      <c r="AI120" s="42" t="s">
        <v>909</v>
      </c>
      <c r="AJ120" s="57" t="s">
        <v>909</v>
      </c>
      <c r="AK120" s="57" t="s">
        <v>909</v>
      </c>
      <c r="AL120" s="57" t="s">
        <v>909</v>
      </c>
      <c r="AM120" s="57" t="s">
        <v>909</v>
      </c>
    </row>
    <row r="121" spans="1:39" x14ac:dyDescent="0.25">
      <c r="A121" s="42" t="s">
        <v>674</v>
      </c>
      <c r="B121" s="42" t="s">
        <v>909</v>
      </c>
      <c r="C121" s="42" t="s">
        <v>909</v>
      </c>
      <c r="D121" s="42" t="s">
        <v>909</v>
      </c>
      <c r="E121" s="42" t="s">
        <v>909</v>
      </c>
      <c r="F121" s="42" t="s">
        <v>909</v>
      </c>
      <c r="G121" s="42" t="s">
        <v>909</v>
      </c>
      <c r="H121" s="42" t="s">
        <v>909</v>
      </c>
      <c r="I121" s="42" t="s">
        <v>909</v>
      </c>
      <c r="J121" s="42" t="s">
        <v>909</v>
      </c>
      <c r="K121" s="42" t="s">
        <v>909</v>
      </c>
      <c r="L121" s="42" t="s">
        <v>909</v>
      </c>
      <c r="M121" s="42" t="s">
        <v>909</v>
      </c>
      <c r="N121" s="42" t="s">
        <v>909</v>
      </c>
      <c r="O121" s="42" t="s">
        <v>909</v>
      </c>
      <c r="P121" s="42" t="s">
        <v>909</v>
      </c>
      <c r="Q121" s="42" t="s">
        <v>909</v>
      </c>
      <c r="R121" s="42" t="s">
        <v>909</v>
      </c>
      <c r="S121" s="42" t="s">
        <v>909</v>
      </c>
      <c r="U121" s="42" t="s">
        <v>909</v>
      </c>
      <c r="V121" s="42" t="s">
        <v>909</v>
      </c>
      <c r="W121" s="42" t="s">
        <v>909</v>
      </c>
      <c r="X121" s="42" t="s">
        <v>909</v>
      </c>
      <c r="Y121" s="42" t="s">
        <v>909</v>
      </c>
      <c r="Z121" s="42" t="s">
        <v>909</v>
      </c>
      <c r="AA121" s="42" t="s">
        <v>909</v>
      </c>
      <c r="AB121" s="42" t="s">
        <v>909</v>
      </c>
      <c r="AC121" s="42" t="s">
        <v>909</v>
      </c>
      <c r="AD121" s="42" t="s">
        <v>909</v>
      </c>
      <c r="AE121" s="42" t="s">
        <v>909</v>
      </c>
      <c r="AF121" s="42" t="s">
        <v>909</v>
      </c>
      <c r="AG121" s="42" t="s">
        <v>909</v>
      </c>
      <c r="AH121" s="42" t="s">
        <v>909</v>
      </c>
      <c r="AI121" s="42" t="s">
        <v>909</v>
      </c>
      <c r="AJ121" s="57" t="s">
        <v>909</v>
      </c>
      <c r="AK121" s="57" t="s">
        <v>909</v>
      </c>
      <c r="AL121" s="57" t="s">
        <v>909</v>
      </c>
      <c r="AM121" s="57" t="s">
        <v>909</v>
      </c>
    </row>
    <row r="122" spans="1:39" x14ac:dyDescent="0.25">
      <c r="A122" s="54" t="s">
        <v>646</v>
      </c>
      <c r="B122" s="42" t="s">
        <v>909</v>
      </c>
      <c r="C122" s="42" t="s">
        <v>909</v>
      </c>
      <c r="D122" s="42" t="s">
        <v>909</v>
      </c>
      <c r="E122" s="42" t="s">
        <v>909</v>
      </c>
      <c r="F122" s="42" t="s">
        <v>909</v>
      </c>
      <c r="G122" s="42" t="s">
        <v>909</v>
      </c>
      <c r="H122" s="42" t="s">
        <v>909</v>
      </c>
      <c r="I122" s="42" t="s">
        <v>909</v>
      </c>
      <c r="J122" s="42" t="s">
        <v>909</v>
      </c>
      <c r="K122" s="42" t="s">
        <v>909</v>
      </c>
      <c r="L122" s="42" t="s">
        <v>909</v>
      </c>
      <c r="M122" s="42" t="s">
        <v>909</v>
      </c>
      <c r="N122" s="42" t="s">
        <v>909</v>
      </c>
      <c r="O122" s="42" t="s">
        <v>909</v>
      </c>
      <c r="P122" s="42" t="s">
        <v>909</v>
      </c>
      <c r="Q122" s="42" t="s">
        <v>909</v>
      </c>
      <c r="R122" s="42" t="s">
        <v>909</v>
      </c>
      <c r="S122" s="42" t="s">
        <v>909</v>
      </c>
      <c r="U122" s="42" t="s">
        <v>909</v>
      </c>
      <c r="V122" s="42" t="s">
        <v>909</v>
      </c>
      <c r="W122" s="42" t="s">
        <v>909</v>
      </c>
      <c r="X122" s="42" t="s">
        <v>909</v>
      </c>
      <c r="Y122" s="42" t="s">
        <v>909</v>
      </c>
      <c r="Z122" s="42" t="s">
        <v>909</v>
      </c>
      <c r="AA122" s="42" t="s">
        <v>909</v>
      </c>
      <c r="AB122" s="42" t="s">
        <v>909</v>
      </c>
      <c r="AC122" s="42" t="s">
        <v>909</v>
      </c>
      <c r="AD122" s="42" t="s">
        <v>909</v>
      </c>
      <c r="AE122" s="42" t="s">
        <v>909</v>
      </c>
      <c r="AF122" s="42" t="s">
        <v>909</v>
      </c>
      <c r="AG122" s="42" t="s">
        <v>909</v>
      </c>
      <c r="AH122" s="42" t="s">
        <v>909</v>
      </c>
      <c r="AI122" s="42" t="s">
        <v>909</v>
      </c>
      <c r="AJ122" s="57" t="s">
        <v>909</v>
      </c>
      <c r="AK122" s="57" t="s">
        <v>909</v>
      </c>
      <c r="AL122" s="57" t="s">
        <v>909</v>
      </c>
      <c r="AM122" s="57" t="s">
        <v>909</v>
      </c>
    </row>
    <row r="123" spans="1:39" x14ac:dyDescent="0.25">
      <c r="A123" s="42" t="s">
        <v>676</v>
      </c>
      <c r="B123" s="42" t="s">
        <v>909</v>
      </c>
      <c r="C123" s="42" t="s">
        <v>909</v>
      </c>
      <c r="D123" s="42" t="s">
        <v>909</v>
      </c>
      <c r="E123" s="42" t="s">
        <v>909</v>
      </c>
      <c r="F123" s="42" t="s">
        <v>909</v>
      </c>
      <c r="G123" s="42" t="s">
        <v>909</v>
      </c>
      <c r="H123" s="42" t="s">
        <v>909</v>
      </c>
      <c r="I123" s="42" t="s">
        <v>909</v>
      </c>
      <c r="J123" s="42" t="s">
        <v>909</v>
      </c>
      <c r="K123" s="42" t="s">
        <v>909</v>
      </c>
      <c r="L123" s="42" t="s">
        <v>909</v>
      </c>
      <c r="M123" s="42" t="s">
        <v>909</v>
      </c>
      <c r="N123" s="42" t="s">
        <v>909</v>
      </c>
      <c r="O123" s="42" t="s">
        <v>909</v>
      </c>
      <c r="P123" s="42" t="s">
        <v>909</v>
      </c>
      <c r="Q123" s="42" t="s">
        <v>909</v>
      </c>
      <c r="R123" s="42" t="s">
        <v>909</v>
      </c>
      <c r="S123" s="42" t="s">
        <v>909</v>
      </c>
      <c r="U123" s="42" t="s">
        <v>909</v>
      </c>
      <c r="V123" s="42" t="s">
        <v>909</v>
      </c>
      <c r="W123" s="42" t="s">
        <v>909</v>
      </c>
      <c r="X123" s="42" t="s">
        <v>909</v>
      </c>
      <c r="Y123" s="42" t="s">
        <v>909</v>
      </c>
      <c r="Z123" s="42" t="s">
        <v>909</v>
      </c>
      <c r="AA123" s="42" t="s">
        <v>909</v>
      </c>
      <c r="AB123" s="42" t="s">
        <v>909</v>
      </c>
      <c r="AC123" s="42" t="s">
        <v>909</v>
      </c>
      <c r="AD123" s="42" t="s">
        <v>909</v>
      </c>
      <c r="AE123" s="42" t="s">
        <v>909</v>
      </c>
      <c r="AF123" s="42" t="s">
        <v>909</v>
      </c>
      <c r="AG123" s="42" t="s">
        <v>909</v>
      </c>
      <c r="AH123" s="42" t="s">
        <v>909</v>
      </c>
      <c r="AI123" s="42" t="s">
        <v>909</v>
      </c>
      <c r="AJ123" s="57" t="s">
        <v>909</v>
      </c>
      <c r="AK123" s="57" t="s">
        <v>909</v>
      </c>
      <c r="AL123" s="57" t="s">
        <v>909</v>
      </c>
      <c r="AM123" s="57" t="s">
        <v>909</v>
      </c>
    </row>
    <row r="124" spans="1:39" x14ac:dyDescent="0.25">
      <c r="A124" s="42" t="s">
        <v>995</v>
      </c>
      <c r="B124" s="42" t="s">
        <v>909</v>
      </c>
      <c r="C124" s="42" t="s">
        <v>909</v>
      </c>
      <c r="D124" s="42" t="s">
        <v>909</v>
      </c>
      <c r="E124" s="42" t="s">
        <v>909</v>
      </c>
      <c r="F124" s="42" t="s">
        <v>909</v>
      </c>
      <c r="G124" s="42" t="s">
        <v>909</v>
      </c>
      <c r="H124" s="42" t="s">
        <v>909</v>
      </c>
      <c r="I124" s="42" t="s">
        <v>909</v>
      </c>
      <c r="J124" s="42" t="s">
        <v>909</v>
      </c>
      <c r="K124" s="42" t="s">
        <v>909</v>
      </c>
      <c r="L124" s="42" t="s">
        <v>909</v>
      </c>
      <c r="M124" s="42" t="s">
        <v>909</v>
      </c>
      <c r="N124" s="42" t="s">
        <v>909</v>
      </c>
      <c r="O124" s="42" t="s">
        <v>909</v>
      </c>
      <c r="P124" s="42" t="s">
        <v>909</v>
      </c>
      <c r="Q124" s="42" t="s">
        <v>909</v>
      </c>
      <c r="R124" s="42" t="s">
        <v>909</v>
      </c>
      <c r="S124" s="42" t="s">
        <v>909</v>
      </c>
      <c r="U124" s="42" t="s">
        <v>909</v>
      </c>
      <c r="V124" s="42" t="s">
        <v>909</v>
      </c>
      <c r="W124" s="42" t="s">
        <v>909</v>
      </c>
      <c r="X124" s="42" t="s">
        <v>909</v>
      </c>
      <c r="Y124" s="42" t="s">
        <v>909</v>
      </c>
      <c r="Z124" s="42" t="s">
        <v>909</v>
      </c>
      <c r="AA124" s="42" t="s">
        <v>909</v>
      </c>
      <c r="AB124" s="42" t="s">
        <v>909</v>
      </c>
      <c r="AC124" s="42" t="s">
        <v>909</v>
      </c>
      <c r="AD124" s="42" t="s">
        <v>909</v>
      </c>
      <c r="AE124" s="42" t="s">
        <v>909</v>
      </c>
      <c r="AF124" s="42" t="s">
        <v>909</v>
      </c>
      <c r="AG124" s="42" t="s">
        <v>909</v>
      </c>
      <c r="AH124" s="42" t="s">
        <v>909</v>
      </c>
      <c r="AI124" s="42" t="s">
        <v>909</v>
      </c>
      <c r="AJ124" s="57" t="s">
        <v>909</v>
      </c>
      <c r="AK124" s="57" t="s">
        <v>909</v>
      </c>
      <c r="AL124" s="57" t="s">
        <v>909</v>
      </c>
      <c r="AM124" s="57" t="s">
        <v>909</v>
      </c>
    </row>
    <row r="125" spans="1:39" x14ac:dyDescent="0.25">
      <c r="A125" s="42" t="s">
        <v>682</v>
      </c>
      <c r="B125" s="42" t="s">
        <v>909</v>
      </c>
      <c r="C125" s="42" t="s">
        <v>909</v>
      </c>
      <c r="D125" s="42" t="s">
        <v>909</v>
      </c>
      <c r="E125" s="42" t="s">
        <v>909</v>
      </c>
      <c r="F125" s="42" t="s">
        <v>909</v>
      </c>
      <c r="G125" s="42" t="s">
        <v>909</v>
      </c>
      <c r="H125" s="42" t="s">
        <v>909</v>
      </c>
      <c r="I125" s="42" t="s">
        <v>909</v>
      </c>
      <c r="J125" s="42" t="s">
        <v>909</v>
      </c>
      <c r="K125" s="42" t="s">
        <v>909</v>
      </c>
      <c r="L125" s="42" t="s">
        <v>909</v>
      </c>
      <c r="M125" s="42" t="s">
        <v>909</v>
      </c>
      <c r="N125" s="42" t="s">
        <v>909</v>
      </c>
      <c r="O125" s="42" t="s">
        <v>909</v>
      </c>
      <c r="P125" s="42" t="s">
        <v>909</v>
      </c>
      <c r="Q125" s="42" t="s">
        <v>909</v>
      </c>
      <c r="R125" s="42" t="s">
        <v>909</v>
      </c>
      <c r="S125" s="42" t="s">
        <v>909</v>
      </c>
      <c r="U125" s="42" t="s">
        <v>909</v>
      </c>
      <c r="V125" s="42" t="s">
        <v>909</v>
      </c>
      <c r="W125" s="42" t="s">
        <v>909</v>
      </c>
      <c r="X125" s="42" t="s">
        <v>909</v>
      </c>
      <c r="Y125" s="42" t="s">
        <v>909</v>
      </c>
      <c r="Z125" s="42" t="s">
        <v>909</v>
      </c>
      <c r="AA125" s="42" t="s">
        <v>909</v>
      </c>
      <c r="AB125" s="42" t="s">
        <v>909</v>
      </c>
      <c r="AC125" s="42" t="s">
        <v>909</v>
      </c>
      <c r="AD125" s="42" t="s">
        <v>909</v>
      </c>
      <c r="AE125" s="42" t="s">
        <v>909</v>
      </c>
      <c r="AF125" s="42" t="s">
        <v>909</v>
      </c>
      <c r="AG125" s="42" t="s">
        <v>909</v>
      </c>
      <c r="AH125" s="42" t="s">
        <v>909</v>
      </c>
      <c r="AI125" s="42" t="s">
        <v>909</v>
      </c>
      <c r="AJ125" s="57" t="s">
        <v>909</v>
      </c>
      <c r="AK125" s="57" t="s">
        <v>909</v>
      </c>
      <c r="AL125" s="57" t="s">
        <v>909</v>
      </c>
      <c r="AM125" s="57" t="s">
        <v>909</v>
      </c>
    </row>
    <row r="126" spans="1:39" x14ac:dyDescent="0.25">
      <c r="A126" s="42" t="s">
        <v>952</v>
      </c>
      <c r="B126" s="42" t="s">
        <v>909</v>
      </c>
      <c r="C126" s="42" t="s">
        <v>909</v>
      </c>
      <c r="D126" s="42" t="s">
        <v>909</v>
      </c>
      <c r="E126" s="42" t="s">
        <v>909</v>
      </c>
      <c r="F126" s="42" t="s">
        <v>909</v>
      </c>
      <c r="G126" s="42" t="s">
        <v>909</v>
      </c>
      <c r="H126" s="42" t="s">
        <v>909</v>
      </c>
      <c r="I126" s="42" t="s">
        <v>909</v>
      </c>
      <c r="J126" s="42" t="s">
        <v>909</v>
      </c>
      <c r="K126" s="42" t="s">
        <v>909</v>
      </c>
      <c r="L126" s="42" t="s">
        <v>909</v>
      </c>
      <c r="M126" s="42" t="s">
        <v>909</v>
      </c>
      <c r="N126" s="42" t="s">
        <v>909</v>
      </c>
      <c r="O126" s="42" t="s">
        <v>909</v>
      </c>
      <c r="P126" s="42" t="s">
        <v>909</v>
      </c>
      <c r="Q126" s="42" t="s">
        <v>909</v>
      </c>
      <c r="R126" s="42" t="s">
        <v>909</v>
      </c>
      <c r="S126" s="42" t="s">
        <v>909</v>
      </c>
      <c r="U126" s="42" t="s">
        <v>909</v>
      </c>
      <c r="V126" s="42" t="s">
        <v>909</v>
      </c>
      <c r="W126" s="42" t="s">
        <v>909</v>
      </c>
      <c r="X126" s="42" t="s">
        <v>909</v>
      </c>
      <c r="Y126" s="42" t="s">
        <v>909</v>
      </c>
      <c r="Z126" s="42" t="s">
        <v>909</v>
      </c>
      <c r="AA126" s="42" t="s">
        <v>909</v>
      </c>
      <c r="AB126" s="42" t="s">
        <v>909</v>
      </c>
      <c r="AC126" s="42" t="s">
        <v>909</v>
      </c>
      <c r="AD126" s="42" t="s">
        <v>909</v>
      </c>
      <c r="AE126" s="42" t="s">
        <v>909</v>
      </c>
      <c r="AF126" s="42" t="s">
        <v>909</v>
      </c>
      <c r="AG126" s="42" t="s">
        <v>909</v>
      </c>
      <c r="AH126" s="42" t="s">
        <v>909</v>
      </c>
      <c r="AI126" s="42" t="s">
        <v>909</v>
      </c>
      <c r="AJ126" s="57" t="s">
        <v>909</v>
      </c>
      <c r="AK126" s="57" t="s">
        <v>909</v>
      </c>
      <c r="AL126" s="57" t="s">
        <v>909</v>
      </c>
      <c r="AM126" s="57" t="s">
        <v>909</v>
      </c>
    </row>
    <row r="127" spans="1:39" x14ac:dyDescent="0.25">
      <c r="A127" s="42" t="s">
        <v>688</v>
      </c>
      <c r="B127" s="42" t="s">
        <v>909</v>
      </c>
      <c r="C127" s="42" t="s">
        <v>909</v>
      </c>
      <c r="D127" s="42" t="s">
        <v>909</v>
      </c>
      <c r="E127" s="42" t="s">
        <v>909</v>
      </c>
      <c r="F127" s="42" t="s">
        <v>909</v>
      </c>
      <c r="G127" s="42" t="s">
        <v>909</v>
      </c>
      <c r="H127" s="42" t="s">
        <v>909</v>
      </c>
      <c r="I127" s="42" t="s">
        <v>909</v>
      </c>
      <c r="J127" s="42" t="s">
        <v>909</v>
      </c>
      <c r="K127" s="42" t="s">
        <v>909</v>
      </c>
      <c r="L127" s="42" t="s">
        <v>909</v>
      </c>
      <c r="M127" s="42" t="s">
        <v>909</v>
      </c>
      <c r="N127" s="42" t="s">
        <v>909</v>
      </c>
      <c r="O127" s="42" t="s">
        <v>909</v>
      </c>
      <c r="P127" s="42" t="s">
        <v>909</v>
      </c>
      <c r="Q127" s="42" t="s">
        <v>909</v>
      </c>
      <c r="R127" s="42" t="s">
        <v>909</v>
      </c>
      <c r="S127" s="42" t="s">
        <v>909</v>
      </c>
      <c r="U127" s="42" t="s">
        <v>909</v>
      </c>
      <c r="V127" s="42" t="s">
        <v>909</v>
      </c>
      <c r="W127" s="42" t="s">
        <v>909</v>
      </c>
      <c r="X127" s="42" t="s">
        <v>909</v>
      </c>
      <c r="Y127" s="42" t="s">
        <v>909</v>
      </c>
      <c r="Z127" s="42" t="s">
        <v>909</v>
      </c>
      <c r="AA127" s="42" t="s">
        <v>909</v>
      </c>
      <c r="AB127" s="42" t="s">
        <v>909</v>
      </c>
      <c r="AC127" s="42" t="s">
        <v>909</v>
      </c>
      <c r="AD127" s="42" t="s">
        <v>909</v>
      </c>
      <c r="AE127" s="42" t="s">
        <v>909</v>
      </c>
      <c r="AF127" s="42" t="s">
        <v>909</v>
      </c>
      <c r="AG127" s="42" t="s">
        <v>909</v>
      </c>
      <c r="AH127" s="42" t="s">
        <v>909</v>
      </c>
      <c r="AI127" s="42" t="s">
        <v>909</v>
      </c>
      <c r="AJ127" s="57" t="s">
        <v>909</v>
      </c>
      <c r="AK127" s="57" t="s">
        <v>909</v>
      </c>
      <c r="AL127" s="57" t="s">
        <v>909</v>
      </c>
      <c r="AM127" s="57" t="s">
        <v>909</v>
      </c>
    </row>
    <row r="128" spans="1:39" x14ac:dyDescent="0.25">
      <c r="A128" s="42" t="s">
        <v>691</v>
      </c>
      <c r="B128" s="42" t="s">
        <v>909</v>
      </c>
      <c r="C128" s="42" t="s">
        <v>909</v>
      </c>
      <c r="D128" s="42" t="s">
        <v>909</v>
      </c>
      <c r="E128" s="42" t="s">
        <v>909</v>
      </c>
      <c r="F128" s="42" t="s">
        <v>909</v>
      </c>
      <c r="G128" s="42" t="s">
        <v>909</v>
      </c>
      <c r="H128" s="42" t="s">
        <v>909</v>
      </c>
      <c r="I128" s="42" t="s">
        <v>909</v>
      </c>
      <c r="J128" s="42" t="s">
        <v>909</v>
      </c>
      <c r="K128" s="42" t="s">
        <v>909</v>
      </c>
      <c r="L128" s="42" t="s">
        <v>909</v>
      </c>
      <c r="M128" s="42" t="s">
        <v>909</v>
      </c>
      <c r="N128" s="42" t="s">
        <v>909</v>
      </c>
      <c r="O128" s="42" t="s">
        <v>909</v>
      </c>
      <c r="P128" s="42" t="s">
        <v>909</v>
      </c>
      <c r="Q128" s="42" t="s">
        <v>909</v>
      </c>
      <c r="R128" s="42" t="s">
        <v>909</v>
      </c>
      <c r="S128" s="42" t="s">
        <v>909</v>
      </c>
      <c r="U128" s="42" t="s">
        <v>909</v>
      </c>
      <c r="V128" s="42" t="s">
        <v>909</v>
      </c>
      <c r="W128" s="42" t="s">
        <v>909</v>
      </c>
      <c r="X128" s="42" t="s">
        <v>909</v>
      </c>
      <c r="Y128" s="42" t="s">
        <v>909</v>
      </c>
      <c r="Z128" s="42" t="s">
        <v>909</v>
      </c>
      <c r="AA128" s="42" t="s">
        <v>909</v>
      </c>
      <c r="AB128" s="42" t="s">
        <v>909</v>
      </c>
      <c r="AC128" s="42" t="s">
        <v>909</v>
      </c>
      <c r="AD128" s="42" t="s">
        <v>909</v>
      </c>
      <c r="AE128" s="42" t="s">
        <v>909</v>
      </c>
      <c r="AF128" s="42" t="s">
        <v>909</v>
      </c>
      <c r="AG128" s="42" t="s">
        <v>909</v>
      </c>
      <c r="AH128" s="42" t="s">
        <v>909</v>
      </c>
      <c r="AI128" s="42" t="s">
        <v>909</v>
      </c>
      <c r="AJ128" s="57" t="s">
        <v>909</v>
      </c>
      <c r="AK128" s="57" t="s">
        <v>909</v>
      </c>
      <c r="AL128" s="57" t="s">
        <v>909</v>
      </c>
      <c r="AM128" s="57" t="s">
        <v>909</v>
      </c>
    </row>
    <row r="129" spans="1:39" x14ac:dyDescent="0.25">
      <c r="A129" s="88" t="s">
        <v>639</v>
      </c>
      <c r="B129" s="42" t="s">
        <v>909</v>
      </c>
      <c r="C129" s="42" t="s">
        <v>909</v>
      </c>
      <c r="D129" s="42" t="s">
        <v>909</v>
      </c>
      <c r="E129" s="42" t="s">
        <v>909</v>
      </c>
      <c r="F129" s="42" t="s">
        <v>909</v>
      </c>
      <c r="G129" s="42" t="s">
        <v>909</v>
      </c>
      <c r="H129" s="42" t="s">
        <v>909</v>
      </c>
      <c r="I129" s="42" t="s">
        <v>909</v>
      </c>
      <c r="J129" s="42" t="s">
        <v>909</v>
      </c>
      <c r="K129" s="42" t="s">
        <v>909</v>
      </c>
      <c r="L129" s="42" t="s">
        <v>909</v>
      </c>
      <c r="M129" s="42"/>
      <c r="N129" s="42" t="s">
        <v>909</v>
      </c>
      <c r="O129" s="42" t="s">
        <v>909</v>
      </c>
      <c r="P129" s="42" t="s">
        <v>909</v>
      </c>
      <c r="Q129" s="42" t="s">
        <v>909</v>
      </c>
      <c r="R129" s="42" t="s">
        <v>909</v>
      </c>
      <c r="S129" s="42"/>
      <c r="T129" s="90" t="s">
        <v>909</v>
      </c>
      <c r="U129" s="42" t="s">
        <v>909</v>
      </c>
      <c r="V129" s="42" t="s">
        <v>909</v>
      </c>
      <c r="W129" s="42" t="s">
        <v>909</v>
      </c>
      <c r="X129" s="42" t="s">
        <v>909</v>
      </c>
      <c r="Y129" s="42" t="s">
        <v>909</v>
      </c>
      <c r="Z129" s="42" t="s">
        <v>909</v>
      </c>
      <c r="AA129" s="42" t="s">
        <v>909</v>
      </c>
      <c r="AB129" s="42" t="s">
        <v>909</v>
      </c>
      <c r="AC129" s="42" t="s">
        <v>909</v>
      </c>
      <c r="AD129" s="42" t="s">
        <v>909</v>
      </c>
      <c r="AE129" s="42" t="s">
        <v>909</v>
      </c>
      <c r="AF129" s="42" t="s">
        <v>909</v>
      </c>
      <c r="AG129" s="42" t="s">
        <v>909</v>
      </c>
      <c r="AH129" s="42" t="s">
        <v>909</v>
      </c>
      <c r="AI129" s="42" t="s">
        <v>909</v>
      </c>
      <c r="AJ129" s="57" t="s">
        <v>909</v>
      </c>
      <c r="AK129" s="57" t="s">
        <v>909</v>
      </c>
      <c r="AL129" s="57" t="s">
        <v>909</v>
      </c>
      <c r="AM129" s="57" t="s">
        <v>909</v>
      </c>
    </row>
    <row r="130" spans="1:39" x14ac:dyDescent="0.25">
      <c r="A130" s="98" t="s">
        <v>1008</v>
      </c>
      <c r="B130" s="90" t="s">
        <v>909</v>
      </c>
      <c r="C130" s="90" t="s">
        <v>909</v>
      </c>
      <c r="D130" s="90" t="s">
        <v>909</v>
      </c>
      <c r="E130" s="90" t="s">
        <v>909</v>
      </c>
      <c r="F130" s="90" t="s">
        <v>909</v>
      </c>
      <c r="G130" s="90" t="s">
        <v>909</v>
      </c>
      <c r="H130" s="90" t="s">
        <v>909</v>
      </c>
      <c r="I130" s="90" t="s">
        <v>909</v>
      </c>
      <c r="J130" s="90" t="s">
        <v>909</v>
      </c>
      <c r="K130" s="90" t="s">
        <v>909</v>
      </c>
      <c r="L130" s="90" t="s">
        <v>909</v>
      </c>
      <c r="M130" s="90" t="s">
        <v>909</v>
      </c>
      <c r="N130" s="90" t="s">
        <v>909</v>
      </c>
      <c r="O130" s="90" t="s">
        <v>909</v>
      </c>
      <c r="P130" s="90" t="s">
        <v>909</v>
      </c>
      <c r="Q130" s="90" t="s">
        <v>909</v>
      </c>
      <c r="R130" s="90" t="s">
        <v>909</v>
      </c>
      <c r="S130" s="90" t="s">
        <v>909</v>
      </c>
      <c r="T130" s="90" t="s">
        <v>909</v>
      </c>
      <c r="U130" s="90" t="s">
        <v>909</v>
      </c>
      <c r="V130" s="90" t="s">
        <v>909</v>
      </c>
      <c r="W130" s="90" t="s">
        <v>909</v>
      </c>
      <c r="X130" s="90" t="s">
        <v>909</v>
      </c>
      <c r="Y130" s="90" t="s">
        <v>909</v>
      </c>
      <c r="Z130" s="90" t="s">
        <v>909</v>
      </c>
      <c r="AA130" s="90" t="s">
        <v>909</v>
      </c>
      <c r="AB130" s="90" t="s">
        <v>909</v>
      </c>
      <c r="AC130" s="90" t="s">
        <v>909</v>
      </c>
      <c r="AD130" s="90" t="s">
        <v>909</v>
      </c>
      <c r="AE130" s="90" t="s">
        <v>909</v>
      </c>
      <c r="AF130" s="90" t="s">
        <v>909</v>
      </c>
      <c r="AG130" s="90" t="s">
        <v>909</v>
      </c>
      <c r="AH130" s="90" t="s">
        <v>909</v>
      </c>
      <c r="AI130" s="90" t="s">
        <v>909</v>
      </c>
      <c r="AJ130" s="90" t="s">
        <v>909</v>
      </c>
      <c r="AL130" s="57" t="s">
        <v>909</v>
      </c>
      <c r="AM130" s="57" t="s">
        <v>909</v>
      </c>
    </row>
    <row r="131" spans="1:39" x14ac:dyDescent="0.25">
      <c r="A131" s="42" t="s">
        <v>1859</v>
      </c>
      <c r="B131" s="90" t="s">
        <v>909</v>
      </c>
      <c r="C131" s="90" t="s">
        <v>909</v>
      </c>
      <c r="D131" s="90" t="s">
        <v>909</v>
      </c>
      <c r="E131" s="90" t="s">
        <v>909</v>
      </c>
      <c r="F131" s="90" t="s">
        <v>909</v>
      </c>
      <c r="G131" s="90" t="s">
        <v>909</v>
      </c>
      <c r="H131" s="90" t="s">
        <v>909</v>
      </c>
      <c r="I131" s="90" t="s">
        <v>909</v>
      </c>
      <c r="J131" s="90" t="s">
        <v>909</v>
      </c>
      <c r="K131" s="90" t="s">
        <v>909</v>
      </c>
      <c r="L131" s="90" t="s">
        <v>909</v>
      </c>
      <c r="M131" s="90" t="s">
        <v>909</v>
      </c>
      <c r="N131" s="90" t="s">
        <v>909</v>
      </c>
      <c r="O131" s="90" t="s">
        <v>909</v>
      </c>
      <c r="P131" s="90" t="s">
        <v>909</v>
      </c>
      <c r="Q131" s="90" t="s">
        <v>909</v>
      </c>
      <c r="R131" s="90" t="s">
        <v>909</v>
      </c>
      <c r="S131" s="90" t="s">
        <v>909</v>
      </c>
      <c r="T131" s="90" t="s">
        <v>909</v>
      </c>
      <c r="U131" s="90" t="s">
        <v>909</v>
      </c>
      <c r="V131" s="90" t="s">
        <v>909</v>
      </c>
      <c r="W131" s="90" t="s">
        <v>909</v>
      </c>
      <c r="X131" s="90" t="s">
        <v>909</v>
      </c>
      <c r="Y131" s="90" t="s">
        <v>909</v>
      </c>
      <c r="Z131" s="90" t="s">
        <v>909</v>
      </c>
      <c r="AA131" s="90" t="s">
        <v>909</v>
      </c>
      <c r="AB131" s="90" t="s">
        <v>909</v>
      </c>
      <c r="AC131" s="90" t="s">
        <v>909</v>
      </c>
      <c r="AD131" s="90" t="s">
        <v>909</v>
      </c>
      <c r="AE131" s="184" t="s">
        <v>909</v>
      </c>
      <c r="AF131" s="184" t="s">
        <v>909</v>
      </c>
      <c r="AG131" s="184" t="s">
        <v>909</v>
      </c>
      <c r="AH131" s="184" t="s">
        <v>909</v>
      </c>
      <c r="AI131" s="184" t="s">
        <v>909</v>
      </c>
      <c r="AJ131" s="90" t="s">
        <v>909</v>
      </c>
      <c r="AK131" s="90" t="s">
        <v>909</v>
      </c>
    </row>
    <row r="132" spans="1:39" x14ac:dyDescent="0.25">
      <c r="A132" s="42" t="s">
        <v>1853</v>
      </c>
      <c r="B132" s="90" t="s">
        <v>909</v>
      </c>
      <c r="C132" s="90" t="s">
        <v>909</v>
      </c>
      <c r="D132" s="90" t="s">
        <v>909</v>
      </c>
      <c r="E132" s="90" t="s">
        <v>909</v>
      </c>
      <c r="F132" s="90" t="s">
        <v>909</v>
      </c>
      <c r="G132" s="90" t="s">
        <v>909</v>
      </c>
      <c r="H132" s="90" t="s">
        <v>909</v>
      </c>
      <c r="I132" s="90" t="s">
        <v>909</v>
      </c>
      <c r="J132" s="90" t="s">
        <v>909</v>
      </c>
      <c r="K132" s="90" t="s">
        <v>909</v>
      </c>
      <c r="L132" s="90" t="s">
        <v>909</v>
      </c>
      <c r="M132" s="90" t="s">
        <v>909</v>
      </c>
      <c r="N132" s="90" t="s">
        <v>909</v>
      </c>
      <c r="O132" s="90" t="s">
        <v>909</v>
      </c>
      <c r="P132" s="90" t="s">
        <v>909</v>
      </c>
      <c r="Q132" s="90" t="s">
        <v>909</v>
      </c>
      <c r="R132" s="90" t="s">
        <v>909</v>
      </c>
      <c r="S132" s="90" t="s">
        <v>909</v>
      </c>
      <c r="T132" s="90" t="s">
        <v>909</v>
      </c>
      <c r="U132" s="90" t="s">
        <v>909</v>
      </c>
      <c r="V132" s="90" t="s">
        <v>909</v>
      </c>
      <c r="W132" s="90" t="s">
        <v>909</v>
      </c>
      <c r="X132" s="90" t="s">
        <v>909</v>
      </c>
      <c r="Y132" s="90" t="s">
        <v>909</v>
      </c>
      <c r="Z132" s="90" t="s">
        <v>909</v>
      </c>
      <c r="AA132" s="90" t="s">
        <v>909</v>
      </c>
      <c r="AB132" s="90" t="s">
        <v>909</v>
      </c>
      <c r="AC132" s="90" t="s">
        <v>909</v>
      </c>
      <c r="AD132" s="90" t="s">
        <v>909</v>
      </c>
      <c r="AE132" s="184" t="s">
        <v>909</v>
      </c>
      <c r="AF132" s="184" t="s">
        <v>909</v>
      </c>
      <c r="AG132" s="184" t="s">
        <v>909</v>
      </c>
      <c r="AH132" s="184" t="s">
        <v>909</v>
      </c>
      <c r="AI132" s="184" t="s">
        <v>909</v>
      </c>
      <c r="AJ132" s="90"/>
      <c r="AK132" s="90" t="s">
        <v>909</v>
      </c>
      <c r="AL132" s="57" t="s">
        <v>909</v>
      </c>
      <c r="AM132" s="57" t="s">
        <v>909</v>
      </c>
    </row>
    <row r="133" spans="1:39" x14ac:dyDescent="0.25">
      <c r="A133" s="42" t="s">
        <v>1854</v>
      </c>
      <c r="B133" s="90" t="s">
        <v>909</v>
      </c>
      <c r="C133" s="90" t="s">
        <v>909</v>
      </c>
      <c r="D133" s="90" t="s">
        <v>909</v>
      </c>
      <c r="E133" s="90" t="s">
        <v>909</v>
      </c>
      <c r="F133" s="90" t="s">
        <v>909</v>
      </c>
      <c r="G133" s="90" t="s">
        <v>909</v>
      </c>
      <c r="H133" s="90" t="s">
        <v>909</v>
      </c>
      <c r="I133" s="90" t="s">
        <v>909</v>
      </c>
      <c r="J133" s="90" t="s">
        <v>909</v>
      </c>
      <c r="K133" s="90" t="s">
        <v>909</v>
      </c>
      <c r="L133" s="90" t="s">
        <v>909</v>
      </c>
      <c r="M133" s="90" t="s">
        <v>909</v>
      </c>
      <c r="N133" s="90" t="s">
        <v>909</v>
      </c>
      <c r="O133" s="90" t="s">
        <v>909</v>
      </c>
      <c r="P133" s="90" t="s">
        <v>909</v>
      </c>
      <c r="Q133" s="90" t="s">
        <v>909</v>
      </c>
      <c r="R133" s="90" t="s">
        <v>909</v>
      </c>
      <c r="S133" s="90" t="s">
        <v>909</v>
      </c>
      <c r="T133" s="90" t="s">
        <v>909</v>
      </c>
      <c r="U133" s="90" t="s">
        <v>909</v>
      </c>
      <c r="V133" s="90" t="s">
        <v>909</v>
      </c>
      <c r="W133" s="90" t="s">
        <v>909</v>
      </c>
      <c r="X133" s="90" t="s">
        <v>909</v>
      </c>
      <c r="Y133" s="90" t="s">
        <v>909</v>
      </c>
      <c r="Z133" s="90" t="s">
        <v>909</v>
      </c>
      <c r="AA133" s="90" t="s">
        <v>909</v>
      </c>
      <c r="AB133" s="90" t="s">
        <v>909</v>
      </c>
      <c r="AC133" s="90" t="s">
        <v>909</v>
      </c>
      <c r="AD133" s="90" t="s">
        <v>909</v>
      </c>
      <c r="AE133" s="184" t="s">
        <v>909</v>
      </c>
      <c r="AF133" s="184" t="s">
        <v>909</v>
      </c>
      <c r="AG133" s="184" t="s">
        <v>909</v>
      </c>
      <c r="AH133" s="184" t="s">
        <v>909</v>
      </c>
      <c r="AI133" s="184" t="s">
        <v>909</v>
      </c>
      <c r="AJ133" s="90" t="s">
        <v>909</v>
      </c>
      <c r="AK133" s="90" t="s">
        <v>909</v>
      </c>
    </row>
    <row r="134" spans="1:39" x14ac:dyDescent="0.25">
      <c r="A134" s="42" t="s">
        <v>1858</v>
      </c>
      <c r="B134" s="90" t="s">
        <v>909</v>
      </c>
      <c r="C134" s="90" t="s">
        <v>909</v>
      </c>
      <c r="D134" s="90" t="s">
        <v>909</v>
      </c>
      <c r="E134" s="90" t="s">
        <v>909</v>
      </c>
      <c r="F134" s="90" t="s">
        <v>909</v>
      </c>
      <c r="G134" s="90" t="s">
        <v>909</v>
      </c>
      <c r="H134" s="90" t="s">
        <v>909</v>
      </c>
      <c r="I134" s="90" t="s">
        <v>909</v>
      </c>
      <c r="J134" s="90" t="s">
        <v>909</v>
      </c>
      <c r="K134" s="90" t="s">
        <v>909</v>
      </c>
      <c r="L134" s="90" t="s">
        <v>909</v>
      </c>
      <c r="M134" s="90" t="s">
        <v>909</v>
      </c>
      <c r="N134" s="90" t="s">
        <v>909</v>
      </c>
      <c r="O134" s="90" t="s">
        <v>909</v>
      </c>
      <c r="P134" s="90" t="s">
        <v>909</v>
      </c>
      <c r="Q134" s="90" t="s">
        <v>909</v>
      </c>
      <c r="R134" s="90" t="s">
        <v>909</v>
      </c>
      <c r="S134" s="90" t="s">
        <v>909</v>
      </c>
      <c r="T134" s="90" t="s">
        <v>909</v>
      </c>
      <c r="U134" s="90" t="s">
        <v>909</v>
      </c>
      <c r="V134" s="90" t="s">
        <v>909</v>
      </c>
      <c r="W134" s="90" t="s">
        <v>909</v>
      </c>
      <c r="X134" s="90" t="s">
        <v>909</v>
      </c>
      <c r="Y134" s="90" t="s">
        <v>909</v>
      </c>
      <c r="Z134" s="90" t="s">
        <v>909</v>
      </c>
      <c r="AA134" s="90" t="s">
        <v>909</v>
      </c>
      <c r="AB134" s="90" t="s">
        <v>909</v>
      </c>
      <c r="AC134" s="90" t="s">
        <v>909</v>
      </c>
      <c r="AD134" s="90" t="s">
        <v>909</v>
      </c>
      <c r="AE134" s="184" t="s">
        <v>909</v>
      </c>
      <c r="AF134" s="184" t="s">
        <v>909</v>
      </c>
      <c r="AG134" s="184" t="s">
        <v>909</v>
      </c>
      <c r="AH134" s="184" t="s">
        <v>909</v>
      </c>
      <c r="AI134" s="184" t="s">
        <v>909</v>
      </c>
      <c r="AJ134" s="90" t="s">
        <v>909</v>
      </c>
      <c r="AK134" s="90" t="s">
        <v>909</v>
      </c>
    </row>
    <row r="135" spans="1:39" x14ac:dyDescent="0.25">
      <c r="A135" s="98" t="s">
        <v>1272</v>
      </c>
      <c r="B135" s="192" t="s">
        <v>909</v>
      </c>
      <c r="C135" s="192" t="s">
        <v>909</v>
      </c>
      <c r="D135" s="192" t="s">
        <v>909</v>
      </c>
      <c r="E135" s="192" t="s">
        <v>909</v>
      </c>
      <c r="F135" s="192" t="s">
        <v>909</v>
      </c>
      <c r="G135" s="192" t="s">
        <v>909</v>
      </c>
      <c r="H135" s="192" t="s">
        <v>909</v>
      </c>
      <c r="I135" s="192" t="s">
        <v>909</v>
      </c>
      <c r="J135" s="192" t="s">
        <v>909</v>
      </c>
      <c r="K135" s="192" t="s">
        <v>909</v>
      </c>
      <c r="L135" s="192" t="s">
        <v>909</v>
      </c>
      <c r="M135" s="192" t="s">
        <v>909</v>
      </c>
      <c r="N135" s="192" t="s">
        <v>909</v>
      </c>
      <c r="O135" s="192" t="s">
        <v>909</v>
      </c>
      <c r="P135" s="192" t="s">
        <v>909</v>
      </c>
      <c r="Q135" s="192" t="s">
        <v>909</v>
      </c>
      <c r="R135" s="192" t="s">
        <v>909</v>
      </c>
      <c r="S135" s="192" t="s">
        <v>909</v>
      </c>
      <c r="T135" s="192" t="s">
        <v>909</v>
      </c>
      <c r="U135" s="192" t="s">
        <v>909</v>
      </c>
      <c r="V135" s="192" t="s">
        <v>909</v>
      </c>
      <c r="W135" s="192" t="s">
        <v>909</v>
      </c>
      <c r="X135" s="192" t="s">
        <v>909</v>
      </c>
      <c r="Y135" s="192" t="s">
        <v>909</v>
      </c>
      <c r="Z135" s="192" t="s">
        <v>909</v>
      </c>
      <c r="AA135" s="90" t="s">
        <v>909</v>
      </c>
      <c r="AB135" s="90" t="s">
        <v>909</v>
      </c>
      <c r="AC135" s="90" t="s">
        <v>909</v>
      </c>
      <c r="AD135" s="90" t="s">
        <v>909</v>
      </c>
      <c r="AE135" s="90" t="s">
        <v>909</v>
      </c>
      <c r="AF135" s="90" t="s">
        <v>909</v>
      </c>
      <c r="AG135" s="90" t="s">
        <v>909</v>
      </c>
      <c r="AH135" s="90" t="s">
        <v>909</v>
      </c>
      <c r="AI135" s="90" t="s">
        <v>909</v>
      </c>
      <c r="AJ135" s="90" t="s">
        <v>909</v>
      </c>
      <c r="AK135" s="90" t="s">
        <v>909</v>
      </c>
      <c r="AL135" s="90"/>
      <c r="AM135" s="90"/>
    </row>
    <row r="136" spans="1:39" x14ac:dyDescent="0.25">
      <c r="A136" s="98" t="s">
        <v>953</v>
      </c>
      <c r="B136" s="215" t="s">
        <v>909</v>
      </c>
      <c r="C136" s="215" t="s">
        <v>909</v>
      </c>
      <c r="D136" s="215" t="s">
        <v>909</v>
      </c>
      <c r="E136" s="215" t="s">
        <v>909</v>
      </c>
      <c r="F136" s="215" t="s">
        <v>909</v>
      </c>
      <c r="G136" s="215" t="s">
        <v>909</v>
      </c>
      <c r="H136" s="215" t="s">
        <v>909</v>
      </c>
      <c r="I136" s="215" t="s">
        <v>909</v>
      </c>
      <c r="J136" s="215" t="s">
        <v>909</v>
      </c>
      <c r="K136" s="215" t="s">
        <v>909</v>
      </c>
      <c r="L136" s="215" t="s">
        <v>909</v>
      </c>
      <c r="M136" s="215" t="s">
        <v>909</v>
      </c>
      <c r="N136" s="215" t="s">
        <v>909</v>
      </c>
      <c r="O136" s="215" t="s">
        <v>909</v>
      </c>
      <c r="P136" s="215" t="s">
        <v>909</v>
      </c>
      <c r="Q136" s="215" t="s">
        <v>909</v>
      </c>
      <c r="R136" s="215" t="s">
        <v>909</v>
      </c>
      <c r="S136" s="215" t="s">
        <v>909</v>
      </c>
      <c r="U136" s="215" t="s">
        <v>909</v>
      </c>
      <c r="V136" s="215" t="s">
        <v>909</v>
      </c>
      <c r="W136" s="215" t="s">
        <v>909</v>
      </c>
      <c r="X136" s="215" t="s">
        <v>909</v>
      </c>
      <c r="Y136" s="215" t="s">
        <v>909</v>
      </c>
      <c r="Z136" s="215" t="s">
        <v>909</v>
      </c>
      <c r="AA136" s="215" t="s">
        <v>909</v>
      </c>
      <c r="AB136" s="215" t="s">
        <v>909</v>
      </c>
      <c r="AC136" s="215" t="s">
        <v>909</v>
      </c>
      <c r="AD136" s="215" t="s">
        <v>909</v>
      </c>
      <c r="AE136" s="215" t="s">
        <v>909</v>
      </c>
      <c r="AF136" s="215" t="s">
        <v>909</v>
      </c>
      <c r="AG136" s="215" t="s">
        <v>909</v>
      </c>
      <c r="AH136" s="215" t="s">
        <v>909</v>
      </c>
      <c r="AI136" s="215" t="s">
        <v>909</v>
      </c>
      <c r="AJ136" s="215" t="s">
        <v>909</v>
      </c>
      <c r="AK136" s="215" t="s">
        <v>909</v>
      </c>
      <c r="AL136" s="215" t="s">
        <v>909</v>
      </c>
    </row>
    <row r="247" spans="1:39" x14ac:dyDescent="0.25">
      <c r="A247" s="90"/>
      <c r="U247" s="92"/>
      <c r="V247" s="92"/>
      <c r="W247" s="92"/>
      <c r="X247" s="92"/>
      <c r="Y247" s="92"/>
      <c r="Z247" s="60"/>
      <c r="AA247" s="60"/>
      <c r="AB247" s="60"/>
      <c r="AC247" s="60"/>
      <c r="AD247" s="60"/>
      <c r="AE247" s="60"/>
      <c r="AF247" s="60"/>
      <c r="AG247" s="60"/>
      <c r="AH247" s="60"/>
      <c r="AI247" s="60"/>
      <c r="AJ247" s="60"/>
      <c r="AK247" s="60"/>
      <c r="AL247" s="60"/>
      <c r="AM247" s="60"/>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33"/>
  <sheetViews>
    <sheetView topLeftCell="A112" workbookViewId="0">
      <selection activeCell="D120" sqref="D120"/>
    </sheetView>
  </sheetViews>
  <sheetFormatPr defaultRowHeight="15" outlineLevelRow="1" x14ac:dyDescent="0.25"/>
  <cols>
    <col min="1" max="1" width="4.5703125" bestFit="1" customWidth="1"/>
    <col min="2" max="2" width="12.140625" bestFit="1" customWidth="1"/>
    <col min="3" max="3" width="35" style="160" bestFit="1" customWidth="1"/>
    <col min="4" max="4" width="31.85546875" bestFit="1" customWidth="1"/>
    <col min="5" max="5" width="20" bestFit="1" customWidth="1"/>
    <col min="6" max="6" width="35.85546875" customWidth="1"/>
    <col min="7" max="7" width="19.28515625" customWidth="1"/>
    <col min="8" max="8" width="21.7109375" customWidth="1"/>
    <col min="9" max="9" width="13.7109375" bestFit="1" customWidth="1"/>
    <col min="10" max="10" width="11.7109375" bestFit="1" customWidth="1"/>
    <col min="11" max="11" width="21.85546875" customWidth="1"/>
    <col min="12" max="12" width="27.140625" customWidth="1"/>
  </cols>
  <sheetData>
    <row r="1" spans="1:12" ht="26.25" x14ac:dyDescent="0.4">
      <c r="A1" s="242" t="s">
        <v>2239</v>
      </c>
      <c r="B1" s="242"/>
      <c r="C1" s="242"/>
      <c r="D1" s="242"/>
      <c r="E1" s="242"/>
      <c r="F1" s="242"/>
      <c r="G1" s="242"/>
      <c r="H1" s="242"/>
      <c r="I1" s="242"/>
      <c r="J1" s="242"/>
      <c r="K1" s="242"/>
      <c r="L1" s="242"/>
    </row>
    <row r="2" spans="1:12" ht="30" x14ac:dyDescent="0.25">
      <c r="A2" s="116" t="s">
        <v>2095</v>
      </c>
      <c r="B2" s="116"/>
      <c r="C2" s="116"/>
      <c r="D2" s="116" t="s">
        <v>732</v>
      </c>
      <c r="E2" s="116" t="s">
        <v>733</v>
      </c>
      <c r="F2" s="185" t="s">
        <v>734</v>
      </c>
      <c r="G2" s="185" t="s">
        <v>736</v>
      </c>
      <c r="H2" s="185" t="s">
        <v>735</v>
      </c>
      <c r="I2" s="116" t="s">
        <v>737</v>
      </c>
      <c r="J2" s="116" t="s">
        <v>738</v>
      </c>
      <c r="K2" s="130" t="s">
        <v>739</v>
      </c>
      <c r="L2" s="117" t="s">
        <v>837</v>
      </c>
    </row>
    <row r="3" spans="1:12" x14ac:dyDescent="0.25">
      <c r="A3" s="208"/>
      <c r="B3" s="208"/>
      <c r="C3" s="208"/>
      <c r="D3" s="208"/>
      <c r="E3" s="208"/>
      <c r="F3" s="209"/>
      <c r="G3" s="209"/>
      <c r="H3" s="209"/>
      <c r="I3" s="208"/>
      <c r="J3" s="208"/>
      <c r="K3" s="210"/>
      <c r="L3" s="211"/>
    </row>
    <row r="4" spans="1:12" x14ac:dyDescent="0.25">
      <c r="A4" s="245" t="s">
        <v>2234</v>
      </c>
      <c r="B4" s="245"/>
      <c r="C4" s="245"/>
      <c r="D4" s="213"/>
    </row>
    <row r="5" spans="1:12" x14ac:dyDescent="0.25">
      <c r="A5" s="160"/>
      <c r="B5" s="212"/>
      <c r="C5" s="212"/>
      <c r="D5" s="160"/>
    </row>
    <row r="6" spans="1:12" x14ac:dyDescent="0.25">
      <c r="A6" s="202">
        <v>1</v>
      </c>
      <c r="B6" s="243" t="s">
        <v>2244</v>
      </c>
      <c r="C6" s="243" t="s">
        <v>2235</v>
      </c>
      <c r="D6" s="202" t="s">
        <v>2232</v>
      </c>
      <c r="E6" s="202" t="s">
        <v>716</v>
      </c>
      <c r="F6" s="202"/>
      <c r="G6" s="202"/>
      <c r="H6" s="202"/>
      <c r="I6" s="202"/>
      <c r="J6" s="202"/>
      <c r="K6" s="202"/>
      <c r="L6" s="202"/>
    </row>
    <row r="7" spans="1:12" x14ac:dyDescent="0.25">
      <c r="A7" s="203">
        <v>2</v>
      </c>
      <c r="B7" s="244"/>
      <c r="C7" s="244"/>
      <c r="D7" s="203" t="s">
        <v>2233</v>
      </c>
      <c r="E7" s="203" t="s">
        <v>716</v>
      </c>
      <c r="F7" s="203"/>
      <c r="G7" s="203"/>
      <c r="H7" s="203"/>
      <c r="I7" s="203"/>
      <c r="J7" s="203"/>
      <c r="K7" s="203"/>
      <c r="L7" s="203"/>
    </row>
    <row r="8" spans="1:12" x14ac:dyDescent="0.25">
      <c r="A8" s="202"/>
      <c r="B8" s="202"/>
      <c r="C8" s="202"/>
      <c r="D8" s="202"/>
      <c r="E8" s="202"/>
      <c r="F8" s="202"/>
      <c r="G8" s="202"/>
      <c r="H8" s="202"/>
      <c r="I8" s="202"/>
      <c r="J8" s="202"/>
      <c r="K8" s="202"/>
      <c r="L8" s="202"/>
    </row>
    <row r="9" spans="1:12" x14ac:dyDescent="0.25">
      <c r="A9" s="202"/>
      <c r="B9" s="202"/>
      <c r="C9" s="202"/>
      <c r="D9" s="202"/>
      <c r="E9" s="202"/>
      <c r="F9" s="202"/>
      <c r="G9" s="202"/>
      <c r="H9" s="202"/>
      <c r="I9" s="202"/>
      <c r="J9" s="202"/>
      <c r="K9" s="202"/>
      <c r="L9" s="202"/>
    </row>
    <row r="10" spans="1:12" x14ac:dyDescent="0.25">
      <c r="A10" s="203">
        <v>1</v>
      </c>
      <c r="B10" s="203" t="s">
        <v>2245</v>
      </c>
      <c r="C10" s="203" t="s">
        <v>2236</v>
      </c>
      <c r="D10" s="203" t="s">
        <v>2237</v>
      </c>
      <c r="E10" s="203" t="s">
        <v>716</v>
      </c>
      <c r="F10" s="203"/>
      <c r="G10" s="203"/>
      <c r="H10" s="203"/>
      <c r="I10" s="203"/>
      <c r="J10" s="203"/>
      <c r="K10" s="203"/>
      <c r="L10" s="203"/>
    </row>
    <row r="11" spans="1:12" x14ac:dyDescent="0.25">
      <c r="A11" s="202"/>
      <c r="B11" s="202"/>
      <c r="C11" s="202"/>
      <c r="D11" s="202"/>
      <c r="E11" s="202"/>
      <c r="F11" s="202"/>
      <c r="G11" s="202"/>
      <c r="H11" s="202"/>
      <c r="I11" s="202"/>
      <c r="J11" s="202"/>
      <c r="K11" s="202"/>
      <c r="L11" s="202"/>
    </row>
    <row r="12" spans="1:12" x14ac:dyDescent="0.25">
      <c r="A12" s="203"/>
      <c r="B12" s="203"/>
      <c r="C12" s="203"/>
      <c r="D12" s="203"/>
      <c r="E12" s="203"/>
      <c r="F12" s="203"/>
      <c r="G12" s="203"/>
      <c r="H12" s="203"/>
      <c r="I12" s="203"/>
      <c r="J12" s="203"/>
      <c r="K12" s="203"/>
      <c r="L12" s="203"/>
    </row>
    <row r="13" spans="1:12" x14ac:dyDescent="0.25">
      <c r="A13" s="202">
        <v>1</v>
      </c>
      <c r="B13" s="243" t="s">
        <v>2244</v>
      </c>
      <c r="C13" s="243" t="s">
        <v>2238</v>
      </c>
      <c r="D13" s="202" t="s">
        <v>2232</v>
      </c>
      <c r="E13" s="202" t="s">
        <v>716</v>
      </c>
      <c r="F13" s="202"/>
      <c r="G13" s="202"/>
      <c r="H13" s="202"/>
      <c r="I13" s="202"/>
      <c r="J13" s="202"/>
      <c r="K13" s="202"/>
      <c r="L13" s="202"/>
    </row>
    <row r="14" spans="1:12" x14ac:dyDescent="0.25">
      <c r="A14" s="203">
        <v>2</v>
      </c>
      <c r="B14" s="244"/>
      <c r="C14" s="244"/>
      <c r="D14" s="203" t="s">
        <v>2240</v>
      </c>
      <c r="E14" s="203" t="s">
        <v>716</v>
      </c>
      <c r="F14" s="203"/>
      <c r="G14" s="203"/>
      <c r="H14" s="203"/>
      <c r="I14" s="203"/>
      <c r="J14" s="203"/>
      <c r="K14" s="203"/>
      <c r="L14" s="203"/>
    </row>
    <row r="15" spans="1:12" x14ac:dyDescent="0.25">
      <c r="A15" s="202"/>
      <c r="B15" s="202"/>
      <c r="C15" s="202"/>
      <c r="D15" s="202"/>
      <c r="E15" s="202"/>
      <c r="F15" s="202"/>
      <c r="G15" s="202"/>
      <c r="H15" s="202"/>
      <c r="I15" s="202"/>
      <c r="J15" s="202"/>
      <c r="K15" s="202"/>
      <c r="L15" s="202"/>
    </row>
    <row r="16" spans="1:12" x14ac:dyDescent="0.25">
      <c r="A16" s="202"/>
      <c r="B16" s="202"/>
      <c r="C16" s="202"/>
      <c r="D16" s="202"/>
      <c r="E16" s="202"/>
      <c r="F16" s="202"/>
      <c r="G16" s="202"/>
      <c r="H16" s="202"/>
      <c r="I16" s="202"/>
      <c r="J16" s="202"/>
      <c r="K16" s="202"/>
      <c r="L16" s="202"/>
    </row>
    <row r="17" spans="1:12" x14ac:dyDescent="0.25">
      <c r="A17" s="203">
        <v>1</v>
      </c>
      <c r="B17" s="203" t="s">
        <v>2245</v>
      </c>
      <c r="C17" s="203" t="s">
        <v>2242</v>
      </c>
      <c r="D17" s="203" t="s">
        <v>2241</v>
      </c>
      <c r="E17" s="203" t="s">
        <v>716</v>
      </c>
      <c r="F17" s="203"/>
      <c r="G17" s="203"/>
      <c r="H17" s="203"/>
      <c r="I17" s="203"/>
      <c r="J17" s="203"/>
      <c r="K17" s="203"/>
      <c r="L17" s="203"/>
    </row>
    <row r="18" spans="1:12" x14ac:dyDescent="0.25">
      <c r="A18" s="202"/>
      <c r="B18" s="202"/>
      <c r="C18" s="202"/>
      <c r="D18" s="202"/>
      <c r="E18" s="202"/>
      <c r="F18" s="202"/>
      <c r="G18" s="202"/>
      <c r="H18" s="202"/>
      <c r="I18" s="202"/>
      <c r="J18" s="202"/>
      <c r="K18" s="202"/>
      <c r="L18" s="202"/>
    </row>
    <row r="19" spans="1:12" x14ac:dyDescent="0.25">
      <c r="A19" s="203">
        <v>1</v>
      </c>
      <c r="B19" s="247" t="s">
        <v>2244</v>
      </c>
      <c r="C19" s="247" t="s">
        <v>2243</v>
      </c>
      <c r="D19" s="203" t="s">
        <v>2232</v>
      </c>
      <c r="E19" s="203" t="s">
        <v>758</v>
      </c>
      <c r="F19" s="203"/>
      <c r="G19" s="203"/>
      <c r="H19" s="203"/>
      <c r="I19" s="203"/>
      <c r="J19" s="203"/>
      <c r="K19" s="203"/>
      <c r="L19" s="203"/>
    </row>
    <row r="20" spans="1:12" x14ac:dyDescent="0.25">
      <c r="A20" s="202">
        <v>2</v>
      </c>
      <c r="B20" s="248"/>
      <c r="C20" s="248"/>
      <c r="D20" s="202" t="s">
        <v>2246</v>
      </c>
      <c r="E20" s="202" t="s">
        <v>758</v>
      </c>
      <c r="F20" s="202"/>
      <c r="G20" s="202"/>
      <c r="H20" s="202"/>
      <c r="I20" s="202"/>
      <c r="J20" s="202"/>
      <c r="K20" s="202"/>
      <c r="L20" s="202"/>
    </row>
    <row r="21" spans="1:12" x14ac:dyDescent="0.25">
      <c r="A21" s="203">
        <v>3</v>
      </c>
      <c r="B21" s="248"/>
      <c r="C21" s="248"/>
      <c r="D21" s="203" t="s">
        <v>2247</v>
      </c>
      <c r="E21" s="203" t="s">
        <v>763</v>
      </c>
      <c r="F21" s="203"/>
      <c r="G21" s="203"/>
      <c r="H21" s="203"/>
      <c r="I21" s="203"/>
      <c r="J21" s="203"/>
      <c r="K21" s="203"/>
      <c r="L21" s="203"/>
    </row>
    <row r="22" spans="1:12" x14ac:dyDescent="0.25">
      <c r="A22" s="202">
        <v>4</v>
      </c>
      <c r="B22" s="249"/>
      <c r="C22" s="249"/>
      <c r="D22" s="202" t="s">
        <v>2248</v>
      </c>
      <c r="E22" s="202" t="s">
        <v>763</v>
      </c>
      <c r="F22" s="202"/>
      <c r="G22" s="202"/>
      <c r="H22" s="202"/>
      <c r="I22" s="202"/>
      <c r="J22" s="202"/>
      <c r="K22" s="202"/>
      <c r="L22" s="202"/>
    </row>
    <row r="23" spans="1:12" x14ac:dyDescent="0.25">
      <c r="A23" s="202"/>
      <c r="B23" s="202"/>
      <c r="C23" s="202"/>
      <c r="D23" s="202"/>
      <c r="E23" s="202"/>
      <c r="F23" s="202"/>
      <c r="G23" s="202"/>
      <c r="H23" s="202"/>
      <c r="I23" s="202"/>
      <c r="J23" s="202"/>
      <c r="K23" s="202"/>
      <c r="L23" s="202"/>
    </row>
    <row r="24" spans="1:12" x14ac:dyDescent="0.25">
      <c r="A24" s="203">
        <v>1</v>
      </c>
      <c r="B24" s="203" t="s">
        <v>2245</v>
      </c>
      <c r="C24" s="203" t="s">
        <v>2249</v>
      </c>
      <c r="D24" s="203" t="s">
        <v>2250</v>
      </c>
      <c r="E24" s="203" t="s">
        <v>758</v>
      </c>
      <c r="F24" s="203"/>
      <c r="G24" s="203"/>
      <c r="H24" s="203"/>
      <c r="I24" s="203"/>
      <c r="J24" s="203"/>
      <c r="K24" s="203"/>
      <c r="L24" s="203"/>
    </row>
    <row r="25" spans="1:12" s="246" customFormat="1" x14ac:dyDescent="0.25">
      <c r="A25" s="246" t="s">
        <v>2548</v>
      </c>
    </row>
    <row r="26" spans="1:12" s="203" customFormat="1" outlineLevel="1" x14ac:dyDescent="0.25">
      <c r="D26" s="203" t="s">
        <v>2404</v>
      </c>
      <c r="E26" s="203" t="s">
        <v>758</v>
      </c>
      <c r="F26" s="203" t="s">
        <v>2405</v>
      </c>
      <c r="G26" s="203" t="s">
        <v>888</v>
      </c>
    </row>
    <row r="27" spans="1:12" outlineLevel="1" x14ac:dyDescent="0.25">
      <c r="A27" s="202"/>
      <c r="B27" s="202"/>
      <c r="C27" s="202"/>
      <c r="D27" s="202" t="s">
        <v>2406</v>
      </c>
      <c r="E27" s="202" t="s">
        <v>758</v>
      </c>
      <c r="F27" s="202" t="s">
        <v>442</v>
      </c>
      <c r="G27" s="202" t="s">
        <v>2407</v>
      </c>
      <c r="H27" s="202"/>
      <c r="I27" s="202"/>
      <c r="J27" s="202"/>
      <c r="K27" s="202"/>
      <c r="L27" s="202"/>
    </row>
    <row r="28" spans="1:12" outlineLevel="1" x14ac:dyDescent="0.25">
      <c r="A28" s="203"/>
      <c r="B28" s="203"/>
      <c r="C28" s="203"/>
      <c r="D28" s="203" t="s">
        <v>2408</v>
      </c>
      <c r="E28" s="203" t="s">
        <v>763</v>
      </c>
      <c r="F28" s="203" t="s">
        <v>443</v>
      </c>
      <c r="G28" s="203" t="s">
        <v>2409</v>
      </c>
      <c r="H28" s="203"/>
      <c r="I28" s="203"/>
      <c r="J28" s="203"/>
      <c r="K28" s="203"/>
      <c r="L28" s="203"/>
    </row>
    <row r="29" spans="1:12" outlineLevel="1" x14ac:dyDescent="0.25">
      <c r="A29" s="202"/>
      <c r="B29" s="202"/>
      <c r="C29" s="202"/>
      <c r="D29" s="202" t="s">
        <v>2410</v>
      </c>
      <c r="E29" s="202" t="s">
        <v>758</v>
      </c>
      <c r="F29" s="202" t="s">
        <v>403</v>
      </c>
      <c r="G29" s="202" t="s">
        <v>381</v>
      </c>
      <c r="H29" s="202"/>
      <c r="I29" s="202"/>
      <c r="J29" s="202"/>
      <c r="K29" s="202"/>
      <c r="L29" s="202"/>
    </row>
    <row r="30" spans="1:12" outlineLevel="1" x14ac:dyDescent="0.25">
      <c r="A30" s="203"/>
      <c r="B30" s="203"/>
      <c r="C30" s="203"/>
      <c r="D30" s="203" t="s">
        <v>2411</v>
      </c>
      <c r="E30" s="203" t="s">
        <v>763</v>
      </c>
      <c r="F30" s="203" t="s">
        <v>1434</v>
      </c>
      <c r="G30" s="203"/>
      <c r="H30" s="203"/>
      <c r="I30" s="203"/>
      <c r="J30" s="203"/>
      <c r="K30" s="203"/>
      <c r="L30" s="203"/>
    </row>
    <row r="31" spans="1:12" outlineLevel="1" x14ac:dyDescent="0.25">
      <c r="A31" s="202"/>
      <c r="B31" s="202"/>
      <c r="C31" s="202"/>
      <c r="D31" s="202" t="s">
        <v>2412</v>
      </c>
      <c r="E31" s="202" t="s">
        <v>758</v>
      </c>
      <c r="F31" s="202" t="s">
        <v>2256</v>
      </c>
      <c r="G31" s="202"/>
      <c r="H31" s="202"/>
      <c r="I31" s="202"/>
      <c r="J31" s="202"/>
      <c r="K31" s="202"/>
      <c r="L31" s="202"/>
    </row>
    <row r="32" spans="1:12" outlineLevel="1" x14ac:dyDescent="0.25">
      <c r="A32" s="203"/>
      <c r="B32" s="203"/>
      <c r="C32" s="203"/>
      <c r="D32" s="203" t="s">
        <v>2413</v>
      </c>
      <c r="E32" s="203" t="s">
        <v>868</v>
      </c>
      <c r="F32" s="203" t="s">
        <v>490</v>
      </c>
      <c r="G32" s="203"/>
      <c r="H32" s="203"/>
      <c r="I32" s="203"/>
      <c r="J32" s="203"/>
      <c r="K32" s="203"/>
      <c r="L32" s="203"/>
    </row>
    <row r="33" spans="1:12" outlineLevel="1" x14ac:dyDescent="0.25">
      <c r="A33" s="202"/>
      <c r="B33" s="202"/>
      <c r="C33" s="202"/>
      <c r="D33" s="202" t="s">
        <v>2414</v>
      </c>
      <c r="E33" s="202" t="s">
        <v>758</v>
      </c>
      <c r="F33" s="202" t="s">
        <v>404</v>
      </c>
      <c r="G33" s="202"/>
      <c r="H33" s="202"/>
      <c r="I33" s="202"/>
      <c r="J33" s="202"/>
      <c r="K33" s="202"/>
      <c r="L33" s="202"/>
    </row>
    <row r="34" spans="1:12" outlineLevel="1" x14ac:dyDescent="0.25">
      <c r="A34" s="203"/>
      <c r="B34" s="203"/>
      <c r="C34" s="203"/>
      <c r="D34" s="203" t="s">
        <v>2415</v>
      </c>
      <c r="E34" s="203" t="s">
        <v>758</v>
      </c>
      <c r="F34" s="203" t="s">
        <v>439</v>
      </c>
      <c r="G34" s="203"/>
      <c r="H34" s="203"/>
      <c r="I34" s="203"/>
      <c r="J34" s="203"/>
      <c r="K34" s="203"/>
      <c r="L34" s="203"/>
    </row>
    <row r="35" spans="1:12" outlineLevel="1" x14ac:dyDescent="0.25">
      <c r="A35" s="202"/>
      <c r="B35" s="202"/>
      <c r="C35" s="202"/>
      <c r="D35" s="202" t="s">
        <v>2416</v>
      </c>
      <c r="E35" s="202" t="s">
        <v>758</v>
      </c>
      <c r="F35" s="202" t="s">
        <v>405</v>
      </c>
      <c r="G35" s="202"/>
      <c r="H35" s="202"/>
      <c r="I35" s="202"/>
      <c r="J35" s="202"/>
      <c r="K35" s="202"/>
      <c r="L35" s="202"/>
    </row>
    <row r="36" spans="1:12" outlineLevel="1" x14ac:dyDescent="0.25">
      <c r="A36" s="203"/>
      <c r="B36" s="203"/>
      <c r="C36" s="203"/>
      <c r="D36" s="203" t="s">
        <v>2417</v>
      </c>
      <c r="E36" s="203" t="s">
        <v>758</v>
      </c>
      <c r="F36" s="203" t="s">
        <v>406</v>
      </c>
      <c r="G36" s="203"/>
      <c r="H36" s="203"/>
      <c r="I36" s="203"/>
      <c r="J36" s="203"/>
      <c r="K36" s="203"/>
      <c r="L36" s="203"/>
    </row>
    <row r="37" spans="1:12" outlineLevel="1" x14ac:dyDescent="0.25">
      <c r="A37" s="202"/>
      <c r="B37" s="202"/>
      <c r="C37" s="202"/>
      <c r="D37" s="202" t="s">
        <v>2418</v>
      </c>
      <c r="E37" s="202" t="s">
        <v>834</v>
      </c>
      <c r="F37" s="202" t="s">
        <v>408</v>
      </c>
      <c r="G37" s="202"/>
      <c r="H37" s="202"/>
      <c r="I37" s="202"/>
      <c r="J37" s="202"/>
      <c r="K37" s="202"/>
      <c r="L37" s="202"/>
    </row>
    <row r="38" spans="1:12" outlineLevel="1" x14ac:dyDescent="0.25">
      <c r="A38" s="203"/>
      <c r="B38" s="203"/>
      <c r="C38" s="203"/>
      <c r="D38" s="203" t="s">
        <v>2419</v>
      </c>
      <c r="E38" s="203" t="s">
        <v>834</v>
      </c>
      <c r="F38" s="203" t="s">
        <v>409</v>
      </c>
      <c r="G38" s="203"/>
      <c r="H38" s="203"/>
      <c r="I38" s="203"/>
      <c r="J38" s="203"/>
      <c r="K38" s="203"/>
      <c r="L38" s="203"/>
    </row>
    <row r="39" spans="1:12" outlineLevel="1" x14ac:dyDescent="0.25">
      <c r="A39" s="202"/>
      <c r="B39" s="202"/>
      <c r="C39" s="202"/>
      <c r="D39" s="202" t="s">
        <v>2420</v>
      </c>
      <c r="E39" s="202" t="s">
        <v>758</v>
      </c>
      <c r="F39" s="202" t="s">
        <v>957</v>
      </c>
      <c r="G39" s="202"/>
      <c r="H39" s="202"/>
      <c r="I39" s="202"/>
      <c r="J39" s="202"/>
      <c r="K39" s="202"/>
      <c r="L39" s="202"/>
    </row>
    <row r="40" spans="1:12" outlineLevel="1" x14ac:dyDescent="0.25">
      <c r="A40" s="203"/>
      <c r="B40" s="203"/>
      <c r="C40" s="203"/>
      <c r="D40" s="203" t="s">
        <v>2421</v>
      </c>
      <c r="E40" s="203" t="s">
        <v>758</v>
      </c>
      <c r="F40" s="203" t="s">
        <v>2422</v>
      </c>
      <c r="G40" s="203"/>
      <c r="H40" s="203"/>
      <c r="I40" s="203"/>
      <c r="J40" s="203"/>
      <c r="K40" s="203"/>
      <c r="L40" s="203"/>
    </row>
    <row r="41" spans="1:12" outlineLevel="1" x14ac:dyDescent="0.25">
      <c r="A41" s="202"/>
      <c r="B41" s="202"/>
      <c r="C41" s="202"/>
      <c r="D41" s="202" t="s">
        <v>2423</v>
      </c>
      <c r="E41" s="202" t="s">
        <v>758</v>
      </c>
      <c r="F41" s="202" t="s">
        <v>1397</v>
      </c>
      <c r="G41" s="202"/>
      <c r="H41" s="202"/>
      <c r="I41" s="202"/>
      <c r="J41" s="202"/>
      <c r="K41" s="202"/>
      <c r="L41" s="202"/>
    </row>
    <row r="42" spans="1:12" outlineLevel="1" x14ac:dyDescent="0.25">
      <c r="A42" s="203"/>
      <c r="B42" s="203"/>
      <c r="C42" s="203"/>
      <c r="D42" s="203" t="s">
        <v>2424</v>
      </c>
      <c r="E42" s="203" t="s">
        <v>868</v>
      </c>
      <c r="F42" s="203" t="s">
        <v>2268</v>
      </c>
      <c r="G42" s="203"/>
      <c r="H42" s="203"/>
      <c r="I42" s="203"/>
      <c r="J42" s="203"/>
      <c r="K42" s="203"/>
      <c r="L42" s="203"/>
    </row>
    <row r="43" spans="1:12" outlineLevel="1" x14ac:dyDescent="0.25">
      <c r="A43" s="202"/>
      <c r="B43" s="202"/>
      <c r="C43" s="202"/>
      <c r="D43" s="202" t="s">
        <v>2425</v>
      </c>
      <c r="E43" s="202" t="s">
        <v>758</v>
      </c>
      <c r="F43" s="202" t="s">
        <v>957</v>
      </c>
      <c r="G43" s="202"/>
      <c r="H43" s="202"/>
      <c r="I43" s="202"/>
      <c r="J43" s="202"/>
      <c r="K43" s="202"/>
      <c r="L43" s="202"/>
    </row>
    <row r="44" spans="1:12" outlineLevel="1" x14ac:dyDescent="0.25">
      <c r="A44" s="203"/>
      <c r="B44" s="203"/>
      <c r="C44" s="203"/>
      <c r="D44" s="203" t="s">
        <v>2426</v>
      </c>
      <c r="E44" s="203" t="s">
        <v>758</v>
      </c>
      <c r="F44" s="203" t="s">
        <v>2427</v>
      </c>
      <c r="G44" s="203"/>
      <c r="H44" s="203"/>
      <c r="I44" s="203"/>
      <c r="J44" s="203"/>
      <c r="K44" s="203"/>
      <c r="L44" s="203"/>
    </row>
    <row r="45" spans="1:12" outlineLevel="1" x14ac:dyDescent="0.25">
      <c r="A45" s="202"/>
      <c r="B45" s="202"/>
      <c r="C45" s="202"/>
      <c r="D45" s="202" t="s">
        <v>2428</v>
      </c>
      <c r="E45" s="202" t="s">
        <v>834</v>
      </c>
      <c r="F45" s="202" t="s">
        <v>2429</v>
      </c>
      <c r="G45" s="202"/>
      <c r="H45" s="202"/>
      <c r="I45" s="202"/>
      <c r="J45" s="202"/>
      <c r="K45" s="202"/>
      <c r="L45" s="202"/>
    </row>
    <row r="46" spans="1:12" outlineLevel="1" x14ac:dyDescent="0.25">
      <c r="A46" s="203"/>
      <c r="B46" s="203"/>
      <c r="C46" s="203"/>
      <c r="D46" s="203" t="s">
        <v>632</v>
      </c>
      <c r="E46" s="203" t="s">
        <v>758</v>
      </c>
      <c r="F46" s="203" t="s">
        <v>2262</v>
      </c>
      <c r="G46" s="203"/>
      <c r="H46" s="203"/>
      <c r="I46" s="203"/>
      <c r="J46" s="203"/>
      <c r="K46" s="203"/>
      <c r="L46" s="203"/>
    </row>
    <row r="47" spans="1:12" outlineLevel="1" x14ac:dyDescent="0.25">
      <c r="A47" s="202"/>
      <c r="B47" s="202"/>
      <c r="C47" s="202"/>
      <c r="D47" s="202" t="s">
        <v>2430</v>
      </c>
      <c r="E47" s="202" t="s">
        <v>868</v>
      </c>
      <c r="F47" s="202" t="s">
        <v>2431</v>
      </c>
      <c r="G47" s="202"/>
      <c r="H47" s="202"/>
      <c r="I47" s="202"/>
      <c r="J47" s="202"/>
      <c r="K47" s="202"/>
      <c r="L47" s="202"/>
    </row>
    <row r="48" spans="1:12" outlineLevel="1" x14ac:dyDescent="0.25">
      <c r="A48" s="203"/>
      <c r="B48" s="203"/>
      <c r="C48" s="203"/>
      <c r="D48" s="203" t="s">
        <v>2432</v>
      </c>
      <c r="E48" s="203" t="s">
        <v>758</v>
      </c>
      <c r="F48" s="203" t="s">
        <v>2433</v>
      </c>
      <c r="G48" s="203"/>
      <c r="H48" s="203"/>
      <c r="I48" s="203"/>
      <c r="J48" s="203"/>
      <c r="K48" s="203"/>
      <c r="L48" s="203"/>
    </row>
    <row r="49" spans="1:12" outlineLevel="1" x14ac:dyDescent="0.25">
      <c r="A49" s="202"/>
      <c r="B49" s="202"/>
      <c r="C49" s="202"/>
      <c r="D49" s="202" t="s">
        <v>2434</v>
      </c>
      <c r="E49" s="202" t="s">
        <v>758</v>
      </c>
      <c r="F49" s="202" t="s">
        <v>464</v>
      </c>
      <c r="G49" s="202"/>
      <c r="H49" s="202"/>
      <c r="I49" s="202"/>
      <c r="J49" s="202"/>
      <c r="K49" s="202"/>
      <c r="L49" s="202"/>
    </row>
    <row r="50" spans="1:12" outlineLevel="1" x14ac:dyDescent="0.25">
      <c r="A50" s="203"/>
      <c r="B50" s="203"/>
      <c r="C50" s="203"/>
      <c r="D50" s="203" t="s">
        <v>2435</v>
      </c>
      <c r="E50" s="203" t="s">
        <v>763</v>
      </c>
      <c r="F50" s="203" t="s">
        <v>2122</v>
      </c>
      <c r="G50" s="203"/>
      <c r="H50" s="203"/>
      <c r="I50" s="203"/>
      <c r="J50" s="203"/>
      <c r="K50" s="203"/>
      <c r="L50" s="203"/>
    </row>
    <row r="51" spans="1:12" outlineLevel="1" x14ac:dyDescent="0.25">
      <c r="A51" s="202"/>
      <c r="B51" s="202"/>
      <c r="C51" s="202"/>
      <c r="D51" s="202" t="s">
        <v>2436</v>
      </c>
      <c r="E51" s="202" t="s">
        <v>763</v>
      </c>
      <c r="F51" s="202" t="s">
        <v>2257</v>
      </c>
      <c r="G51" s="202"/>
      <c r="H51" s="202"/>
      <c r="I51" s="202"/>
      <c r="J51" s="202"/>
      <c r="K51" s="202"/>
      <c r="L51" s="202"/>
    </row>
    <row r="52" spans="1:12" outlineLevel="1" x14ac:dyDescent="0.25">
      <c r="A52" s="203"/>
      <c r="B52" s="203"/>
      <c r="C52" s="203"/>
      <c r="D52" s="203" t="s">
        <v>2437</v>
      </c>
      <c r="E52" s="203" t="s">
        <v>868</v>
      </c>
      <c r="F52" s="203" t="s">
        <v>2268</v>
      </c>
      <c r="G52" s="203"/>
      <c r="H52" s="203"/>
      <c r="I52" s="203"/>
      <c r="J52" s="203"/>
      <c r="K52" s="203"/>
      <c r="L52" s="203"/>
    </row>
    <row r="53" spans="1:12" outlineLevel="1" x14ac:dyDescent="0.25">
      <c r="A53" s="202"/>
      <c r="B53" s="202"/>
      <c r="C53" s="202"/>
      <c r="D53" s="202" t="s">
        <v>2438</v>
      </c>
      <c r="E53" s="202" t="s">
        <v>758</v>
      </c>
      <c r="F53" s="202" t="s">
        <v>2439</v>
      </c>
      <c r="G53" s="202"/>
      <c r="H53" s="202"/>
      <c r="I53" s="202"/>
      <c r="J53" s="202"/>
      <c r="K53" s="202"/>
      <c r="L53" s="202"/>
    </row>
    <row r="54" spans="1:12" outlineLevel="1" x14ac:dyDescent="0.25">
      <c r="A54" s="203"/>
      <c r="B54" s="203"/>
      <c r="C54" s="203"/>
      <c r="D54" s="203" t="s">
        <v>2440</v>
      </c>
      <c r="E54" s="203" t="s">
        <v>834</v>
      </c>
      <c r="F54" s="203" t="s">
        <v>2441</v>
      </c>
      <c r="G54" s="203"/>
      <c r="H54" s="203"/>
      <c r="I54" s="203"/>
      <c r="J54" s="203"/>
      <c r="K54" s="203"/>
      <c r="L54" s="203"/>
    </row>
    <row r="55" spans="1:12" outlineLevel="1" x14ac:dyDescent="0.25">
      <c r="A55" s="202"/>
      <c r="B55" s="202"/>
      <c r="C55" s="202"/>
      <c r="D55" s="202" t="s">
        <v>2442</v>
      </c>
      <c r="E55" s="202" t="s">
        <v>758</v>
      </c>
      <c r="F55" s="202" t="s">
        <v>2443</v>
      </c>
      <c r="G55" s="202"/>
      <c r="H55" s="202"/>
      <c r="I55" s="202"/>
      <c r="J55" s="202"/>
      <c r="K55" s="202"/>
      <c r="L55" s="202"/>
    </row>
    <row r="56" spans="1:12" outlineLevel="1" x14ac:dyDescent="0.25">
      <c r="A56" s="203"/>
      <c r="B56" s="203"/>
      <c r="C56" s="203"/>
      <c r="D56" s="203" t="s">
        <v>2444</v>
      </c>
      <c r="E56" s="203" t="s">
        <v>758</v>
      </c>
      <c r="F56" s="203" t="s">
        <v>1376</v>
      </c>
      <c r="G56" s="203"/>
      <c r="H56" s="203"/>
      <c r="I56" s="203"/>
      <c r="J56" s="203"/>
      <c r="K56" s="203"/>
      <c r="L56" s="203"/>
    </row>
    <row r="57" spans="1:12" outlineLevel="1" x14ac:dyDescent="0.25">
      <c r="A57" s="202"/>
      <c r="B57" s="202"/>
      <c r="C57" s="202"/>
      <c r="D57" s="202" t="s">
        <v>2445</v>
      </c>
      <c r="E57" s="202" t="s">
        <v>868</v>
      </c>
      <c r="F57" s="202" t="s">
        <v>2446</v>
      </c>
      <c r="G57" s="202"/>
      <c r="H57" s="202"/>
      <c r="I57" s="202"/>
      <c r="J57" s="202"/>
      <c r="K57" s="202"/>
      <c r="L57" s="202"/>
    </row>
    <row r="58" spans="1:12" outlineLevel="1" x14ac:dyDescent="0.25">
      <c r="A58" s="203"/>
      <c r="B58" s="203"/>
      <c r="C58" s="203"/>
      <c r="D58" s="203" t="s">
        <v>2447</v>
      </c>
      <c r="E58" s="203" t="s">
        <v>763</v>
      </c>
      <c r="F58" s="203" t="s">
        <v>2448</v>
      </c>
      <c r="G58" s="203"/>
      <c r="H58" s="203"/>
      <c r="I58" s="203"/>
      <c r="J58" s="203"/>
      <c r="K58" s="203"/>
      <c r="L58" s="203"/>
    </row>
    <row r="59" spans="1:12" outlineLevel="1" x14ac:dyDescent="0.25">
      <c r="A59" s="202"/>
      <c r="B59" s="202"/>
      <c r="C59" s="202"/>
      <c r="D59" s="202" t="s">
        <v>2449</v>
      </c>
      <c r="E59" s="202" t="s">
        <v>868</v>
      </c>
      <c r="F59" s="202" t="s">
        <v>2450</v>
      </c>
      <c r="G59" s="202"/>
      <c r="H59" s="202"/>
      <c r="I59" s="202"/>
      <c r="J59" s="202"/>
      <c r="K59" s="202"/>
      <c r="L59" s="202"/>
    </row>
    <row r="60" spans="1:12" outlineLevel="1" x14ac:dyDescent="0.25">
      <c r="A60" s="203"/>
      <c r="B60" s="203"/>
      <c r="C60" s="203"/>
      <c r="D60" s="203" t="s">
        <v>2451</v>
      </c>
      <c r="E60" s="203" t="s">
        <v>758</v>
      </c>
      <c r="F60" s="203" t="s">
        <v>2452</v>
      </c>
      <c r="G60" s="203"/>
      <c r="H60" s="203"/>
      <c r="I60" s="203"/>
      <c r="J60" s="203"/>
      <c r="K60" s="203"/>
      <c r="L60" s="203"/>
    </row>
    <row r="61" spans="1:12" outlineLevel="1" x14ac:dyDescent="0.25">
      <c r="A61" s="202"/>
      <c r="B61" s="202"/>
      <c r="C61" s="202"/>
      <c r="D61" s="202" t="s">
        <v>2453</v>
      </c>
      <c r="E61" s="202" t="s">
        <v>758</v>
      </c>
      <c r="F61" s="202" t="s">
        <v>2252</v>
      </c>
      <c r="G61" s="202"/>
      <c r="H61" s="202"/>
      <c r="I61" s="202"/>
      <c r="J61" s="202"/>
      <c r="K61" s="202"/>
      <c r="L61" s="202"/>
    </row>
    <row r="62" spans="1:12" outlineLevel="1" x14ac:dyDescent="0.25">
      <c r="A62" s="203"/>
      <c r="B62" s="203"/>
      <c r="C62" s="203"/>
      <c r="D62" s="203" t="s">
        <v>2454</v>
      </c>
      <c r="E62" s="203" t="s">
        <v>834</v>
      </c>
      <c r="F62" s="203" t="s">
        <v>2455</v>
      </c>
      <c r="G62" s="203"/>
      <c r="H62" s="203"/>
      <c r="I62" s="203"/>
      <c r="J62" s="203"/>
      <c r="K62" s="203"/>
      <c r="L62" s="203"/>
    </row>
    <row r="63" spans="1:12" outlineLevel="1" x14ac:dyDescent="0.25">
      <c r="A63" s="202"/>
      <c r="B63" s="202"/>
      <c r="C63" s="202"/>
      <c r="D63" s="202" t="s">
        <v>2456</v>
      </c>
      <c r="E63" s="202" t="s">
        <v>868</v>
      </c>
      <c r="F63" s="202" t="s">
        <v>496</v>
      </c>
      <c r="G63" s="202"/>
      <c r="H63" s="202"/>
      <c r="I63" s="202"/>
      <c r="J63" s="202"/>
      <c r="K63" s="202"/>
      <c r="L63" s="202"/>
    </row>
    <row r="64" spans="1:12" outlineLevel="1" x14ac:dyDescent="0.25">
      <c r="A64" s="203"/>
      <c r="B64" s="203"/>
      <c r="C64" s="203"/>
      <c r="D64" s="203" t="s">
        <v>2457</v>
      </c>
      <c r="E64" s="203" t="s">
        <v>868</v>
      </c>
      <c r="F64" s="203" t="s">
        <v>491</v>
      </c>
      <c r="G64" s="203"/>
      <c r="H64" s="203"/>
      <c r="I64" s="203"/>
      <c r="J64" s="203"/>
      <c r="K64" s="203"/>
      <c r="L64" s="203"/>
    </row>
    <row r="65" spans="1:12" outlineLevel="1" x14ac:dyDescent="0.25">
      <c r="A65" s="202"/>
      <c r="B65" s="202"/>
      <c r="C65" s="202"/>
      <c r="D65" s="202" t="s">
        <v>2458</v>
      </c>
      <c r="E65" s="202" t="s">
        <v>868</v>
      </c>
      <c r="F65" s="202" t="s">
        <v>2450</v>
      </c>
      <c r="G65" s="202"/>
      <c r="H65" s="202"/>
      <c r="I65" s="202"/>
      <c r="J65" s="202"/>
      <c r="K65" s="202"/>
      <c r="L65" s="202"/>
    </row>
    <row r="66" spans="1:12" outlineLevel="1" x14ac:dyDescent="0.25">
      <c r="A66" s="203"/>
      <c r="B66" s="203"/>
      <c r="C66" s="203"/>
      <c r="D66" s="203" t="s">
        <v>2459</v>
      </c>
      <c r="E66" s="203" t="s">
        <v>758</v>
      </c>
      <c r="F66" s="203" t="s">
        <v>464</v>
      </c>
      <c r="G66" s="203"/>
      <c r="H66" s="203"/>
      <c r="I66" s="203"/>
      <c r="J66" s="203"/>
      <c r="K66" s="203"/>
      <c r="L66" s="203"/>
    </row>
    <row r="67" spans="1:12" outlineLevel="1" x14ac:dyDescent="0.25">
      <c r="A67" s="202"/>
      <c r="B67" s="202"/>
      <c r="C67" s="202"/>
      <c r="D67" s="202" t="s">
        <v>2460</v>
      </c>
      <c r="E67" s="202" t="s">
        <v>868</v>
      </c>
      <c r="F67" s="202" t="s">
        <v>2450</v>
      </c>
      <c r="G67" s="202"/>
      <c r="H67" s="202"/>
      <c r="I67" s="202"/>
      <c r="J67" s="202"/>
      <c r="K67" s="202"/>
      <c r="L67" s="202"/>
    </row>
    <row r="68" spans="1:12" outlineLevel="1" x14ac:dyDescent="0.25">
      <c r="A68" s="203"/>
      <c r="B68" s="203"/>
      <c r="C68" s="203"/>
      <c r="D68" s="203" t="s">
        <v>2461</v>
      </c>
      <c r="E68" s="203" t="s">
        <v>868</v>
      </c>
      <c r="F68" s="203" t="s">
        <v>2431</v>
      </c>
      <c r="G68" s="203"/>
      <c r="H68" s="203"/>
      <c r="I68" s="203"/>
      <c r="J68" s="203"/>
      <c r="K68" s="203"/>
      <c r="L68" s="203"/>
    </row>
    <row r="69" spans="1:12" outlineLevel="1" x14ac:dyDescent="0.25">
      <c r="A69" s="202"/>
      <c r="B69" s="202"/>
      <c r="C69" s="202"/>
      <c r="D69" s="202" t="s">
        <v>2462</v>
      </c>
      <c r="E69" s="202" t="s">
        <v>868</v>
      </c>
      <c r="F69" s="202" t="s">
        <v>2431</v>
      </c>
      <c r="G69" s="202"/>
      <c r="H69" s="202"/>
      <c r="I69" s="202"/>
      <c r="J69" s="202"/>
      <c r="K69" s="202"/>
      <c r="L69" s="202"/>
    </row>
    <row r="70" spans="1:12" outlineLevel="1" x14ac:dyDescent="0.25">
      <c r="A70" s="203"/>
      <c r="B70" s="203"/>
      <c r="C70" s="203"/>
      <c r="D70" s="203" t="s">
        <v>2463</v>
      </c>
      <c r="E70" s="203" t="s">
        <v>868</v>
      </c>
      <c r="F70" s="203" t="s">
        <v>2446</v>
      </c>
      <c r="G70" s="203"/>
      <c r="H70" s="203"/>
      <c r="I70" s="203"/>
      <c r="J70" s="203"/>
      <c r="K70" s="203"/>
      <c r="L70" s="203"/>
    </row>
    <row r="71" spans="1:12" outlineLevel="1" x14ac:dyDescent="0.25">
      <c r="A71" s="202"/>
      <c r="B71" s="202"/>
      <c r="C71" s="202"/>
      <c r="D71" s="202" t="s">
        <v>2464</v>
      </c>
      <c r="E71" s="202" t="s">
        <v>758</v>
      </c>
      <c r="F71" s="202" t="s">
        <v>2465</v>
      </c>
      <c r="G71" s="202"/>
      <c r="H71" s="202"/>
      <c r="I71" s="202"/>
      <c r="J71" s="202"/>
      <c r="K71" s="202"/>
      <c r="L71" s="202"/>
    </row>
    <row r="72" spans="1:12" outlineLevel="1" x14ac:dyDescent="0.25">
      <c r="A72" s="203"/>
      <c r="B72" s="203"/>
      <c r="C72" s="203"/>
      <c r="D72" s="203" t="s">
        <v>2466</v>
      </c>
      <c r="E72" s="203" t="s">
        <v>834</v>
      </c>
      <c r="F72" s="203" t="s">
        <v>2441</v>
      </c>
      <c r="G72" s="203"/>
      <c r="H72" s="203"/>
      <c r="I72" s="203"/>
      <c r="J72" s="203"/>
      <c r="K72" s="203"/>
      <c r="L72" s="203"/>
    </row>
    <row r="73" spans="1:12" outlineLevel="1" x14ac:dyDescent="0.25">
      <c r="A73" s="202"/>
      <c r="B73" s="202"/>
      <c r="C73" s="202"/>
      <c r="D73" s="202" t="s">
        <v>2467</v>
      </c>
      <c r="E73" s="202" t="s">
        <v>868</v>
      </c>
      <c r="F73" s="202" t="s">
        <v>2431</v>
      </c>
      <c r="G73" s="202"/>
      <c r="H73" s="202"/>
      <c r="I73" s="202"/>
      <c r="J73" s="202"/>
      <c r="K73" s="202"/>
      <c r="L73" s="202"/>
    </row>
    <row r="74" spans="1:12" outlineLevel="1" x14ac:dyDescent="0.25">
      <c r="A74" s="203"/>
      <c r="B74" s="203"/>
      <c r="C74" s="203"/>
      <c r="D74" s="203" t="s">
        <v>2468</v>
      </c>
      <c r="E74" s="203" t="s">
        <v>868</v>
      </c>
      <c r="F74" s="203" t="s">
        <v>2431</v>
      </c>
      <c r="G74" s="203"/>
      <c r="H74" s="203"/>
      <c r="I74" s="203"/>
      <c r="J74" s="203"/>
      <c r="K74" s="203"/>
      <c r="L74" s="203"/>
    </row>
    <row r="75" spans="1:12" outlineLevel="1" x14ac:dyDescent="0.25">
      <c r="A75" s="202"/>
      <c r="B75" s="202"/>
      <c r="C75" s="202"/>
      <c r="D75" s="202" t="s">
        <v>2469</v>
      </c>
      <c r="E75" s="202" t="s">
        <v>868</v>
      </c>
      <c r="F75" s="202" t="s">
        <v>2431</v>
      </c>
      <c r="G75" s="202"/>
      <c r="H75" s="202"/>
      <c r="I75" s="202"/>
      <c r="J75" s="202"/>
      <c r="K75" s="202"/>
      <c r="L75" s="202"/>
    </row>
    <row r="76" spans="1:12" outlineLevel="1" x14ac:dyDescent="0.25">
      <c r="A76" s="203"/>
      <c r="B76" s="203"/>
      <c r="C76" s="203"/>
      <c r="D76" s="203" t="s">
        <v>2470</v>
      </c>
      <c r="E76" s="203" t="s">
        <v>868</v>
      </c>
      <c r="F76" s="203" t="s">
        <v>2471</v>
      </c>
      <c r="G76" s="203"/>
      <c r="H76" s="203"/>
      <c r="I76" s="203"/>
      <c r="J76" s="203"/>
      <c r="K76" s="203"/>
      <c r="L76" s="203"/>
    </row>
    <row r="77" spans="1:12" outlineLevel="1" x14ac:dyDescent="0.25">
      <c r="A77" s="202"/>
      <c r="B77" s="202"/>
      <c r="C77" s="202"/>
      <c r="D77" s="202" t="s">
        <v>2472</v>
      </c>
      <c r="E77" s="202" t="s">
        <v>834</v>
      </c>
      <c r="F77" s="202" t="s">
        <v>436</v>
      </c>
      <c r="G77" s="202"/>
      <c r="H77" s="202"/>
      <c r="I77" s="202"/>
      <c r="J77" s="202"/>
      <c r="K77" s="202"/>
      <c r="L77" s="202"/>
    </row>
    <row r="78" spans="1:12" outlineLevel="1" x14ac:dyDescent="0.25">
      <c r="A78" s="203"/>
      <c r="B78" s="203"/>
      <c r="C78" s="203"/>
      <c r="D78" s="203" t="s">
        <v>2473</v>
      </c>
      <c r="E78" s="203" t="s">
        <v>868</v>
      </c>
      <c r="F78" s="203" t="s">
        <v>2474</v>
      </c>
      <c r="G78" s="203"/>
      <c r="H78" s="203"/>
      <c r="I78" s="203"/>
      <c r="J78" s="203"/>
      <c r="K78" s="203"/>
      <c r="L78" s="203"/>
    </row>
    <row r="79" spans="1:12" outlineLevel="1" x14ac:dyDescent="0.25">
      <c r="A79" s="202"/>
      <c r="B79" s="202"/>
      <c r="C79" s="202"/>
      <c r="D79" s="202" t="s">
        <v>2475</v>
      </c>
      <c r="E79" s="202" t="s">
        <v>868</v>
      </c>
      <c r="F79" s="202" t="s">
        <v>2431</v>
      </c>
      <c r="G79" s="202"/>
      <c r="H79" s="202"/>
      <c r="I79" s="202"/>
      <c r="J79" s="202"/>
      <c r="K79" s="202"/>
      <c r="L79" s="202"/>
    </row>
    <row r="80" spans="1:12" outlineLevel="1" x14ac:dyDescent="0.25">
      <c r="A80" s="203"/>
      <c r="B80" s="203"/>
      <c r="C80" s="203"/>
      <c r="D80" s="203" t="s">
        <v>2476</v>
      </c>
      <c r="E80" s="203" t="s">
        <v>868</v>
      </c>
      <c r="F80" s="203" t="s">
        <v>2450</v>
      </c>
      <c r="G80" s="203"/>
      <c r="H80" s="203"/>
      <c r="I80" s="203"/>
      <c r="J80" s="203"/>
      <c r="K80" s="203"/>
      <c r="L80" s="203"/>
    </row>
    <row r="81" spans="1:12" outlineLevel="1" x14ac:dyDescent="0.25">
      <c r="A81" s="202"/>
      <c r="B81" s="202"/>
      <c r="C81" s="202"/>
      <c r="D81" s="202" t="s">
        <v>2477</v>
      </c>
      <c r="E81" s="202" t="s">
        <v>758</v>
      </c>
      <c r="F81" s="202" t="s">
        <v>475</v>
      </c>
      <c r="G81" s="202"/>
      <c r="H81" s="202"/>
      <c r="I81" s="202"/>
      <c r="J81" s="202"/>
      <c r="K81" s="202"/>
      <c r="L81" s="202"/>
    </row>
    <row r="82" spans="1:12" outlineLevel="1" x14ac:dyDescent="0.25">
      <c r="A82" s="203"/>
      <c r="B82" s="203"/>
      <c r="C82" s="203"/>
      <c r="D82" s="203" t="s">
        <v>2478</v>
      </c>
      <c r="E82" s="203" t="s">
        <v>763</v>
      </c>
      <c r="F82" s="203" t="s">
        <v>1548</v>
      </c>
      <c r="G82" s="203"/>
      <c r="H82" s="203"/>
      <c r="I82" s="203"/>
      <c r="J82" s="203"/>
      <c r="K82" s="203"/>
      <c r="L82" s="203"/>
    </row>
    <row r="83" spans="1:12" outlineLevel="1" x14ac:dyDescent="0.25">
      <c r="A83" s="202"/>
      <c r="B83" s="202"/>
      <c r="C83" s="202"/>
      <c r="D83" s="202" t="s">
        <v>2479</v>
      </c>
      <c r="E83" s="202" t="s">
        <v>868</v>
      </c>
      <c r="F83" s="202" t="s">
        <v>2480</v>
      </c>
      <c r="G83" s="202"/>
      <c r="H83" s="202"/>
      <c r="I83" s="202"/>
      <c r="J83" s="202"/>
      <c r="K83" s="202"/>
      <c r="L83" s="202"/>
    </row>
    <row r="84" spans="1:12" outlineLevel="1" x14ac:dyDescent="0.25">
      <c r="A84" s="203"/>
      <c r="B84" s="203"/>
      <c r="C84" s="203"/>
      <c r="D84" s="203" t="s">
        <v>2481</v>
      </c>
      <c r="E84" s="203" t="s">
        <v>868</v>
      </c>
      <c r="F84" s="203" t="s">
        <v>2446</v>
      </c>
      <c r="G84" s="203"/>
      <c r="H84" s="203"/>
      <c r="I84" s="203"/>
      <c r="J84" s="203"/>
      <c r="K84" s="203"/>
      <c r="L84" s="203"/>
    </row>
    <row r="85" spans="1:12" outlineLevel="1" x14ac:dyDescent="0.25">
      <c r="A85" s="202"/>
      <c r="B85" s="202"/>
      <c r="C85" s="202"/>
      <c r="D85" s="202" t="s">
        <v>2482</v>
      </c>
      <c r="E85" s="202" t="s">
        <v>868</v>
      </c>
      <c r="F85" s="202" t="s">
        <v>2268</v>
      </c>
      <c r="G85" s="202"/>
      <c r="H85" s="202"/>
      <c r="I85" s="202"/>
      <c r="J85" s="202"/>
      <c r="K85" s="202"/>
      <c r="L85" s="202"/>
    </row>
    <row r="86" spans="1:12" outlineLevel="1" x14ac:dyDescent="0.25">
      <c r="A86" s="203"/>
      <c r="B86" s="203"/>
      <c r="C86" s="203"/>
      <c r="D86" s="203" t="s">
        <v>2483</v>
      </c>
      <c r="E86" s="203" t="s">
        <v>758</v>
      </c>
      <c r="F86" s="203" t="s">
        <v>476</v>
      </c>
      <c r="G86" s="203"/>
      <c r="H86" s="203"/>
      <c r="I86" s="203"/>
      <c r="J86" s="203"/>
      <c r="K86" s="203"/>
      <c r="L86" s="203"/>
    </row>
    <row r="87" spans="1:12" outlineLevel="1" x14ac:dyDescent="0.25">
      <c r="A87" s="202"/>
      <c r="B87" s="202"/>
      <c r="C87" s="202"/>
      <c r="D87" s="202" t="s">
        <v>2484</v>
      </c>
      <c r="E87" s="202" t="s">
        <v>868</v>
      </c>
      <c r="F87" s="202" t="s">
        <v>2485</v>
      </c>
      <c r="G87" s="202"/>
      <c r="H87" s="202"/>
      <c r="I87" s="202"/>
      <c r="J87" s="202"/>
      <c r="K87" s="202"/>
      <c r="L87" s="202"/>
    </row>
    <row r="88" spans="1:12" outlineLevel="1" x14ac:dyDescent="0.25">
      <c r="A88" s="203"/>
      <c r="B88" s="203"/>
      <c r="C88" s="203"/>
      <c r="D88" s="203" t="s">
        <v>2486</v>
      </c>
      <c r="E88" s="203" t="s">
        <v>868</v>
      </c>
      <c r="F88" s="203" t="s">
        <v>2268</v>
      </c>
      <c r="G88" s="203"/>
      <c r="H88" s="203"/>
      <c r="I88" s="203"/>
      <c r="J88" s="203"/>
      <c r="K88" s="203"/>
      <c r="L88" s="203"/>
    </row>
    <row r="89" spans="1:12" outlineLevel="1" x14ac:dyDescent="0.25">
      <c r="A89" s="202"/>
      <c r="B89" s="202"/>
      <c r="C89" s="202"/>
      <c r="D89" s="202" t="s">
        <v>2487</v>
      </c>
      <c r="E89" s="202" t="s">
        <v>868</v>
      </c>
      <c r="F89" s="202" t="s">
        <v>2471</v>
      </c>
      <c r="G89" s="202"/>
      <c r="H89" s="202"/>
      <c r="I89" s="202"/>
      <c r="J89" s="202"/>
      <c r="K89" s="202"/>
      <c r="L89" s="202"/>
    </row>
    <row r="90" spans="1:12" outlineLevel="1" x14ac:dyDescent="0.25">
      <c r="A90" s="203"/>
      <c r="B90" s="203"/>
      <c r="C90" s="203"/>
      <c r="D90" s="203" t="s">
        <v>2488</v>
      </c>
      <c r="E90" s="203" t="s">
        <v>868</v>
      </c>
      <c r="F90" s="203" t="s">
        <v>2446</v>
      </c>
      <c r="G90" s="203"/>
      <c r="H90" s="203"/>
      <c r="I90" s="203"/>
      <c r="J90" s="203"/>
      <c r="K90" s="203"/>
      <c r="L90" s="203"/>
    </row>
    <row r="91" spans="1:12" outlineLevel="1" x14ac:dyDescent="0.25">
      <c r="A91" s="202"/>
      <c r="B91" s="202"/>
      <c r="C91" s="202"/>
      <c r="D91" s="202" t="s">
        <v>2489</v>
      </c>
      <c r="E91" s="202" t="s">
        <v>758</v>
      </c>
      <c r="F91" s="202" t="s">
        <v>2490</v>
      </c>
      <c r="G91" s="202"/>
      <c r="H91" s="202"/>
      <c r="I91" s="202"/>
      <c r="J91" s="202"/>
      <c r="K91" s="202"/>
      <c r="L91" s="202"/>
    </row>
    <row r="92" spans="1:12" outlineLevel="1" x14ac:dyDescent="0.25">
      <c r="A92" s="203"/>
      <c r="B92" s="203"/>
      <c r="C92" s="203"/>
      <c r="D92" s="203" t="s">
        <v>2491</v>
      </c>
      <c r="E92" s="203" t="s">
        <v>834</v>
      </c>
      <c r="F92" s="203" t="s">
        <v>479</v>
      </c>
      <c r="G92" s="203"/>
      <c r="H92" s="203"/>
      <c r="I92" s="203"/>
      <c r="J92" s="203"/>
      <c r="K92" s="203"/>
      <c r="L92" s="203"/>
    </row>
    <row r="93" spans="1:12" outlineLevel="1" x14ac:dyDescent="0.25">
      <c r="A93" s="202"/>
      <c r="B93" s="202"/>
      <c r="C93" s="202"/>
      <c r="D93" s="202" t="s">
        <v>2492</v>
      </c>
      <c r="E93" s="202" t="s">
        <v>868</v>
      </c>
      <c r="F93" s="202" t="s">
        <v>2471</v>
      </c>
      <c r="G93" s="202"/>
      <c r="H93" s="202"/>
      <c r="I93" s="202"/>
      <c r="J93" s="202"/>
      <c r="K93" s="202"/>
      <c r="L93" s="202"/>
    </row>
    <row r="94" spans="1:12" outlineLevel="1" x14ac:dyDescent="0.25">
      <c r="A94" s="203"/>
      <c r="B94" s="203"/>
      <c r="C94" s="203"/>
      <c r="D94" s="203" t="s">
        <v>2493</v>
      </c>
      <c r="E94" s="203" t="s">
        <v>868</v>
      </c>
      <c r="F94" s="203" t="s">
        <v>2471</v>
      </c>
      <c r="G94" s="203"/>
      <c r="H94" s="203"/>
      <c r="I94" s="203"/>
      <c r="J94" s="203"/>
      <c r="K94" s="203"/>
      <c r="L94" s="203"/>
    </row>
    <row r="95" spans="1:12" outlineLevel="1" x14ac:dyDescent="0.25">
      <c r="A95" s="202"/>
      <c r="B95" s="202"/>
      <c r="C95" s="202"/>
      <c r="D95" s="202" t="s">
        <v>2494</v>
      </c>
      <c r="E95" s="202" t="s">
        <v>868</v>
      </c>
      <c r="F95" s="202" t="s">
        <v>2446</v>
      </c>
      <c r="G95" s="202"/>
      <c r="H95" s="202"/>
      <c r="I95" s="202"/>
      <c r="J95" s="202"/>
      <c r="K95" s="202"/>
      <c r="L95" s="202"/>
    </row>
    <row r="96" spans="1:12" outlineLevel="1" x14ac:dyDescent="0.25">
      <c r="A96" s="203"/>
      <c r="B96" s="203"/>
      <c r="C96" s="203"/>
      <c r="D96" s="203" t="s">
        <v>2495</v>
      </c>
      <c r="E96" s="203" t="s">
        <v>758</v>
      </c>
      <c r="F96" s="203" t="s">
        <v>480</v>
      </c>
      <c r="G96" s="203"/>
      <c r="H96" s="203"/>
      <c r="I96" s="203"/>
      <c r="J96" s="203"/>
      <c r="K96" s="203"/>
      <c r="L96" s="203"/>
    </row>
    <row r="97" spans="1:12" outlineLevel="1" x14ac:dyDescent="0.25">
      <c r="A97" s="202"/>
      <c r="B97" s="202"/>
      <c r="C97" s="202"/>
      <c r="D97" s="202" t="s">
        <v>2496</v>
      </c>
      <c r="E97" s="202" t="s">
        <v>763</v>
      </c>
      <c r="F97" s="202" t="s">
        <v>1350</v>
      </c>
      <c r="G97" s="202"/>
      <c r="H97" s="202"/>
      <c r="I97" s="202"/>
      <c r="J97" s="202"/>
      <c r="K97" s="202"/>
      <c r="L97" s="202"/>
    </row>
    <row r="98" spans="1:12" outlineLevel="1" x14ac:dyDescent="0.25">
      <c r="A98" s="203"/>
      <c r="B98" s="203"/>
      <c r="C98" s="203"/>
      <c r="D98" s="203" t="s">
        <v>2497</v>
      </c>
      <c r="E98" s="203" t="s">
        <v>868</v>
      </c>
      <c r="F98" s="203" t="s">
        <v>2431</v>
      </c>
      <c r="G98" s="203"/>
      <c r="H98" s="203"/>
      <c r="I98" s="203"/>
      <c r="J98" s="203"/>
      <c r="K98" s="203"/>
      <c r="L98" s="203"/>
    </row>
    <row r="99" spans="1:12" outlineLevel="1" x14ac:dyDescent="0.25">
      <c r="A99" s="202"/>
      <c r="B99" s="202"/>
      <c r="C99" s="202"/>
      <c r="D99" s="202" t="s">
        <v>2498</v>
      </c>
      <c r="E99" s="202" t="s">
        <v>868</v>
      </c>
      <c r="F99" s="202" t="s">
        <v>2431</v>
      </c>
      <c r="G99" s="202"/>
      <c r="H99" s="202"/>
      <c r="I99" s="202"/>
      <c r="J99" s="202"/>
      <c r="K99" s="202"/>
      <c r="L99" s="202"/>
    </row>
    <row r="100" spans="1:12" outlineLevel="1" x14ac:dyDescent="0.25">
      <c r="A100" s="203"/>
      <c r="B100" s="203"/>
      <c r="C100" s="203"/>
      <c r="D100" s="203" t="s">
        <v>2499</v>
      </c>
      <c r="E100" s="203" t="s">
        <v>868</v>
      </c>
      <c r="F100" s="203" t="s">
        <v>2446</v>
      </c>
      <c r="G100" s="203"/>
      <c r="H100" s="203"/>
      <c r="I100" s="203"/>
      <c r="J100" s="203"/>
      <c r="K100" s="203"/>
      <c r="L100" s="203"/>
    </row>
    <row r="101" spans="1:12" outlineLevel="1" x14ac:dyDescent="0.25">
      <c r="A101" s="202"/>
      <c r="B101" s="202"/>
      <c r="C101" s="202"/>
      <c r="D101" s="202" t="s">
        <v>2500</v>
      </c>
      <c r="E101" s="202" t="s">
        <v>758</v>
      </c>
      <c r="F101" s="202" t="s">
        <v>481</v>
      </c>
      <c r="G101" s="202"/>
      <c r="H101" s="202"/>
      <c r="I101" s="202"/>
      <c r="J101" s="202"/>
      <c r="K101" s="202"/>
      <c r="L101" s="202"/>
    </row>
    <row r="102" spans="1:12" outlineLevel="1" x14ac:dyDescent="0.25">
      <c r="A102" s="203"/>
      <c r="B102" s="203"/>
      <c r="C102" s="203"/>
      <c r="D102" s="203" t="s">
        <v>2501</v>
      </c>
      <c r="E102" s="203" t="s">
        <v>868</v>
      </c>
      <c r="F102" s="203" t="s">
        <v>2502</v>
      </c>
      <c r="G102" s="203"/>
      <c r="H102" s="203"/>
      <c r="I102" s="203"/>
      <c r="J102" s="203"/>
      <c r="K102" s="203"/>
      <c r="L102" s="203"/>
    </row>
    <row r="103" spans="1:12" outlineLevel="1" x14ac:dyDescent="0.25">
      <c r="A103" s="202"/>
      <c r="B103" s="202"/>
      <c r="C103" s="202"/>
      <c r="D103" s="202" t="s">
        <v>2503</v>
      </c>
      <c r="E103" s="202" t="s">
        <v>868</v>
      </c>
      <c r="F103" s="202" t="s">
        <v>2446</v>
      </c>
      <c r="G103" s="202"/>
      <c r="H103" s="202"/>
      <c r="I103" s="202"/>
      <c r="J103" s="202"/>
      <c r="K103" s="202"/>
      <c r="L103" s="202"/>
    </row>
    <row r="104" spans="1:12" outlineLevel="1" x14ac:dyDescent="0.25">
      <c r="A104" s="203"/>
      <c r="B104" s="203"/>
      <c r="C104" s="203"/>
      <c r="D104" s="203" t="s">
        <v>2504</v>
      </c>
      <c r="E104" s="203" t="s">
        <v>868</v>
      </c>
      <c r="F104" s="203" t="s">
        <v>2431</v>
      </c>
      <c r="G104" s="203"/>
      <c r="H104" s="203"/>
      <c r="I104" s="203"/>
      <c r="J104" s="203"/>
      <c r="K104" s="203"/>
      <c r="L104" s="203"/>
    </row>
    <row r="105" spans="1:12" outlineLevel="1" x14ac:dyDescent="0.25">
      <c r="A105" s="202"/>
      <c r="B105" s="202"/>
      <c r="C105" s="202"/>
      <c r="D105" s="202" t="s">
        <v>2505</v>
      </c>
      <c r="E105" s="202" t="s">
        <v>868</v>
      </c>
      <c r="F105" s="202" t="s">
        <v>2446</v>
      </c>
      <c r="G105" s="202"/>
      <c r="H105" s="202"/>
      <c r="I105" s="202"/>
      <c r="J105" s="202"/>
      <c r="K105" s="202"/>
      <c r="L105" s="202"/>
    </row>
    <row r="106" spans="1:12" outlineLevel="1" x14ac:dyDescent="0.25">
      <c r="A106" s="203"/>
      <c r="B106" s="203"/>
      <c r="C106" s="203"/>
      <c r="D106" s="203" t="s">
        <v>2506</v>
      </c>
      <c r="E106" s="203" t="s">
        <v>758</v>
      </c>
      <c r="F106" s="203" t="s">
        <v>2507</v>
      </c>
      <c r="G106" s="203"/>
      <c r="H106" s="203"/>
      <c r="I106" s="203"/>
      <c r="J106" s="203"/>
      <c r="K106" s="203"/>
      <c r="L106" s="203"/>
    </row>
    <row r="107" spans="1:12" outlineLevel="1" x14ac:dyDescent="0.25">
      <c r="A107" s="202"/>
      <c r="B107" s="202"/>
      <c r="C107" s="202"/>
      <c r="D107" s="202" t="s">
        <v>2508</v>
      </c>
      <c r="E107" s="202" t="s">
        <v>834</v>
      </c>
      <c r="F107" s="202" t="s">
        <v>484</v>
      </c>
      <c r="G107" s="202"/>
      <c r="H107" s="202"/>
      <c r="I107" s="202"/>
      <c r="J107" s="202"/>
      <c r="K107" s="202"/>
      <c r="L107" s="202"/>
    </row>
    <row r="108" spans="1:12" outlineLevel="1" x14ac:dyDescent="0.25">
      <c r="A108" s="203"/>
      <c r="B108" s="203"/>
      <c r="C108" s="203"/>
      <c r="D108" s="203" t="s">
        <v>2509</v>
      </c>
      <c r="E108" s="203" t="s">
        <v>758</v>
      </c>
      <c r="F108" s="203" t="s">
        <v>2510</v>
      </c>
      <c r="G108" s="203"/>
      <c r="H108" s="203"/>
      <c r="I108" s="203"/>
      <c r="J108" s="203"/>
      <c r="K108" s="203"/>
      <c r="L108" s="203"/>
    </row>
    <row r="109" spans="1:12" outlineLevel="1" x14ac:dyDescent="0.25">
      <c r="A109" s="202"/>
      <c r="B109" s="202"/>
      <c r="C109" s="202"/>
      <c r="D109" s="202" t="s">
        <v>2511</v>
      </c>
      <c r="E109" s="202" t="s">
        <v>758</v>
      </c>
      <c r="F109" s="202" t="s">
        <v>982</v>
      </c>
      <c r="G109" s="202"/>
      <c r="H109" s="202"/>
      <c r="I109" s="202"/>
      <c r="J109" s="202"/>
      <c r="K109" s="202"/>
      <c r="L109" s="202"/>
    </row>
    <row r="110" spans="1:12" outlineLevel="1" x14ac:dyDescent="0.25">
      <c r="A110" s="203"/>
      <c r="B110" s="203"/>
      <c r="C110" s="203"/>
      <c r="D110" s="203" t="s">
        <v>2512</v>
      </c>
      <c r="E110" s="203" t="s">
        <v>758</v>
      </c>
      <c r="F110" s="203" t="s">
        <v>1908</v>
      </c>
      <c r="G110" s="203"/>
      <c r="H110" s="203"/>
      <c r="I110" s="203"/>
      <c r="J110" s="203"/>
      <c r="K110" s="203"/>
      <c r="L110" s="203"/>
    </row>
    <row r="111" spans="1:12" outlineLevel="1" x14ac:dyDescent="0.25">
      <c r="A111" s="202"/>
      <c r="B111" s="202"/>
      <c r="C111" s="202"/>
      <c r="D111" s="202" t="s">
        <v>2513</v>
      </c>
      <c r="E111" s="202" t="s">
        <v>758</v>
      </c>
      <c r="F111" s="202" t="s">
        <v>1437</v>
      </c>
      <c r="G111" s="202"/>
      <c r="H111" s="202"/>
      <c r="I111" s="202"/>
      <c r="J111" s="202"/>
      <c r="K111" s="202"/>
      <c r="L111" s="202"/>
    </row>
    <row r="112" spans="1:12" outlineLevel="1" x14ac:dyDescent="0.25">
      <c r="A112" s="203"/>
      <c r="B112" s="203"/>
      <c r="C112" s="203"/>
      <c r="D112" s="203" t="s">
        <v>2514</v>
      </c>
      <c r="E112" s="203" t="s">
        <v>763</v>
      </c>
      <c r="F112" s="203" t="s">
        <v>2515</v>
      </c>
      <c r="G112" s="203"/>
      <c r="H112" s="203"/>
      <c r="I112" s="203"/>
      <c r="J112" s="203"/>
      <c r="K112" s="203"/>
      <c r="L112" s="203"/>
    </row>
    <row r="113" spans="1:12" outlineLevel="1" x14ac:dyDescent="0.25">
      <c r="A113" s="202"/>
      <c r="B113" s="202"/>
      <c r="C113" s="202"/>
      <c r="D113" s="202" t="s">
        <v>2516</v>
      </c>
      <c r="E113" s="202" t="s">
        <v>2546</v>
      </c>
      <c r="F113" s="202" t="s">
        <v>2446</v>
      </c>
      <c r="G113" s="202"/>
      <c r="H113" s="202"/>
      <c r="I113" s="202"/>
      <c r="J113" s="202"/>
      <c r="K113" s="202"/>
      <c r="L113" s="202"/>
    </row>
    <row r="114" spans="1:12" outlineLevel="1" x14ac:dyDescent="0.25">
      <c r="A114" s="203"/>
      <c r="B114" s="203"/>
      <c r="C114" s="203"/>
      <c r="D114" s="203" t="s">
        <v>2517</v>
      </c>
      <c r="E114" s="203" t="s">
        <v>758</v>
      </c>
      <c r="F114" s="203" t="s">
        <v>2518</v>
      </c>
      <c r="G114" s="203"/>
      <c r="H114" s="203"/>
      <c r="I114" s="203"/>
      <c r="J114" s="203"/>
      <c r="K114" s="203"/>
      <c r="L114" s="203"/>
    </row>
    <row r="115" spans="1:12" outlineLevel="1" x14ac:dyDescent="0.25">
      <c r="A115" s="202"/>
      <c r="B115" s="202"/>
      <c r="C115" s="202"/>
      <c r="D115" s="202" t="s">
        <v>2519</v>
      </c>
      <c r="E115" s="202" t="s">
        <v>758</v>
      </c>
      <c r="F115" s="202" t="s">
        <v>1345</v>
      </c>
      <c r="G115" s="202"/>
      <c r="H115" s="202"/>
      <c r="I115" s="202"/>
      <c r="J115" s="202"/>
      <c r="K115" s="202"/>
      <c r="L115" s="202"/>
    </row>
    <row r="116" spans="1:12" outlineLevel="1" x14ac:dyDescent="0.25">
      <c r="A116" s="203"/>
      <c r="B116" s="203"/>
      <c r="C116" s="203"/>
      <c r="D116" s="203" t="s">
        <v>2520</v>
      </c>
      <c r="E116" s="203" t="s">
        <v>2547</v>
      </c>
      <c r="F116" s="203" t="s">
        <v>2446</v>
      </c>
      <c r="G116" s="203"/>
      <c r="H116" s="203"/>
      <c r="I116" s="203"/>
      <c r="J116" s="203"/>
      <c r="K116" s="203"/>
      <c r="L116" s="203"/>
    </row>
    <row r="117" spans="1:12" outlineLevel="1" x14ac:dyDescent="0.25">
      <c r="A117" s="202"/>
      <c r="B117" s="202"/>
      <c r="C117" s="202"/>
      <c r="D117" s="202" t="s">
        <v>2521</v>
      </c>
      <c r="E117" s="202" t="s">
        <v>758</v>
      </c>
      <c r="F117" s="202" t="s">
        <v>2522</v>
      </c>
      <c r="G117" s="202"/>
      <c r="H117" s="202"/>
      <c r="I117" s="202"/>
      <c r="J117" s="202"/>
      <c r="K117" s="202"/>
      <c r="L117" s="202"/>
    </row>
    <row r="118" spans="1:12" outlineLevel="1" x14ac:dyDescent="0.25">
      <c r="A118" s="203"/>
      <c r="B118" s="203"/>
      <c r="C118" s="203"/>
      <c r="D118" s="203" t="s">
        <v>2523</v>
      </c>
      <c r="E118" s="203" t="s">
        <v>758</v>
      </c>
      <c r="F118" s="203" t="s">
        <v>2524</v>
      </c>
      <c r="G118" s="203"/>
      <c r="H118" s="203"/>
      <c r="I118" s="203"/>
      <c r="J118" s="203"/>
      <c r="K118" s="203"/>
      <c r="L118" s="203"/>
    </row>
    <row r="119" spans="1:12" outlineLevel="1" x14ac:dyDescent="0.25">
      <c r="A119" s="202"/>
      <c r="B119" s="202"/>
      <c r="C119" s="202"/>
      <c r="D119" s="202" t="s">
        <v>2525</v>
      </c>
      <c r="E119" s="202" t="s">
        <v>758</v>
      </c>
      <c r="F119" s="202" t="s">
        <v>2526</v>
      </c>
      <c r="G119" s="202"/>
      <c r="H119" s="202"/>
      <c r="I119" s="202"/>
      <c r="J119" s="202"/>
      <c r="K119" s="202"/>
      <c r="L119" s="202"/>
    </row>
    <row r="120" spans="1:12" outlineLevel="1" x14ac:dyDescent="0.25">
      <c r="A120" s="203"/>
      <c r="B120" s="203"/>
      <c r="C120" s="203"/>
      <c r="D120" s="203" t="s">
        <v>2527</v>
      </c>
      <c r="E120" s="203" t="s">
        <v>763</v>
      </c>
      <c r="F120" s="203" t="s">
        <v>445</v>
      </c>
      <c r="G120" s="203"/>
      <c r="H120" s="203"/>
      <c r="I120" s="203"/>
      <c r="J120" s="203"/>
      <c r="K120" s="203"/>
      <c r="L120" s="203"/>
    </row>
    <row r="121" spans="1:12" outlineLevel="1" x14ac:dyDescent="0.25">
      <c r="A121" s="202"/>
      <c r="B121" s="202"/>
      <c r="C121" s="202"/>
      <c r="D121" s="222" t="s">
        <v>2528</v>
      </c>
      <c r="E121" s="222" t="s">
        <v>943</v>
      </c>
      <c r="F121" s="222" t="s">
        <v>943</v>
      </c>
      <c r="G121" s="202"/>
      <c r="H121" s="202"/>
      <c r="I121" s="202"/>
      <c r="J121" s="202"/>
      <c r="K121" s="202"/>
      <c r="L121" s="202"/>
    </row>
    <row r="122" spans="1:12" outlineLevel="1" x14ac:dyDescent="0.25">
      <c r="A122" s="203"/>
      <c r="B122" s="203"/>
      <c r="C122" s="203"/>
      <c r="D122" s="203" t="s">
        <v>2529</v>
      </c>
      <c r="E122" s="203" t="s">
        <v>758</v>
      </c>
      <c r="F122" s="203" t="s">
        <v>2530</v>
      </c>
      <c r="G122" s="203"/>
      <c r="H122" s="203"/>
      <c r="I122" s="203"/>
      <c r="J122" s="203"/>
      <c r="K122" s="203"/>
      <c r="L122" s="203"/>
    </row>
    <row r="123" spans="1:12" outlineLevel="1" x14ac:dyDescent="0.25">
      <c r="A123" s="202"/>
      <c r="B123" s="202"/>
      <c r="C123" s="202"/>
      <c r="D123" s="202" t="s">
        <v>2531</v>
      </c>
      <c r="E123" s="202" t="s">
        <v>758</v>
      </c>
      <c r="F123" s="202" t="s">
        <v>1543</v>
      </c>
      <c r="G123" s="202"/>
      <c r="H123" s="202"/>
      <c r="I123" s="202"/>
      <c r="J123" s="202"/>
      <c r="K123" s="202"/>
      <c r="L123" s="202"/>
    </row>
    <row r="124" spans="1:12" outlineLevel="1" x14ac:dyDescent="0.25">
      <c r="A124" s="203"/>
      <c r="B124" s="203"/>
      <c r="C124" s="203"/>
      <c r="D124" s="203" t="s">
        <v>2532</v>
      </c>
      <c r="E124" s="203" t="s">
        <v>868</v>
      </c>
      <c r="F124" s="203" t="s">
        <v>2431</v>
      </c>
      <c r="G124" s="203"/>
      <c r="H124" s="203"/>
      <c r="I124" s="203"/>
      <c r="J124" s="203"/>
      <c r="K124" s="203"/>
      <c r="L124" s="203"/>
    </row>
    <row r="125" spans="1:12" outlineLevel="1" x14ac:dyDescent="0.25">
      <c r="A125" s="202"/>
      <c r="B125" s="202"/>
      <c r="C125" s="202"/>
      <c r="D125" s="202" t="s">
        <v>2533</v>
      </c>
      <c r="E125" s="202" t="s">
        <v>868</v>
      </c>
      <c r="F125" s="202" t="s">
        <v>2446</v>
      </c>
      <c r="G125" s="202"/>
      <c r="H125" s="202"/>
      <c r="I125" s="202"/>
      <c r="J125" s="202"/>
      <c r="K125" s="202"/>
      <c r="L125" s="202"/>
    </row>
    <row r="126" spans="1:12" outlineLevel="1" x14ac:dyDescent="0.25">
      <c r="A126" s="203"/>
      <c r="B126" s="203"/>
      <c r="C126" s="203"/>
      <c r="D126" s="203" t="s">
        <v>2534</v>
      </c>
      <c r="E126" s="203" t="s">
        <v>758</v>
      </c>
      <c r="F126" s="203" t="s">
        <v>434</v>
      </c>
      <c r="G126" s="203"/>
      <c r="H126" s="203"/>
      <c r="I126" s="203"/>
      <c r="J126" s="203"/>
      <c r="K126" s="203"/>
      <c r="L126" s="203"/>
    </row>
    <row r="127" spans="1:12" outlineLevel="1" x14ac:dyDescent="0.25">
      <c r="A127" s="202"/>
      <c r="B127" s="202"/>
      <c r="C127" s="202"/>
      <c r="D127" s="202" t="s">
        <v>2535</v>
      </c>
      <c r="E127" s="202" t="s">
        <v>763</v>
      </c>
      <c r="F127" s="202" t="s">
        <v>2536</v>
      </c>
      <c r="G127" s="202"/>
      <c r="H127" s="202"/>
      <c r="I127" s="202"/>
      <c r="J127" s="202"/>
      <c r="K127" s="202"/>
      <c r="L127" s="202"/>
    </row>
    <row r="128" spans="1:12" outlineLevel="1" x14ac:dyDescent="0.25">
      <c r="A128" s="203"/>
      <c r="B128" s="203"/>
      <c r="C128" s="203"/>
      <c r="D128" s="203" t="s">
        <v>2537</v>
      </c>
      <c r="E128" s="203" t="s">
        <v>758</v>
      </c>
      <c r="F128" s="203" t="s">
        <v>2538</v>
      </c>
      <c r="G128" s="203"/>
      <c r="H128" s="203"/>
      <c r="I128" s="203"/>
      <c r="J128" s="203"/>
      <c r="K128" s="203"/>
      <c r="L128" s="203"/>
    </row>
    <row r="129" spans="1:12" outlineLevel="1" x14ac:dyDescent="0.25">
      <c r="A129" s="202"/>
      <c r="B129" s="202"/>
      <c r="C129" s="202"/>
      <c r="D129" s="202" t="s">
        <v>2539</v>
      </c>
      <c r="E129" s="202" t="s">
        <v>758</v>
      </c>
      <c r="F129" s="202" t="s">
        <v>2255</v>
      </c>
      <c r="G129" s="202"/>
      <c r="H129" s="202"/>
      <c r="I129" s="202"/>
      <c r="J129" s="202"/>
      <c r="K129" s="202"/>
      <c r="L129" s="202"/>
    </row>
    <row r="130" spans="1:12" outlineLevel="1" x14ac:dyDescent="0.25">
      <c r="A130" s="203"/>
      <c r="B130" s="203"/>
      <c r="C130" s="203"/>
      <c r="D130" s="203" t="s">
        <v>2540</v>
      </c>
      <c r="E130" s="203" t="s">
        <v>758</v>
      </c>
      <c r="F130" s="203" t="s">
        <v>2541</v>
      </c>
      <c r="G130" s="203"/>
      <c r="H130" s="203"/>
      <c r="I130" s="203"/>
      <c r="J130" s="203"/>
      <c r="K130" s="203"/>
      <c r="L130" s="203"/>
    </row>
    <row r="131" spans="1:12" outlineLevel="1" x14ac:dyDescent="0.25">
      <c r="A131" s="202"/>
      <c r="B131" s="202"/>
      <c r="C131" s="202"/>
      <c r="D131" s="202" t="s">
        <v>2542</v>
      </c>
      <c r="E131" s="202" t="s">
        <v>758</v>
      </c>
      <c r="F131" s="202" t="s">
        <v>2543</v>
      </c>
      <c r="G131" s="202"/>
      <c r="H131" s="202"/>
      <c r="I131" s="202"/>
      <c r="J131" s="202"/>
      <c r="K131" s="202"/>
      <c r="L131" s="202"/>
    </row>
    <row r="132" spans="1:12" outlineLevel="1" x14ac:dyDescent="0.25">
      <c r="A132" s="203"/>
      <c r="B132" s="203"/>
      <c r="C132" s="203"/>
      <c r="D132" s="221" t="s">
        <v>2544</v>
      </c>
      <c r="E132" s="221" t="s">
        <v>943</v>
      </c>
      <c r="F132" s="221" t="s">
        <v>943</v>
      </c>
      <c r="G132" s="203"/>
      <c r="H132" s="203"/>
      <c r="I132" s="203"/>
      <c r="J132" s="203"/>
      <c r="K132" s="203"/>
      <c r="L132" s="203"/>
    </row>
    <row r="133" spans="1:12" outlineLevel="1" x14ac:dyDescent="0.25">
      <c r="A133" s="202"/>
      <c r="B133" s="202"/>
      <c r="C133" s="202"/>
      <c r="D133" s="202" t="s">
        <v>2545</v>
      </c>
      <c r="E133" s="202" t="s">
        <v>868</v>
      </c>
      <c r="F133" s="202" t="s">
        <v>2446</v>
      </c>
      <c r="G133" s="202"/>
      <c r="H133" s="202"/>
      <c r="I133" s="202"/>
      <c r="J133" s="202"/>
      <c r="K133" s="202"/>
      <c r="L133" s="202"/>
    </row>
  </sheetData>
  <mergeCells count="9">
    <mergeCell ref="A1:L1"/>
    <mergeCell ref="C6:C7"/>
    <mergeCell ref="A4:C4"/>
    <mergeCell ref="C13:C14"/>
    <mergeCell ref="A25:XFD25"/>
    <mergeCell ref="B6:B7"/>
    <mergeCell ref="B13:B14"/>
    <mergeCell ref="C19:C22"/>
    <mergeCell ref="B19:B22"/>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O244"/>
  <sheetViews>
    <sheetView tabSelected="1" workbookViewId="0">
      <selection activeCell="G33" sqref="G33:I33"/>
    </sheetView>
  </sheetViews>
  <sheetFormatPr defaultRowHeight="15" x14ac:dyDescent="0.25"/>
  <cols>
    <col min="1" max="1" width="24.7109375" bestFit="1" customWidth="1"/>
    <col min="2" max="2" width="25.140625" bestFit="1" customWidth="1"/>
    <col min="3" max="3" width="20" style="236" customWidth="1"/>
    <col min="4" max="4" width="10.7109375" customWidth="1"/>
    <col min="5" max="5" width="13.5703125" customWidth="1"/>
    <col min="6" max="6" width="35.42578125" style="236" customWidth="1"/>
    <col min="7" max="7" width="48.28515625" style="236" customWidth="1"/>
    <col min="8" max="8" width="27.7109375" style="236" customWidth="1"/>
    <col min="9" max="9" width="40.42578125" style="236" bestFit="1" customWidth="1"/>
    <col min="10" max="10" width="12.7109375" bestFit="1" customWidth="1"/>
    <col min="11" max="11" width="11.28515625" bestFit="1" customWidth="1"/>
    <col min="12" max="12" width="8.7109375" bestFit="1" customWidth="1"/>
    <col min="13" max="13" width="20.7109375" bestFit="1" customWidth="1"/>
    <col min="14" max="14" width="97.140625" bestFit="1" customWidth="1"/>
  </cols>
  <sheetData>
    <row r="1" spans="1:14" ht="45" x14ac:dyDescent="0.25">
      <c r="A1" s="129"/>
      <c r="B1" s="116" t="s">
        <v>731</v>
      </c>
      <c r="C1" s="130" t="s">
        <v>732</v>
      </c>
      <c r="D1" s="116" t="s">
        <v>1542</v>
      </c>
      <c r="E1" s="116" t="s">
        <v>733</v>
      </c>
      <c r="F1" s="130" t="s">
        <v>1584</v>
      </c>
      <c r="G1" s="185" t="s">
        <v>734</v>
      </c>
      <c r="H1" s="185" t="s">
        <v>736</v>
      </c>
      <c r="I1" s="185" t="s">
        <v>735</v>
      </c>
      <c r="J1" s="116" t="s">
        <v>737</v>
      </c>
      <c r="K1" s="116" t="s">
        <v>738</v>
      </c>
      <c r="L1" s="130" t="s">
        <v>739</v>
      </c>
      <c r="M1" s="117" t="s">
        <v>837</v>
      </c>
    </row>
    <row r="2" spans="1:14" ht="60" x14ac:dyDescent="0.25">
      <c r="A2" s="202" t="s">
        <v>2785</v>
      </c>
      <c r="B2" s="202" t="s">
        <v>1021</v>
      </c>
      <c r="C2" s="207" t="s">
        <v>1021</v>
      </c>
      <c r="D2" s="202"/>
      <c r="E2" s="202" t="s">
        <v>758</v>
      </c>
      <c r="F2" s="207" t="str">
        <f>CONCATENATE("&lt;",TRIM(C2),"&gt; &lt;/",TRIM(C2),"&gt;")</f>
        <v>&lt;Action&gt; &lt;/Action&gt;</v>
      </c>
      <c r="G2" s="207" t="s">
        <v>3189</v>
      </c>
      <c r="H2" s="207" t="s">
        <v>3190</v>
      </c>
      <c r="I2" s="207" t="s">
        <v>3191</v>
      </c>
      <c r="J2" s="202"/>
      <c r="K2" s="202"/>
      <c r="L2" s="202"/>
      <c r="M2" s="202"/>
      <c r="N2" s="202"/>
    </row>
    <row r="3" spans="1:14" ht="45" x14ac:dyDescent="0.25">
      <c r="A3" s="203" t="s">
        <v>2786</v>
      </c>
      <c r="B3" s="203" t="s">
        <v>745</v>
      </c>
      <c r="C3" s="226" t="s">
        <v>1929</v>
      </c>
      <c r="D3" s="203" t="s">
        <v>2397</v>
      </c>
      <c r="E3" s="203" t="s">
        <v>758</v>
      </c>
      <c r="F3" s="226" t="str">
        <f t="shared" ref="F3:F62" si="0">CONCATENATE("&lt;",TRIM(C3),"&gt; &lt;/",TRIM(C3),"&gt;")</f>
        <v>&lt;DriverLicenseNo&gt; &lt;/DriverLicenseNo&gt;</v>
      </c>
      <c r="G3" s="226" t="s">
        <v>3288</v>
      </c>
      <c r="H3" s="226" t="s">
        <v>3289</v>
      </c>
      <c r="I3" s="226" t="s">
        <v>3192</v>
      </c>
      <c r="J3" s="203"/>
      <c r="K3" s="203"/>
      <c r="L3" s="203"/>
      <c r="M3" s="203"/>
      <c r="N3" s="203"/>
    </row>
    <row r="4" spans="1:14" ht="30" hidden="1" x14ac:dyDescent="0.25">
      <c r="A4" s="202" t="s">
        <v>2582</v>
      </c>
      <c r="B4" s="202" t="s">
        <v>2306</v>
      </c>
      <c r="C4" s="207" t="s">
        <v>2549</v>
      </c>
      <c r="D4" s="202"/>
      <c r="E4" s="202" t="s">
        <v>834</v>
      </c>
      <c r="F4" s="207" t="str">
        <f t="shared" si="0"/>
        <v>&lt;ViewAdditionalRecords&gt; &lt;/ViewAdditionalRecords&gt;</v>
      </c>
      <c r="G4" s="207" t="s">
        <v>3290</v>
      </c>
      <c r="H4" s="226" t="s">
        <v>3296</v>
      </c>
      <c r="I4" s="207"/>
      <c r="J4" s="202"/>
      <c r="K4" s="202"/>
      <c r="L4" s="202"/>
      <c r="M4" s="202"/>
      <c r="N4" s="202"/>
    </row>
    <row r="5" spans="1:14" ht="30" hidden="1" x14ac:dyDescent="0.25">
      <c r="A5" s="203" t="s">
        <v>2582</v>
      </c>
      <c r="B5" s="203" t="s">
        <v>2307</v>
      </c>
      <c r="C5" s="226" t="s">
        <v>2550</v>
      </c>
      <c r="D5" s="203"/>
      <c r="E5" s="203" t="s">
        <v>758</v>
      </c>
      <c r="F5" s="226" t="str">
        <f t="shared" si="0"/>
        <v>&lt;NoOfRecordsToDriverLicense&gt; &lt;/NoOfRecordsToDriverLicense&gt;</v>
      </c>
      <c r="G5" s="207" t="s">
        <v>3291</v>
      </c>
      <c r="H5" s="226" t="s">
        <v>3297</v>
      </c>
      <c r="I5" s="226"/>
      <c r="J5" s="203"/>
      <c r="K5" s="203"/>
      <c r="L5" s="203"/>
      <c r="M5" s="203"/>
      <c r="N5" s="203"/>
    </row>
    <row r="6" spans="1:14" ht="165" hidden="1" x14ac:dyDescent="0.25">
      <c r="A6" s="202" t="s">
        <v>2305</v>
      </c>
      <c r="B6" s="202" t="s">
        <v>1017</v>
      </c>
      <c r="C6" s="207" t="s">
        <v>843</v>
      </c>
      <c r="D6" s="202"/>
      <c r="E6" s="202" t="s">
        <v>758</v>
      </c>
      <c r="F6" s="207" t="str">
        <f t="shared" si="0"/>
        <v>&lt;OwnerName&gt; &lt;/OwnerName&gt;</v>
      </c>
      <c r="G6" s="226" t="s">
        <v>3285</v>
      </c>
      <c r="H6" s="226" t="s">
        <v>966</v>
      </c>
      <c r="I6" s="226" t="s">
        <v>967</v>
      </c>
      <c r="J6" s="202"/>
      <c r="K6" s="202"/>
      <c r="L6" s="202"/>
      <c r="M6" s="202"/>
      <c r="N6" s="202"/>
    </row>
    <row r="7" spans="1:14" ht="30" hidden="1" x14ac:dyDescent="0.25">
      <c r="A7" s="203" t="s">
        <v>2305</v>
      </c>
      <c r="B7" s="203" t="s">
        <v>2551</v>
      </c>
      <c r="C7" s="226" t="s">
        <v>2579</v>
      </c>
      <c r="D7" s="203"/>
      <c r="E7" s="203" t="s">
        <v>758</v>
      </c>
      <c r="F7" s="226" t="str">
        <f t="shared" si="0"/>
        <v>&lt;DriverLicenseStatus&gt; &lt;/DriverLicenseStatus&gt;</v>
      </c>
      <c r="G7" s="226" t="s">
        <v>3292</v>
      </c>
      <c r="H7" s="226" t="s">
        <v>3293</v>
      </c>
      <c r="I7" s="226"/>
      <c r="J7" s="203"/>
      <c r="K7" s="203"/>
      <c r="L7" s="203"/>
      <c r="M7" s="203"/>
      <c r="N7" s="203"/>
    </row>
    <row r="8" spans="1:14" ht="30" hidden="1" x14ac:dyDescent="0.25">
      <c r="A8" s="202" t="s">
        <v>2784</v>
      </c>
      <c r="B8" s="202" t="s">
        <v>1932</v>
      </c>
      <c r="C8" s="207" t="s">
        <v>1933</v>
      </c>
      <c r="D8" s="202"/>
      <c r="E8" s="202" t="s">
        <v>758</v>
      </c>
      <c r="F8" s="207" t="str">
        <f t="shared" si="0"/>
        <v>&lt;DriverLicenseClassType&gt; &lt;/DriverLicenseClassType&gt;</v>
      </c>
      <c r="G8" s="207" t="s">
        <v>3193</v>
      </c>
      <c r="H8" s="207" t="s">
        <v>2779</v>
      </c>
      <c r="I8" s="207" t="s">
        <v>3194</v>
      </c>
      <c r="J8" s="202"/>
      <c r="K8" s="202"/>
      <c r="L8" s="202"/>
      <c r="M8" s="202"/>
      <c r="N8" s="202"/>
    </row>
    <row r="9" spans="1:14" ht="30" hidden="1" x14ac:dyDescent="0.25">
      <c r="A9" s="203" t="s">
        <v>2784</v>
      </c>
      <c r="B9" s="203" t="s">
        <v>1340</v>
      </c>
      <c r="C9" s="226" t="s">
        <v>1055</v>
      </c>
      <c r="D9" s="203"/>
      <c r="E9" s="203" t="s">
        <v>763</v>
      </c>
      <c r="F9" s="226" t="str">
        <f t="shared" si="0"/>
        <v>&lt;DateOfBirth&gt; &lt;/DateOfBirth&gt;</v>
      </c>
      <c r="G9" s="195" t="s">
        <v>3195</v>
      </c>
      <c r="H9" s="195" t="s">
        <v>1203</v>
      </c>
      <c r="I9" s="195" t="s">
        <v>3199</v>
      </c>
      <c r="J9" s="203"/>
      <c r="K9" s="203"/>
      <c r="L9" s="203"/>
      <c r="M9" s="203"/>
      <c r="N9" s="203"/>
    </row>
    <row r="10" spans="1:14" hidden="1" x14ac:dyDescent="0.25">
      <c r="A10" s="202" t="s">
        <v>2305</v>
      </c>
      <c r="B10" s="202" t="s">
        <v>2552</v>
      </c>
      <c r="C10" s="207" t="s">
        <v>2572</v>
      </c>
      <c r="D10" s="202"/>
      <c r="E10" s="202" t="s">
        <v>763</v>
      </c>
      <c r="F10" s="207" t="str">
        <f t="shared" si="0"/>
        <v>&lt;DateOfExpiry&gt; &lt;/DateOfExpiry&gt;</v>
      </c>
      <c r="G10" s="207"/>
      <c r="H10" s="207"/>
      <c r="I10" s="207"/>
      <c r="J10" s="202"/>
      <c r="K10" s="202"/>
      <c r="L10" s="202"/>
      <c r="M10" s="202"/>
      <c r="N10" s="202"/>
    </row>
    <row r="11" spans="1:14" ht="30" hidden="1" x14ac:dyDescent="0.25">
      <c r="A11" s="203" t="s">
        <v>2305</v>
      </c>
      <c r="B11" s="203" t="s">
        <v>2553</v>
      </c>
      <c r="C11" s="226" t="s">
        <v>2573</v>
      </c>
      <c r="D11" s="203"/>
      <c r="E11" s="203" t="s">
        <v>758</v>
      </c>
      <c r="F11" s="226" t="str">
        <f t="shared" si="0"/>
        <v>&lt;OwnerAddress&gt; &lt;/OwnerAddress&gt;</v>
      </c>
      <c r="G11" s="214" t="s">
        <v>3286</v>
      </c>
      <c r="H11" s="214" t="s">
        <v>367</v>
      </c>
      <c r="I11" s="214" t="s">
        <v>241</v>
      </c>
      <c r="J11" s="203"/>
      <c r="K11" s="203"/>
      <c r="L11" s="203"/>
      <c r="M11" s="203"/>
      <c r="N11" s="203"/>
    </row>
    <row r="12" spans="1:14" ht="30" hidden="1" x14ac:dyDescent="0.25">
      <c r="A12" s="202" t="s">
        <v>2305</v>
      </c>
      <c r="B12" s="202" t="s">
        <v>809</v>
      </c>
      <c r="C12" s="207" t="s">
        <v>2574</v>
      </c>
      <c r="D12" s="202"/>
      <c r="E12" s="202" t="s">
        <v>758</v>
      </c>
      <c r="F12" s="207" t="str">
        <f t="shared" si="0"/>
        <v>&lt;OwnerCity&gt; &lt;/OwnerCity&gt;</v>
      </c>
      <c r="G12" s="214" t="s">
        <v>3286</v>
      </c>
      <c r="H12" s="214" t="s">
        <v>367</v>
      </c>
      <c r="I12" s="214" t="s">
        <v>241</v>
      </c>
      <c r="J12" s="202"/>
      <c r="K12" s="202"/>
      <c r="L12" s="202"/>
      <c r="M12" s="202"/>
      <c r="N12" s="202"/>
    </row>
    <row r="13" spans="1:14" ht="30" hidden="1" x14ac:dyDescent="0.25">
      <c r="A13" s="203" t="s">
        <v>2305</v>
      </c>
      <c r="B13" s="203" t="s">
        <v>810</v>
      </c>
      <c r="C13" s="226" t="s">
        <v>2575</v>
      </c>
      <c r="D13" s="203"/>
      <c r="E13" s="203" t="s">
        <v>758</v>
      </c>
      <c r="F13" s="226" t="str">
        <f t="shared" si="0"/>
        <v>&lt;OwnerState&gt; &lt;/OwnerState&gt;</v>
      </c>
      <c r="G13" s="195" t="s">
        <v>3287</v>
      </c>
      <c r="H13" s="195" t="s">
        <v>368</v>
      </c>
      <c r="I13" s="195" t="s">
        <v>242</v>
      </c>
      <c r="J13" s="203"/>
      <c r="K13" s="203"/>
      <c r="L13" s="203"/>
      <c r="M13" s="203"/>
      <c r="N13" s="203"/>
    </row>
    <row r="14" spans="1:14" ht="30" hidden="1" x14ac:dyDescent="0.25">
      <c r="A14" s="202" t="s">
        <v>2784</v>
      </c>
      <c r="B14" s="202" t="s">
        <v>2554</v>
      </c>
      <c r="C14" s="207" t="s">
        <v>2571</v>
      </c>
      <c r="D14" s="202"/>
      <c r="E14" s="202" t="s">
        <v>758</v>
      </c>
      <c r="F14" s="207" t="str">
        <f t="shared" si="0"/>
        <v>&lt;Eye&gt; &lt;/Eye&gt;</v>
      </c>
      <c r="G14" s="195" t="s">
        <v>3196</v>
      </c>
      <c r="H14" s="195" t="s">
        <v>1492</v>
      </c>
      <c r="I14" s="195" t="s">
        <v>3200</v>
      </c>
      <c r="J14" s="202"/>
      <c r="K14" s="202"/>
      <c r="L14" s="202"/>
      <c r="M14" s="202"/>
      <c r="N14" s="202"/>
    </row>
    <row r="15" spans="1:14" ht="30" hidden="1" x14ac:dyDescent="0.25">
      <c r="A15" s="203" t="s">
        <v>2784</v>
      </c>
      <c r="B15" s="203" t="s">
        <v>2555</v>
      </c>
      <c r="C15" s="226" t="s">
        <v>108</v>
      </c>
      <c r="D15" s="203"/>
      <c r="E15" s="203" t="s">
        <v>1961</v>
      </c>
      <c r="F15" s="226" t="str">
        <f t="shared" si="0"/>
        <v>&lt;Weight&gt; &lt;/Weight&gt;</v>
      </c>
      <c r="G15" s="214" t="s">
        <v>3197</v>
      </c>
      <c r="H15" s="214" t="s">
        <v>1524</v>
      </c>
      <c r="I15" s="214" t="s">
        <v>3201</v>
      </c>
      <c r="J15" s="203"/>
      <c r="K15" s="203"/>
      <c r="L15" s="203"/>
      <c r="M15" s="203"/>
      <c r="N15" s="203"/>
    </row>
    <row r="16" spans="1:14" ht="30" hidden="1" x14ac:dyDescent="0.25">
      <c r="A16" s="202" t="s">
        <v>2784</v>
      </c>
      <c r="B16" s="202" t="s">
        <v>2556</v>
      </c>
      <c r="C16" s="207" t="s">
        <v>1496</v>
      </c>
      <c r="D16" s="202"/>
      <c r="E16" s="202" t="s">
        <v>758</v>
      </c>
      <c r="F16" s="207" t="str">
        <f t="shared" si="0"/>
        <v>&lt;Height&gt; &lt;/Height&gt;</v>
      </c>
      <c r="G16" s="195" t="s">
        <v>3198</v>
      </c>
      <c r="H16" s="195" t="s">
        <v>2270</v>
      </c>
      <c r="I16" s="195" t="s">
        <v>3202</v>
      </c>
      <c r="J16" s="202"/>
      <c r="K16" s="202"/>
      <c r="L16" s="202"/>
      <c r="M16" s="202"/>
      <c r="N16" s="202"/>
    </row>
    <row r="17" spans="1:14" hidden="1" x14ac:dyDescent="0.25">
      <c r="A17" s="203" t="s">
        <v>2784</v>
      </c>
      <c r="B17" s="203" t="s">
        <v>2636</v>
      </c>
      <c r="C17" s="226" t="s">
        <v>2642</v>
      </c>
      <c r="D17" s="203"/>
      <c r="E17" s="203" t="s">
        <v>758</v>
      </c>
      <c r="F17" s="226" t="str">
        <f t="shared" si="0"/>
        <v>&lt;Restrictions-1&gt; &lt;/Restrictions-1&gt;</v>
      </c>
      <c r="G17" s="226" t="s">
        <v>3203</v>
      </c>
      <c r="H17" s="226" t="s">
        <v>2759</v>
      </c>
      <c r="I17" s="226" t="s">
        <v>3205</v>
      </c>
      <c r="J17" s="203"/>
      <c r="K17" s="203"/>
      <c r="L17" s="203"/>
      <c r="M17" s="203"/>
      <c r="N17" s="203"/>
    </row>
    <row r="18" spans="1:14" hidden="1" x14ac:dyDescent="0.25">
      <c r="A18" s="203" t="s">
        <v>2784</v>
      </c>
      <c r="B18" s="202" t="s">
        <v>2637</v>
      </c>
      <c r="C18" s="207" t="s">
        <v>2643</v>
      </c>
      <c r="D18" s="202"/>
      <c r="E18" s="202" t="s">
        <v>758</v>
      </c>
      <c r="F18" s="207" t="str">
        <f t="shared" si="0"/>
        <v>&lt;Restrictions-2&gt; &lt;/Restrictions-2&gt;</v>
      </c>
      <c r="G18" s="226" t="s">
        <v>3203</v>
      </c>
      <c r="H18" s="226" t="s">
        <v>2759</v>
      </c>
      <c r="I18" s="226" t="s">
        <v>3205</v>
      </c>
      <c r="J18" s="202"/>
      <c r="K18" s="202"/>
      <c r="L18" s="202"/>
      <c r="M18" s="202"/>
      <c r="N18" s="202"/>
    </row>
    <row r="19" spans="1:14" hidden="1" x14ac:dyDescent="0.25">
      <c r="A19" s="203" t="s">
        <v>2784</v>
      </c>
      <c r="B19" s="203" t="s">
        <v>2638</v>
      </c>
      <c r="C19" s="226" t="s">
        <v>2644</v>
      </c>
      <c r="D19" s="203"/>
      <c r="E19" s="203" t="s">
        <v>758</v>
      </c>
      <c r="F19" s="226" t="str">
        <f t="shared" si="0"/>
        <v>&lt;Restrictions-3&gt; &lt;/Restrictions-3&gt;</v>
      </c>
      <c r="G19" s="226" t="s">
        <v>3203</v>
      </c>
      <c r="H19" s="226" t="s">
        <v>2759</v>
      </c>
      <c r="I19" s="226" t="s">
        <v>3205</v>
      </c>
      <c r="J19" s="203"/>
      <c r="K19" s="203"/>
      <c r="L19" s="203"/>
      <c r="M19" s="203"/>
      <c r="N19" s="203"/>
    </row>
    <row r="20" spans="1:14" hidden="1" x14ac:dyDescent="0.25">
      <c r="A20" s="203" t="s">
        <v>2784</v>
      </c>
      <c r="B20" s="202" t="s">
        <v>2639</v>
      </c>
      <c r="C20" s="207" t="s">
        <v>2645</v>
      </c>
      <c r="D20" s="202"/>
      <c r="E20" s="202" t="s">
        <v>758</v>
      </c>
      <c r="F20" s="207" t="str">
        <f t="shared" si="0"/>
        <v>&lt;Restrictions-4&gt; &lt;/Restrictions-4&gt;</v>
      </c>
      <c r="G20" s="226" t="s">
        <v>3203</v>
      </c>
      <c r="H20" s="226" t="s">
        <v>2759</v>
      </c>
      <c r="I20" s="226" t="s">
        <v>3205</v>
      </c>
      <c r="J20" s="202"/>
      <c r="K20" s="202"/>
      <c r="L20" s="202"/>
      <c r="M20" s="202"/>
      <c r="N20" s="202"/>
    </row>
    <row r="21" spans="1:14" hidden="1" x14ac:dyDescent="0.25">
      <c r="A21" s="203" t="s">
        <v>2784</v>
      </c>
      <c r="B21" s="203" t="s">
        <v>2640</v>
      </c>
      <c r="C21" s="226" t="s">
        <v>2646</v>
      </c>
      <c r="D21" s="203"/>
      <c r="E21" s="203" t="s">
        <v>758</v>
      </c>
      <c r="F21" s="226" t="str">
        <f t="shared" si="0"/>
        <v>&lt;Restrictions-5&gt; &lt;/Restrictions-5&gt;</v>
      </c>
      <c r="G21" s="226" t="s">
        <v>3203</v>
      </c>
      <c r="H21" s="226" t="s">
        <v>2759</v>
      </c>
      <c r="I21" s="226" t="s">
        <v>3205</v>
      </c>
      <c r="J21" s="203"/>
      <c r="K21" s="203"/>
      <c r="L21" s="203"/>
      <c r="M21" s="203"/>
      <c r="N21" s="203"/>
    </row>
    <row r="22" spans="1:14" hidden="1" x14ac:dyDescent="0.25">
      <c r="A22" s="203" t="s">
        <v>2784</v>
      </c>
      <c r="B22" s="202" t="s">
        <v>2641</v>
      </c>
      <c r="C22" s="207" t="s">
        <v>2647</v>
      </c>
      <c r="D22" s="202"/>
      <c r="E22" s="202" t="s">
        <v>758</v>
      </c>
      <c r="F22" s="207" t="str">
        <f t="shared" si="0"/>
        <v>&lt;Restrictions-6&gt; &lt;/Restrictions-6&gt;</v>
      </c>
      <c r="G22" s="226" t="s">
        <v>3203</v>
      </c>
      <c r="H22" s="226" t="s">
        <v>2759</v>
      </c>
      <c r="I22" s="226" t="s">
        <v>3205</v>
      </c>
      <c r="J22" s="202"/>
      <c r="K22" s="202"/>
      <c r="L22" s="202"/>
      <c r="M22" s="202"/>
      <c r="N22" s="202"/>
    </row>
    <row r="23" spans="1:14" hidden="1" x14ac:dyDescent="0.25">
      <c r="A23" s="202" t="s">
        <v>2784</v>
      </c>
      <c r="B23" s="202" t="s">
        <v>2557</v>
      </c>
      <c r="C23" s="207" t="s">
        <v>2576</v>
      </c>
      <c r="D23" s="203"/>
      <c r="E23" s="203" t="s">
        <v>758</v>
      </c>
      <c r="F23" s="226" t="str">
        <f t="shared" si="0"/>
        <v>&lt;Endorsement&gt; &lt;/Endorsement&gt;</v>
      </c>
      <c r="G23" s="226" t="s">
        <v>3204</v>
      </c>
      <c r="H23" s="226" t="s">
        <v>3206</v>
      </c>
      <c r="I23" s="226" t="s">
        <v>3207</v>
      </c>
      <c r="J23" s="203"/>
      <c r="K23" s="203"/>
      <c r="L23" s="203"/>
      <c r="M23" s="203"/>
      <c r="N23" s="203"/>
    </row>
    <row r="24" spans="1:14" ht="30" hidden="1" x14ac:dyDescent="0.25">
      <c r="A24" s="203" t="s">
        <v>2889</v>
      </c>
      <c r="B24" s="226" t="s">
        <v>2890</v>
      </c>
      <c r="C24" s="226" t="s">
        <v>2086</v>
      </c>
      <c r="D24" s="202"/>
      <c r="E24" s="202" t="s">
        <v>763</v>
      </c>
      <c r="F24" s="207" t="str">
        <f t="shared" si="0"/>
        <v>&lt;IssueDate&gt; &lt;/IssueDate&gt;</v>
      </c>
      <c r="G24" s="207" t="s">
        <v>3208</v>
      </c>
      <c r="H24" s="207" t="s">
        <v>3209</v>
      </c>
      <c r="I24" s="207" t="s">
        <v>3210</v>
      </c>
      <c r="J24" s="202"/>
      <c r="K24" s="202"/>
      <c r="L24" s="202"/>
      <c r="M24" s="202"/>
      <c r="N24" s="202"/>
    </row>
    <row r="25" spans="1:14" hidden="1" x14ac:dyDescent="0.25">
      <c r="A25" s="202" t="s">
        <v>2305</v>
      </c>
      <c r="B25" s="202" t="s">
        <v>2558</v>
      </c>
      <c r="C25" s="207" t="s">
        <v>2577</v>
      </c>
      <c r="D25" s="202"/>
      <c r="E25" s="202" t="s">
        <v>763</v>
      </c>
      <c r="F25" s="207" t="str">
        <f t="shared" si="0"/>
        <v>&lt;DateUpdated&gt; &lt;/DateUpdated&gt;</v>
      </c>
      <c r="G25" s="207"/>
      <c r="H25" s="207"/>
      <c r="I25" s="207"/>
      <c r="J25" s="202"/>
      <c r="K25" s="202"/>
      <c r="L25" s="202"/>
      <c r="M25" s="202"/>
      <c r="N25" s="202"/>
    </row>
    <row r="26" spans="1:14" hidden="1" x14ac:dyDescent="0.25">
      <c r="A26" s="203" t="s">
        <v>2305</v>
      </c>
      <c r="B26" s="203" t="s">
        <v>524</v>
      </c>
      <c r="C26" s="226" t="s">
        <v>2567</v>
      </c>
      <c r="D26" s="203"/>
      <c r="E26" s="203" t="s">
        <v>763</v>
      </c>
      <c r="F26" s="226" t="str">
        <f t="shared" si="0"/>
        <v>&lt;OfficeDate&gt; &lt;/OfficeDate&gt;</v>
      </c>
      <c r="G26" s="226"/>
      <c r="H26" s="226"/>
      <c r="I26" s="226"/>
      <c r="J26" s="203"/>
      <c r="K26" s="203"/>
      <c r="L26" s="203"/>
      <c r="M26" s="203"/>
      <c r="N26" s="203"/>
    </row>
    <row r="27" spans="1:14" ht="30" x14ac:dyDescent="0.25">
      <c r="A27" s="202" t="s">
        <v>2661</v>
      </c>
      <c r="B27" s="202" t="s">
        <v>2560</v>
      </c>
      <c r="C27" s="207" t="s">
        <v>2566</v>
      </c>
      <c r="D27" s="202"/>
      <c r="E27" s="202" t="s">
        <v>758</v>
      </c>
      <c r="F27" s="207" t="str">
        <f t="shared" si="0"/>
        <v>&lt;Cancellation&gt; &lt;/Cancellation&gt;</v>
      </c>
      <c r="G27" s="207" t="s">
        <v>3249</v>
      </c>
      <c r="H27" s="207" t="s">
        <v>3250</v>
      </c>
      <c r="I27" s="207" t="s">
        <v>3251</v>
      </c>
      <c r="J27" s="202"/>
      <c r="K27" s="202"/>
      <c r="L27" s="202"/>
      <c r="M27" s="202"/>
      <c r="N27" s="202"/>
    </row>
    <row r="28" spans="1:14" ht="30" hidden="1" x14ac:dyDescent="0.25">
      <c r="A28" s="203" t="s">
        <v>2305</v>
      </c>
      <c r="B28" s="203" t="s">
        <v>2559</v>
      </c>
      <c r="C28" s="226" t="s">
        <v>2565</v>
      </c>
      <c r="D28" s="203"/>
      <c r="E28" s="203" t="s">
        <v>758</v>
      </c>
      <c r="F28" s="226" t="str">
        <f t="shared" si="0"/>
        <v>&lt;TypeOfCancellation&gt; &lt;/TypeOfCancellation&gt;</v>
      </c>
      <c r="G28" s="226"/>
      <c r="H28" s="226"/>
      <c r="I28" s="226"/>
      <c r="J28" s="203"/>
      <c r="K28" s="203"/>
      <c r="L28" s="203"/>
      <c r="M28" s="203"/>
      <c r="N28" s="203"/>
    </row>
    <row r="29" spans="1:14" hidden="1" x14ac:dyDescent="0.25">
      <c r="A29" s="202" t="s">
        <v>2305</v>
      </c>
      <c r="B29" s="202" t="s">
        <v>17</v>
      </c>
      <c r="C29" s="207" t="s">
        <v>814</v>
      </c>
      <c r="D29" s="202"/>
      <c r="E29" s="202" t="s">
        <v>758</v>
      </c>
      <c r="F29" s="207" t="str">
        <f t="shared" si="0"/>
        <v>&lt;Vin&gt; &lt;/Vin&gt;</v>
      </c>
      <c r="G29" s="195" t="s">
        <v>403</v>
      </c>
      <c r="H29" s="195" t="s">
        <v>338</v>
      </c>
      <c r="I29" s="195" t="s">
        <v>228</v>
      </c>
      <c r="J29" s="202"/>
      <c r="K29" s="202"/>
      <c r="L29" s="202"/>
      <c r="M29" s="202"/>
      <c r="N29" s="202"/>
    </row>
    <row r="30" spans="1:14" ht="30" x14ac:dyDescent="0.25">
      <c r="A30" s="203" t="s">
        <v>2905</v>
      </c>
      <c r="B30" s="203" t="s">
        <v>2561</v>
      </c>
      <c r="C30" s="226" t="s">
        <v>2563</v>
      </c>
      <c r="D30" s="203"/>
      <c r="E30" s="203" t="s">
        <v>763</v>
      </c>
      <c r="F30" s="226" t="str">
        <f t="shared" si="0"/>
        <v>&lt;DateRecordCreated&gt; &lt;/DateRecordCreated&gt;</v>
      </c>
      <c r="G30" s="226" t="s">
        <v>3211</v>
      </c>
      <c r="H30" s="226" t="s">
        <v>3212</v>
      </c>
      <c r="I30" s="226" t="s">
        <v>3213</v>
      </c>
      <c r="J30" s="203"/>
      <c r="K30" s="203"/>
      <c r="L30" s="203"/>
      <c r="M30" s="203"/>
      <c r="N30" s="203"/>
    </row>
    <row r="31" spans="1:14" ht="30" x14ac:dyDescent="0.25">
      <c r="A31" s="202" t="s">
        <v>2906</v>
      </c>
      <c r="B31" s="202" t="s">
        <v>2562</v>
      </c>
      <c r="C31" s="207" t="s">
        <v>2564</v>
      </c>
      <c r="D31" s="202"/>
      <c r="E31" s="202" t="s">
        <v>763</v>
      </c>
      <c r="F31" s="207" t="str">
        <f t="shared" si="0"/>
        <v>&lt;DateFlagModified&gt; &lt;/DateFlagModified&gt;</v>
      </c>
      <c r="G31" s="226" t="s">
        <v>3214</v>
      </c>
      <c r="H31" s="226" t="s">
        <v>3215</v>
      </c>
      <c r="I31" s="226" t="s">
        <v>3216</v>
      </c>
      <c r="J31" s="202"/>
      <c r="K31" s="202"/>
      <c r="L31" s="202"/>
      <c r="M31" s="202"/>
      <c r="N31" s="202"/>
    </row>
    <row r="32" spans="1:14" hidden="1" x14ac:dyDescent="0.25">
      <c r="A32" s="203" t="s">
        <v>2305</v>
      </c>
      <c r="B32" s="203" t="s">
        <v>2568</v>
      </c>
      <c r="C32" s="226" t="s">
        <v>2570</v>
      </c>
      <c r="D32" s="203"/>
      <c r="E32" s="203" t="s">
        <v>758</v>
      </c>
      <c r="F32" s="226" t="str">
        <f t="shared" si="0"/>
        <v>&lt;TransactionId&gt; &lt;/TransactionId&gt;</v>
      </c>
      <c r="G32" s="226" t="s">
        <v>3294</v>
      </c>
      <c r="H32" s="226" t="s">
        <v>3295</v>
      </c>
      <c r="I32" s="226"/>
      <c r="J32" s="203"/>
      <c r="K32" s="203"/>
      <c r="L32" s="203"/>
      <c r="M32" s="203"/>
      <c r="N32" s="203"/>
    </row>
    <row r="33" spans="1:14" ht="30" x14ac:dyDescent="0.25">
      <c r="A33" s="202" t="s">
        <v>2788</v>
      </c>
      <c r="B33" s="202" t="s">
        <v>2569</v>
      </c>
      <c r="C33" s="207" t="s">
        <v>2578</v>
      </c>
      <c r="D33" s="202"/>
      <c r="E33" s="202" t="s">
        <v>758</v>
      </c>
      <c r="F33" s="207" t="str">
        <f t="shared" si="0"/>
        <v>&lt;SequenceNo&gt; &lt;/SequenceNo&gt;</v>
      </c>
      <c r="G33" s="234" t="s">
        <v>3252</v>
      </c>
      <c r="H33" s="234" t="s">
        <v>3253</v>
      </c>
      <c r="I33" s="234" t="s">
        <v>1347</v>
      </c>
      <c r="J33" s="202"/>
      <c r="K33" s="202"/>
      <c r="L33" s="202"/>
      <c r="M33" s="202"/>
      <c r="N33" s="202"/>
    </row>
    <row r="34" spans="1:14" ht="30" hidden="1" x14ac:dyDescent="0.25">
      <c r="A34" s="203" t="s">
        <v>2787</v>
      </c>
      <c r="B34" s="203" t="s">
        <v>2580</v>
      </c>
      <c r="C34" s="226" t="s">
        <v>1095</v>
      </c>
      <c r="D34" s="203" t="s">
        <v>1663</v>
      </c>
      <c r="E34" s="203" t="s">
        <v>758</v>
      </c>
      <c r="F34" s="226" t="str">
        <f t="shared" si="0"/>
        <v>&lt;InquiryType&gt; &lt;/InquiryType&gt;</v>
      </c>
      <c r="G34" s="226" t="s">
        <v>1379</v>
      </c>
      <c r="H34" s="226" t="s">
        <v>1381</v>
      </c>
      <c r="I34" s="226" t="s">
        <v>1382</v>
      </c>
      <c r="J34" s="203"/>
      <c r="K34" s="203"/>
      <c r="L34" s="203"/>
      <c r="M34" s="203"/>
      <c r="N34" s="203"/>
    </row>
    <row r="35" spans="1:14" ht="30" hidden="1" x14ac:dyDescent="0.25">
      <c r="A35" s="202" t="s">
        <v>2787</v>
      </c>
      <c r="B35" s="202" t="s">
        <v>116</v>
      </c>
      <c r="C35" s="207" t="s">
        <v>1120</v>
      </c>
      <c r="D35" s="202" t="s">
        <v>1761</v>
      </c>
      <c r="E35" s="202" t="s">
        <v>758</v>
      </c>
      <c r="F35" s="207" t="str">
        <f t="shared" si="0"/>
        <v>&lt;PlateNumber&gt; &lt;/PlateNumber&gt;</v>
      </c>
      <c r="G35" s="207" t="s">
        <v>1388</v>
      </c>
      <c r="H35" s="207" t="s">
        <v>1389</v>
      </c>
      <c r="I35" s="207" t="s">
        <v>1390</v>
      </c>
      <c r="J35" s="202"/>
      <c r="K35" s="202"/>
      <c r="L35" s="202"/>
      <c r="M35" s="202"/>
      <c r="N35" s="202"/>
    </row>
    <row r="36" spans="1:14" ht="30" hidden="1" x14ac:dyDescent="0.25">
      <c r="A36" s="203" t="s">
        <v>2787</v>
      </c>
      <c r="B36" s="203" t="s">
        <v>120</v>
      </c>
      <c r="C36" s="226" t="s">
        <v>1574</v>
      </c>
      <c r="D36" s="203" t="s">
        <v>1762</v>
      </c>
      <c r="E36" s="203" t="s">
        <v>834</v>
      </c>
      <c r="F36" s="226" t="str">
        <f t="shared" si="0"/>
        <v>&lt;RegExpYear&gt; &lt;/RegExpYear&gt;</v>
      </c>
      <c r="G36" s="226" t="s">
        <v>2264</v>
      </c>
      <c r="H36" s="226" t="s">
        <v>1432</v>
      </c>
      <c r="I36" s="226" t="s">
        <v>1433</v>
      </c>
      <c r="J36" s="203"/>
      <c r="K36" s="203"/>
      <c r="L36" s="203" t="s">
        <v>1244</v>
      </c>
      <c r="M36" s="203"/>
      <c r="N36" s="203"/>
    </row>
    <row r="37" spans="1:14" ht="30" hidden="1" x14ac:dyDescent="0.25">
      <c r="A37" s="202" t="s">
        <v>2787</v>
      </c>
      <c r="B37" s="202" t="s">
        <v>2599</v>
      </c>
      <c r="C37" s="207" t="s">
        <v>814</v>
      </c>
      <c r="D37" s="202" t="s">
        <v>1763</v>
      </c>
      <c r="E37" s="202" t="s">
        <v>758</v>
      </c>
      <c r="F37" s="207" t="str">
        <f t="shared" si="0"/>
        <v>&lt;Vin&gt; &lt;/Vin&gt;</v>
      </c>
      <c r="G37" s="207" t="s">
        <v>1388</v>
      </c>
      <c r="H37" s="207" t="s">
        <v>1389</v>
      </c>
      <c r="I37" s="207" t="s">
        <v>1390</v>
      </c>
      <c r="J37" s="202"/>
      <c r="K37" s="202"/>
      <c r="L37" s="202"/>
      <c r="M37" s="202"/>
      <c r="N37" s="202"/>
    </row>
    <row r="38" spans="1:14" ht="30" hidden="1" x14ac:dyDescent="0.25">
      <c r="A38" s="203" t="s">
        <v>2787</v>
      </c>
      <c r="B38" s="203" t="s">
        <v>2583</v>
      </c>
      <c r="C38" s="226" t="s">
        <v>1146</v>
      </c>
      <c r="D38" s="203" t="s">
        <v>1752</v>
      </c>
      <c r="E38" s="203" t="s">
        <v>758</v>
      </c>
      <c r="F38" s="226" t="str">
        <f t="shared" si="0"/>
        <v>&lt;DuplicateVin&gt; &lt;/DuplicateVin&gt;</v>
      </c>
      <c r="G38" s="226" t="s">
        <v>1471</v>
      </c>
      <c r="H38" s="226" t="s">
        <v>1472</v>
      </c>
      <c r="I38" s="226" t="s">
        <v>1473</v>
      </c>
      <c r="J38" s="203"/>
      <c r="K38" s="203"/>
      <c r="L38" s="203"/>
      <c r="M38" s="203"/>
      <c r="N38" s="203"/>
    </row>
    <row r="39" spans="1:14" hidden="1" x14ac:dyDescent="0.25">
      <c r="A39" s="202" t="s">
        <v>2651</v>
      </c>
      <c r="B39" s="202" t="s">
        <v>748</v>
      </c>
      <c r="C39" s="207" t="s">
        <v>748</v>
      </c>
      <c r="D39" s="202" t="s">
        <v>1784</v>
      </c>
      <c r="E39" s="202" t="s">
        <v>758</v>
      </c>
      <c r="F39" s="207" t="str">
        <f t="shared" si="0"/>
        <v>&lt;Flag-1&gt; &lt;/Flag-1&gt;</v>
      </c>
      <c r="G39" s="207" t="s">
        <v>2368</v>
      </c>
      <c r="H39" s="207" t="s">
        <v>2369</v>
      </c>
      <c r="I39" s="207" t="s">
        <v>2370</v>
      </c>
      <c r="J39" s="202"/>
      <c r="K39" s="202"/>
      <c r="L39" s="202"/>
      <c r="M39" s="202"/>
      <c r="N39" s="202" t="s">
        <v>2339</v>
      </c>
    </row>
    <row r="40" spans="1:14" hidden="1" x14ac:dyDescent="0.25">
      <c r="A40" s="203" t="s">
        <v>2652</v>
      </c>
      <c r="B40" s="203" t="s">
        <v>749</v>
      </c>
      <c r="C40" s="226" t="s">
        <v>749</v>
      </c>
      <c r="D40" s="203" t="s">
        <v>1784</v>
      </c>
      <c r="E40" s="203" t="s">
        <v>758</v>
      </c>
      <c r="F40" s="226" t="str">
        <f t="shared" si="0"/>
        <v>&lt;Flag-2&gt; &lt;/Flag-2&gt;</v>
      </c>
      <c r="G40" s="226" t="s">
        <v>2365</v>
      </c>
      <c r="H40" s="226" t="s">
        <v>2366</v>
      </c>
      <c r="I40" s="226" t="s">
        <v>2367</v>
      </c>
      <c r="J40" s="203"/>
      <c r="K40" s="203"/>
      <c r="L40" s="203"/>
      <c r="M40" s="203"/>
      <c r="N40" s="203" t="s">
        <v>2339</v>
      </c>
    </row>
    <row r="41" spans="1:14" hidden="1" x14ac:dyDescent="0.25">
      <c r="A41" s="202" t="s">
        <v>2651</v>
      </c>
      <c r="B41" s="202" t="s">
        <v>750</v>
      </c>
      <c r="C41" s="207" t="s">
        <v>750</v>
      </c>
      <c r="D41" s="202" t="s">
        <v>1784</v>
      </c>
      <c r="E41" s="202" t="s">
        <v>758</v>
      </c>
      <c r="F41" s="207" t="str">
        <f t="shared" si="0"/>
        <v>&lt;Flag-3&gt; &lt;/Flag-3&gt;</v>
      </c>
      <c r="G41" s="207" t="s">
        <v>2362</v>
      </c>
      <c r="H41" s="207" t="s">
        <v>2363</v>
      </c>
      <c r="I41" s="207" t="s">
        <v>2364</v>
      </c>
      <c r="J41" s="202"/>
      <c r="K41" s="202"/>
      <c r="L41" s="202"/>
      <c r="M41" s="202"/>
      <c r="N41" s="202" t="s">
        <v>2339</v>
      </c>
    </row>
    <row r="42" spans="1:14" hidden="1" x14ac:dyDescent="0.25">
      <c r="A42" s="203" t="s">
        <v>2652</v>
      </c>
      <c r="B42" s="203" t="s">
        <v>751</v>
      </c>
      <c r="C42" s="226" t="s">
        <v>751</v>
      </c>
      <c r="D42" s="203" t="s">
        <v>1784</v>
      </c>
      <c r="E42" s="203" t="s">
        <v>758</v>
      </c>
      <c r="F42" s="226" t="str">
        <f t="shared" si="0"/>
        <v>&lt;Flag-4&gt; &lt;/Flag-4&gt;</v>
      </c>
      <c r="G42" s="226" t="s">
        <v>2362</v>
      </c>
      <c r="H42" s="226" t="s">
        <v>2363</v>
      </c>
      <c r="I42" s="226" t="s">
        <v>2364</v>
      </c>
      <c r="J42" s="203"/>
      <c r="K42" s="203"/>
      <c r="L42" s="203"/>
      <c r="M42" s="203"/>
      <c r="N42" s="203" t="s">
        <v>2339</v>
      </c>
    </row>
    <row r="43" spans="1:14" hidden="1" x14ac:dyDescent="0.25">
      <c r="A43" s="202" t="s">
        <v>2651</v>
      </c>
      <c r="B43" s="202" t="s">
        <v>752</v>
      </c>
      <c r="C43" s="207" t="s">
        <v>752</v>
      </c>
      <c r="D43" s="202" t="s">
        <v>1784</v>
      </c>
      <c r="E43" s="202" t="s">
        <v>758</v>
      </c>
      <c r="F43" s="207" t="str">
        <f t="shared" si="0"/>
        <v>&lt;Flag-5&gt; &lt;/Flag-5&gt;</v>
      </c>
      <c r="G43" s="207" t="s">
        <v>2362</v>
      </c>
      <c r="H43" s="207" t="s">
        <v>2363</v>
      </c>
      <c r="I43" s="207" t="s">
        <v>2364</v>
      </c>
      <c r="J43" s="202"/>
      <c r="K43" s="202"/>
      <c r="L43" s="202"/>
      <c r="M43" s="202"/>
      <c r="N43" s="202" t="s">
        <v>2339</v>
      </c>
    </row>
    <row r="44" spans="1:14" hidden="1" x14ac:dyDescent="0.25">
      <c r="A44" s="203" t="s">
        <v>2652</v>
      </c>
      <c r="B44" s="203" t="s">
        <v>753</v>
      </c>
      <c r="C44" s="226" t="s">
        <v>753</v>
      </c>
      <c r="D44" s="203" t="s">
        <v>1784</v>
      </c>
      <c r="E44" s="203" t="s">
        <v>758</v>
      </c>
      <c r="F44" s="226" t="str">
        <f t="shared" si="0"/>
        <v>&lt;Flag-6&gt; &lt;/Flag-6&gt;</v>
      </c>
      <c r="G44" s="226" t="s">
        <v>2362</v>
      </c>
      <c r="H44" s="226" t="s">
        <v>2363</v>
      </c>
      <c r="I44" s="226" t="s">
        <v>2364</v>
      </c>
      <c r="J44" s="203"/>
      <c r="K44" s="203"/>
      <c r="L44" s="203"/>
      <c r="M44" s="203"/>
      <c r="N44" s="203" t="s">
        <v>2339</v>
      </c>
    </row>
    <row r="45" spans="1:14" hidden="1" x14ac:dyDescent="0.25">
      <c r="A45" s="202" t="s">
        <v>2651</v>
      </c>
      <c r="B45" s="202" t="s">
        <v>754</v>
      </c>
      <c r="C45" s="207" t="s">
        <v>754</v>
      </c>
      <c r="D45" s="202" t="s">
        <v>1784</v>
      </c>
      <c r="E45" s="202" t="s">
        <v>758</v>
      </c>
      <c r="F45" s="207" t="str">
        <f t="shared" si="0"/>
        <v>&lt;Flag-7&gt; &lt;/Flag-7&gt;</v>
      </c>
      <c r="G45" s="207" t="s">
        <v>2362</v>
      </c>
      <c r="H45" s="207" t="s">
        <v>2363</v>
      </c>
      <c r="I45" s="207" t="s">
        <v>2364</v>
      </c>
      <c r="J45" s="202"/>
      <c r="K45" s="202"/>
      <c r="L45" s="202"/>
      <c r="M45" s="202"/>
      <c r="N45" s="202" t="s">
        <v>2339</v>
      </c>
    </row>
    <row r="46" spans="1:14" hidden="1" x14ac:dyDescent="0.25">
      <c r="A46" s="203" t="s">
        <v>2652</v>
      </c>
      <c r="B46" s="203" t="s">
        <v>755</v>
      </c>
      <c r="C46" s="226" t="s">
        <v>755</v>
      </c>
      <c r="D46" s="203" t="s">
        <v>1784</v>
      </c>
      <c r="E46" s="203" t="s">
        <v>758</v>
      </c>
      <c r="F46" s="226" t="str">
        <f t="shared" si="0"/>
        <v>&lt;Flag-8&gt; &lt;/Flag-8&gt;</v>
      </c>
      <c r="G46" s="226" t="s">
        <v>2362</v>
      </c>
      <c r="H46" s="226" t="s">
        <v>2363</v>
      </c>
      <c r="I46" s="226" t="s">
        <v>2364</v>
      </c>
      <c r="J46" s="203"/>
      <c r="K46" s="203"/>
      <c r="L46" s="203"/>
      <c r="M46" s="203"/>
      <c r="N46" s="203" t="s">
        <v>2339</v>
      </c>
    </row>
    <row r="47" spans="1:14" hidden="1" x14ac:dyDescent="0.25">
      <c r="A47" s="202" t="s">
        <v>2651</v>
      </c>
      <c r="B47" s="202" t="s">
        <v>756</v>
      </c>
      <c r="C47" s="207" t="s">
        <v>756</v>
      </c>
      <c r="D47" s="202" t="s">
        <v>1784</v>
      </c>
      <c r="E47" s="202" t="s">
        <v>758</v>
      </c>
      <c r="F47" s="207" t="str">
        <f t="shared" si="0"/>
        <v>&lt;Flag-9&gt; &lt;/Flag-9&gt;</v>
      </c>
      <c r="G47" s="207" t="s">
        <v>2362</v>
      </c>
      <c r="H47" s="207" t="s">
        <v>2363</v>
      </c>
      <c r="I47" s="207" t="s">
        <v>2364</v>
      </c>
      <c r="J47" s="202"/>
      <c r="K47" s="202"/>
      <c r="L47" s="202"/>
      <c r="M47" s="202"/>
      <c r="N47" s="202" t="s">
        <v>2339</v>
      </c>
    </row>
    <row r="48" spans="1:14" hidden="1" x14ac:dyDescent="0.25">
      <c r="A48" s="203" t="s">
        <v>2652</v>
      </c>
      <c r="B48" s="203" t="s">
        <v>757</v>
      </c>
      <c r="C48" s="226" t="s">
        <v>757</v>
      </c>
      <c r="D48" s="203" t="s">
        <v>1784</v>
      </c>
      <c r="E48" s="203" t="s">
        <v>758</v>
      </c>
      <c r="F48" s="226" t="str">
        <f t="shared" si="0"/>
        <v>&lt;Flag-10&gt; &lt;/Flag-10&gt;</v>
      </c>
      <c r="G48" s="226" t="s">
        <v>2362</v>
      </c>
      <c r="H48" s="226" t="s">
        <v>2363</v>
      </c>
      <c r="I48" s="226" t="s">
        <v>2364</v>
      </c>
      <c r="J48" s="203"/>
      <c r="K48" s="203"/>
      <c r="L48" s="203"/>
      <c r="M48" s="203"/>
      <c r="N48" s="203" t="s">
        <v>2339</v>
      </c>
    </row>
    <row r="49" spans="1:15" ht="30" hidden="1" x14ac:dyDescent="0.25">
      <c r="A49" s="202" t="s">
        <v>2651</v>
      </c>
      <c r="B49" s="202" t="s">
        <v>2653</v>
      </c>
      <c r="C49" s="207" t="s">
        <v>2598</v>
      </c>
      <c r="D49" s="202" t="s">
        <v>2391</v>
      </c>
      <c r="E49" s="202" t="s">
        <v>763</v>
      </c>
      <c r="F49" s="207" t="str">
        <f t="shared" si="0"/>
        <v>&lt;FlagSetDate1&gt; &lt;/FlagSetDate1&gt;</v>
      </c>
      <c r="G49" s="207" t="s">
        <v>2251</v>
      </c>
      <c r="H49" s="207" t="s">
        <v>2120</v>
      </c>
      <c r="I49" s="207" t="s">
        <v>2121</v>
      </c>
      <c r="J49" s="202"/>
      <c r="K49" s="202" t="s">
        <v>821</v>
      </c>
      <c r="L49" s="202" t="s">
        <v>761</v>
      </c>
      <c r="M49" s="202"/>
      <c r="N49" s="202" t="s">
        <v>2319</v>
      </c>
    </row>
    <row r="50" spans="1:15" ht="30" hidden="1" x14ac:dyDescent="0.25">
      <c r="A50" s="203" t="s">
        <v>2652</v>
      </c>
      <c r="B50" s="203" t="s">
        <v>741</v>
      </c>
      <c r="C50" s="226" t="s">
        <v>2654</v>
      </c>
      <c r="D50" s="203" t="s">
        <v>2392</v>
      </c>
      <c r="E50" s="203" t="s">
        <v>763</v>
      </c>
      <c r="F50" s="207" t="str">
        <f t="shared" si="0"/>
        <v>&lt;FlagSetDate2&gt; &lt;/FlagSetDate2&gt;</v>
      </c>
      <c r="G50" s="226" t="s">
        <v>2251</v>
      </c>
      <c r="H50" s="226" t="s">
        <v>2120</v>
      </c>
      <c r="I50" s="226" t="s">
        <v>2121</v>
      </c>
      <c r="J50" s="203"/>
      <c r="K50" s="203"/>
      <c r="L50" s="203"/>
      <c r="M50" s="203"/>
      <c r="N50" s="203" t="s">
        <v>2319</v>
      </c>
    </row>
    <row r="51" spans="1:15" ht="195" hidden="1" x14ac:dyDescent="0.25">
      <c r="A51" s="202" t="s">
        <v>2581</v>
      </c>
      <c r="B51" s="202" t="s">
        <v>2584</v>
      </c>
      <c r="C51" s="207" t="s">
        <v>2958</v>
      </c>
      <c r="D51" s="202"/>
      <c r="E51" s="202" t="s">
        <v>758</v>
      </c>
      <c r="F51" s="207" t="str">
        <f t="shared" si="0"/>
        <v>&lt;MvrName&gt; &lt;/MvrName&gt;</v>
      </c>
      <c r="G51" s="226" t="s">
        <v>3043</v>
      </c>
      <c r="H51" s="226" t="s">
        <v>3044</v>
      </c>
      <c r="I51" s="226" t="s">
        <v>967</v>
      </c>
      <c r="J51" s="202"/>
      <c r="K51" s="202"/>
      <c r="L51" s="202"/>
      <c r="M51" s="202"/>
      <c r="N51" s="202"/>
    </row>
    <row r="52" spans="1:15" ht="30" hidden="1" x14ac:dyDescent="0.25">
      <c r="A52" s="203" t="s">
        <v>2581</v>
      </c>
      <c r="B52" s="203" t="s">
        <v>2585</v>
      </c>
      <c r="C52" s="226" t="s">
        <v>882</v>
      </c>
      <c r="D52" s="203" t="s">
        <v>1683</v>
      </c>
      <c r="E52" s="203" t="s">
        <v>758</v>
      </c>
      <c r="F52" s="226" t="str">
        <f t="shared" si="0"/>
        <v>&lt;DrivingLicenseNo&gt; &lt;/DrivingLicenseNo&gt;</v>
      </c>
      <c r="G52" s="226" t="s">
        <v>957</v>
      </c>
      <c r="H52" s="226" t="s">
        <v>370</v>
      </c>
      <c r="I52" s="226" t="s">
        <v>959</v>
      </c>
      <c r="J52" s="203"/>
      <c r="K52" s="203"/>
      <c r="L52" s="203"/>
      <c r="M52" s="203"/>
      <c r="N52" s="203"/>
    </row>
    <row r="53" spans="1:15" ht="30" hidden="1" x14ac:dyDescent="0.25">
      <c r="A53" s="202" t="s">
        <v>2581</v>
      </c>
      <c r="B53" s="202" t="s">
        <v>746</v>
      </c>
      <c r="C53" s="207" t="s">
        <v>877</v>
      </c>
      <c r="D53" s="202" t="s">
        <v>1691</v>
      </c>
      <c r="E53" s="202" t="s">
        <v>758</v>
      </c>
      <c r="F53" s="207" t="str">
        <f t="shared" si="0"/>
        <v>&lt;EmpIdentificationNo&gt; &lt;/EmpIdentificationNo&gt;</v>
      </c>
      <c r="G53" s="207" t="s">
        <v>963</v>
      </c>
      <c r="H53" s="207" t="s">
        <v>964</v>
      </c>
      <c r="I53" s="207" t="s">
        <v>965</v>
      </c>
      <c r="J53" s="202"/>
      <c r="K53" s="202"/>
      <c r="L53" s="202"/>
      <c r="M53" s="202"/>
      <c r="N53" s="202"/>
    </row>
    <row r="54" spans="1:15" hidden="1" x14ac:dyDescent="0.25">
      <c r="A54" s="203" t="s">
        <v>2581</v>
      </c>
      <c r="B54" s="203" t="s">
        <v>2586</v>
      </c>
      <c r="C54" s="226" t="s">
        <v>2955</v>
      </c>
      <c r="D54" s="203"/>
      <c r="E54" s="203" t="s">
        <v>763</v>
      </c>
      <c r="F54" s="226" t="str">
        <f t="shared" si="0"/>
        <v>&lt;EffDate&gt; &lt;/EffDate&gt;</v>
      </c>
      <c r="G54" s="226"/>
      <c r="H54" s="226"/>
      <c r="I54" s="226"/>
      <c r="J54" s="203"/>
      <c r="K54" s="203"/>
      <c r="L54" s="203"/>
      <c r="M54" s="203"/>
      <c r="N54" s="203"/>
    </row>
    <row r="55" spans="1:15" hidden="1" x14ac:dyDescent="0.25">
      <c r="A55" s="202" t="s">
        <v>2581</v>
      </c>
      <c r="B55" s="202" t="s">
        <v>2587</v>
      </c>
      <c r="C55" s="207" t="s">
        <v>2956</v>
      </c>
      <c r="D55" s="202"/>
      <c r="E55" s="202" t="s">
        <v>763</v>
      </c>
      <c r="F55" s="207" t="str">
        <f t="shared" si="0"/>
        <v>&lt;TermDate&gt; &lt;/TermDate&gt;</v>
      </c>
      <c r="G55" s="207"/>
      <c r="H55" s="207"/>
      <c r="I55" s="207"/>
      <c r="J55" s="202"/>
      <c r="K55" s="202"/>
      <c r="L55" s="202"/>
      <c r="M55" s="202"/>
      <c r="N55" s="202"/>
    </row>
    <row r="56" spans="1:15" hidden="1" x14ac:dyDescent="0.25">
      <c r="A56" s="203" t="s">
        <v>2581</v>
      </c>
      <c r="B56" s="203" t="s">
        <v>2588</v>
      </c>
      <c r="C56" s="226" t="s">
        <v>2649</v>
      </c>
      <c r="D56" s="203"/>
      <c r="E56" s="203" t="s">
        <v>763</v>
      </c>
      <c r="F56" s="226" t="str">
        <f t="shared" si="0"/>
        <v>&lt;ReceivedDate&gt; &lt;/ReceivedDate&gt;</v>
      </c>
      <c r="G56" s="226"/>
      <c r="H56" s="226"/>
      <c r="I56" s="226"/>
      <c r="J56" s="203"/>
      <c r="K56" s="203"/>
      <c r="L56" s="203"/>
      <c r="M56" s="203"/>
      <c r="N56" s="203"/>
    </row>
    <row r="57" spans="1:15" hidden="1" x14ac:dyDescent="0.25">
      <c r="A57" s="202" t="s">
        <v>2581</v>
      </c>
      <c r="B57" s="202" t="s">
        <v>2589</v>
      </c>
      <c r="C57" s="207" t="s">
        <v>2957</v>
      </c>
      <c r="D57" s="202"/>
      <c r="E57" s="202" t="s">
        <v>758</v>
      </c>
      <c r="F57" s="207" t="str">
        <f t="shared" si="0"/>
        <v>&lt;CoCode&gt; &lt;/CoCode&gt;</v>
      </c>
      <c r="G57" s="207"/>
      <c r="H57" s="207"/>
      <c r="I57" s="207"/>
      <c r="J57" s="202"/>
      <c r="K57" s="202"/>
      <c r="L57" s="202"/>
      <c r="M57" s="202"/>
      <c r="N57" s="202"/>
    </row>
    <row r="58" spans="1:15" ht="30" hidden="1" x14ac:dyDescent="0.25">
      <c r="A58" s="203" t="s">
        <v>2581</v>
      </c>
      <c r="B58" s="203" t="s">
        <v>2590</v>
      </c>
      <c r="C58" s="226" t="s">
        <v>955</v>
      </c>
      <c r="D58" s="203" t="s">
        <v>1789</v>
      </c>
      <c r="E58" s="203" t="s">
        <v>763</v>
      </c>
      <c r="F58" s="226" t="str">
        <f t="shared" si="0"/>
        <v>&lt;TranType&gt; &lt;/TranType&gt;</v>
      </c>
      <c r="G58" s="226" t="s">
        <v>1434</v>
      </c>
      <c r="H58" s="226" t="s">
        <v>1435</v>
      </c>
      <c r="I58" s="226" t="s">
        <v>1436</v>
      </c>
      <c r="J58" s="203"/>
      <c r="K58" s="203"/>
      <c r="L58" s="203"/>
      <c r="M58" s="203"/>
      <c r="N58" s="203" t="s">
        <v>2337</v>
      </c>
      <c r="O58" s="109"/>
    </row>
    <row r="59" spans="1:15" hidden="1" x14ac:dyDescent="0.25">
      <c r="A59" s="202" t="s">
        <v>2581</v>
      </c>
      <c r="B59" s="202" t="s">
        <v>2591</v>
      </c>
      <c r="C59" s="207" t="s">
        <v>2959</v>
      </c>
      <c r="D59" s="202"/>
      <c r="E59" s="202" t="s">
        <v>758</v>
      </c>
      <c r="F59" s="207" t="str">
        <f t="shared" si="0"/>
        <v>&lt;PolNR&gt; &lt;/PolNR&gt;</v>
      </c>
      <c r="G59" s="207"/>
      <c r="H59" s="207"/>
      <c r="I59" s="207"/>
      <c r="J59" s="202"/>
      <c r="K59" s="202"/>
      <c r="L59" s="202"/>
      <c r="M59" s="202"/>
      <c r="N59" s="202"/>
    </row>
    <row r="60" spans="1:15" hidden="1" x14ac:dyDescent="0.25">
      <c r="A60" s="203" t="s">
        <v>2581</v>
      </c>
      <c r="B60" s="203" t="s">
        <v>2592</v>
      </c>
      <c r="C60" s="226" t="s">
        <v>1586</v>
      </c>
      <c r="D60" s="203" t="s">
        <v>1688</v>
      </c>
      <c r="E60" s="203" t="s">
        <v>834</v>
      </c>
      <c r="F60" s="226" t="str">
        <f t="shared" si="0"/>
        <v>&lt;modelYear&gt; &lt;/modelYear&gt;</v>
      </c>
      <c r="G60" s="226" t="s">
        <v>408</v>
      </c>
      <c r="H60" s="226" t="s">
        <v>341</v>
      </c>
      <c r="I60" s="226" t="s">
        <v>232</v>
      </c>
      <c r="J60" s="203"/>
      <c r="K60" s="203"/>
      <c r="L60" s="203"/>
      <c r="M60" s="203"/>
      <c r="N60" s="203"/>
    </row>
    <row r="61" spans="1:15" hidden="1" x14ac:dyDescent="0.25">
      <c r="A61" s="202" t="s">
        <v>2581</v>
      </c>
      <c r="B61" s="202" t="s">
        <v>2594</v>
      </c>
      <c r="C61" s="207" t="s">
        <v>19</v>
      </c>
      <c r="D61" s="202" t="s">
        <v>1685</v>
      </c>
      <c r="E61" s="202" t="s">
        <v>758</v>
      </c>
      <c r="F61" s="207" t="str">
        <f t="shared" si="0"/>
        <v>&lt;Make&gt; &lt;/Make&gt;</v>
      </c>
      <c r="G61" s="207" t="s">
        <v>404</v>
      </c>
      <c r="H61" s="207" t="s">
        <v>339</v>
      </c>
      <c r="I61" s="207" t="s">
        <v>229</v>
      </c>
      <c r="J61" s="202"/>
      <c r="K61" s="202"/>
      <c r="L61" s="202"/>
      <c r="M61" s="202"/>
      <c r="N61" s="202"/>
    </row>
    <row r="62" spans="1:15" ht="30" hidden="1" x14ac:dyDescent="0.25">
      <c r="A62" s="203" t="s">
        <v>2581</v>
      </c>
      <c r="B62" s="203" t="s">
        <v>2593</v>
      </c>
      <c r="C62" s="226" t="s">
        <v>833</v>
      </c>
      <c r="D62" s="203" t="s">
        <v>1675</v>
      </c>
      <c r="E62" s="203" t="s">
        <v>1961</v>
      </c>
      <c r="F62" s="226" t="str">
        <f t="shared" si="0"/>
        <v>&lt;OwnerType&gt; &lt;/OwnerType&gt;</v>
      </c>
      <c r="G62" s="226" t="s">
        <v>419</v>
      </c>
      <c r="H62" s="226" t="s">
        <v>155</v>
      </c>
      <c r="I62" s="226" t="s">
        <v>418</v>
      </c>
      <c r="J62" s="203"/>
      <c r="K62" s="203"/>
      <c r="L62" s="203"/>
      <c r="M62" s="203"/>
      <c r="N62" s="203"/>
    </row>
    <row r="63" spans="1:15" ht="30" x14ac:dyDescent="0.25">
      <c r="A63" s="202" t="s">
        <v>2907</v>
      </c>
      <c r="B63" s="202" t="s">
        <v>2595</v>
      </c>
      <c r="C63" s="207" t="s">
        <v>900</v>
      </c>
      <c r="D63" s="202" t="s">
        <v>1599</v>
      </c>
      <c r="E63" s="202" t="s">
        <v>758</v>
      </c>
      <c r="F63" s="207" t="str">
        <f>CONCATENATE("&lt;",TRIM(C63),"&gt; &lt;/",TRIM(C63),"&gt;")</f>
        <v>&lt;OfficeCode&gt; &lt;/OfficeCode&gt;</v>
      </c>
      <c r="G63" s="207" t="s">
        <v>3217</v>
      </c>
      <c r="H63" s="207" t="s">
        <v>3218</v>
      </c>
      <c r="I63" s="207" t="s">
        <v>1545</v>
      </c>
      <c r="J63" s="202"/>
      <c r="K63" s="202"/>
      <c r="L63" s="202"/>
      <c r="M63" s="202"/>
      <c r="N63" s="202"/>
    </row>
    <row r="64" spans="1:15" ht="30" x14ac:dyDescent="0.25">
      <c r="A64" s="203" t="s">
        <v>2907</v>
      </c>
      <c r="B64" s="203" t="s">
        <v>2596</v>
      </c>
      <c r="C64" s="226" t="s">
        <v>2692</v>
      </c>
      <c r="D64" s="203"/>
      <c r="E64" s="203" t="s">
        <v>758</v>
      </c>
      <c r="F64" s="226" t="str">
        <f t="shared" ref="F64:F130" si="1">CONCATENATE("&lt;",TRIM(C64),"&gt; &lt;/",TRIM(C64),"&gt;")</f>
        <v>&lt;UserNumber&gt; &lt;/UserNumber&gt;</v>
      </c>
      <c r="G64" s="226" t="s">
        <v>3219</v>
      </c>
      <c r="H64" s="226" t="s">
        <v>3220</v>
      </c>
      <c r="I64" s="226" t="s">
        <v>3063</v>
      </c>
      <c r="J64" s="203"/>
      <c r="K64" s="203"/>
      <c r="L64" s="203"/>
      <c r="M64" s="203"/>
      <c r="N64" s="203"/>
    </row>
    <row r="65" spans="1:14" hidden="1" x14ac:dyDescent="0.25">
      <c r="A65" s="202" t="s">
        <v>2581</v>
      </c>
      <c r="B65" s="202" t="s">
        <v>2597</v>
      </c>
      <c r="C65" s="207" t="s">
        <v>2650</v>
      </c>
      <c r="D65" s="202" t="s">
        <v>2330</v>
      </c>
      <c r="E65" s="202" t="s">
        <v>716</v>
      </c>
      <c r="F65" s="207" t="str">
        <f t="shared" si="1"/>
        <v>&lt;VehicleType&gt; &lt;/VehicleType&gt;</v>
      </c>
      <c r="G65" s="207" t="s">
        <v>434</v>
      </c>
      <c r="H65" s="207" t="s">
        <v>333</v>
      </c>
      <c r="I65" s="207" t="s">
        <v>289</v>
      </c>
      <c r="J65" s="202"/>
      <c r="K65" s="202"/>
      <c r="L65" s="202" t="s">
        <v>773</v>
      </c>
      <c r="M65" s="202"/>
      <c r="N65" s="202" t="s">
        <v>2322</v>
      </c>
    </row>
    <row r="66" spans="1:14" ht="30" hidden="1" x14ac:dyDescent="0.25">
      <c r="A66" s="203" t="s">
        <v>2657</v>
      </c>
      <c r="B66" s="203" t="s">
        <v>644</v>
      </c>
      <c r="C66" s="226" t="s">
        <v>644</v>
      </c>
      <c r="D66" s="203" t="s">
        <v>1846</v>
      </c>
      <c r="E66" s="203" t="s">
        <v>716</v>
      </c>
      <c r="F66" s="226" t="str">
        <f t="shared" si="1"/>
        <v>&lt;SN&gt; &lt;/SN&gt;</v>
      </c>
      <c r="G66" s="226" t="s">
        <v>1420</v>
      </c>
      <c r="H66" s="226" t="s">
        <v>1421</v>
      </c>
      <c r="I66" s="226" t="s">
        <v>1422</v>
      </c>
      <c r="J66" s="203"/>
      <c r="K66" s="203"/>
      <c r="L66" s="203" t="s">
        <v>881</v>
      </c>
      <c r="M66" s="203"/>
      <c r="N66" s="203" t="s">
        <v>2320</v>
      </c>
    </row>
    <row r="67" spans="1:14" hidden="1" x14ac:dyDescent="0.25">
      <c r="A67" s="202" t="s">
        <v>2657</v>
      </c>
      <c r="B67" s="202" t="s">
        <v>744</v>
      </c>
      <c r="C67" s="207" t="s">
        <v>744</v>
      </c>
      <c r="D67" s="202" t="s">
        <v>1847</v>
      </c>
      <c r="E67" s="202" t="s">
        <v>758</v>
      </c>
      <c r="F67" s="207" t="str">
        <f t="shared" si="1"/>
        <v>&lt;Title&gt; &lt;/Title&gt;</v>
      </c>
      <c r="G67" s="207" t="s">
        <v>970</v>
      </c>
      <c r="H67" s="207" t="s">
        <v>969</v>
      </c>
      <c r="I67" s="207" t="s">
        <v>968</v>
      </c>
      <c r="J67" s="202"/>
      <c r="K67" s="202"/>
      <c r="L67" s="202" t="s">
        <v>816</v>
      </c>
      <c r="M67" s="202"/>
      <c r="N67" s="202" t="s">
        <v>2323</v>
      </c>
    </row>
    <row r="68" spans="1:14" hidden="1" x14ac:dyDescent="0.25">
      <c r="A68" s="203" t="s">
        <v>2657</v>
      </c>
      <c r="B68" s="203" t="s">
        <v>17</v>
      </c>
      <c r="C68" s="226" t="s">
        <v>17</v>
      </c>
      <c r="D68" s="203" t="s">
        <v>1643</v>
      </c>
      <c r="E68" s="203" t="s">
        <v>758</v>
      </c>
      <c r="F68" s="226" t="str">
        <f t="shared" si="1"/>
        <v>&lt;VIN&gt; &lt;/VIN&gt;</v>
      </c>
      <c r="G68" s="226" t="s">
        <v>403</v>
      </c>
      <c r="H68" s="226" t="s">
        <v>338</v>
      </c>
      <c r="I68" s="226" t="s">
        <v>228</v>
      </c>
      <c r="J68" s="203"/>
      <c r="K68" s="203"/>
      <c r="L68" s="203" t="s">
        <v>817</v>
      </c>
      <c r="M68" s="203"/>
      <c r="N68" s="203" t="s">
        <v>2322</v>
      </c>
    </row>
    <row r="69" spans="1:14" hidden="1" x14ac:dyDescent="0.25">
      <c r="A69" s="202" t="s">
        <v>2657</v>
      </c>
      <c r="B69" s="202" t="s">
        <v>113</v>
      </c>
      <c r="C69" s="207" t="s">
        <v>113</v>
      </c>
      <c r="D69" s="202" t="s">
        <v>1644</v>
      </c>
      <c r="E69" s="202" t="s">
        <v>758</v>
      </c>
      <c r="F69" s="207" t="str">
        <f t="shared" si="1"/>
        <v>&lt;MK&gt; &lt;/MK&gt;</v>
      </c>
      <c r="G69" s="207" t="s">
        <v>404</v>
      </c>
      <c r="H69" s="207" t="s">
        <v>339</v>
      </c>
      <c r="I69" s="207" t="s">
        <v>229</v>
      </c>
      <c r="J69" s="202"/>
      <c r="K69" s="202"/>
      <c r="L69" s="202" t="s">
        <v>818</v>
      </c>
      <c r="M69" s="202"/>
      <c r="N69" s="202" t="s">
        <v>2322</v>
      </c>
    </row>
    <row r="70" spans="1:14" ht="30" hidden="1" x14ac:dyDescent="0.25">
      <c r="A70" s="203" t="s">
        <v>2657</v>
      </c>
      <c r="B70" s="203" t="s">
        <v>116</v>
      </c>
      <c r="C70" s="226" t="s">
        <v>116</v>
      </c>
      <c r="D70" s="203" t="s">
        <v>1838</v>
      </c>
      <c r="E70" s="203" t="s">
        <v>758</v>
      </c>
      <c r="F70" s="226" t="str">
        <f t="shared" si="1"/>
        <v>&lt;LIC&gt; &lt;/LIC&gt;</v>
      </c>
      <c r="G70" s="226" t="s">
        <v>442</v>
      </c>
      <c r="H70" s="226" t="s">
        <v>411</v>
      </c>
      <c r="I70" s="226" t="s">
        <v>236</v>
      </c>
      <c r="J70" s="203"/>
      <c r="K70" s="203"/>
      <c r="L70" s="203" t="s">
        <v>815</v>
      </c>
      <c r="M70" s="203"/>
      <c r="N70" s="203" t="s">
        <v>2322</v>
      </c>
    </row>
    <row r="71" spans="1:14" ht="45" hidden="1" x14ac:dyDescent="0.25">
      <c r="A71" s="202" t="s">
        <v>2891</v>
      </c>
      <c r="B71" s="207" t="s">
        <v>1529</v>
      </c>
      <c r="C71" s="207" t="s">
        <v>1529</v>
      </c>
      <c r="D71" s="202" t="s">
        <v>1645</v>
      </c>
      <c r="E71" s="202" t="s">
        <v>763</v>
      </c>
      <c r="F71" s="207" t="str">
        <f t="shared" si="1"/>
        <v>&lt;EXPIR_DATE
EXP_DATE&gt; &lt;/EXPIR_DATE
EXP_DATE&gt;</v>
      </c>
      <c r="G71" s="207" t="s">
        <v>3221</v>
      </c>
      <c r="H71" s="207" t="s">
        <v>2758</v>
      </c>
      <c r="I71" s="207" t="s">
        <v>3222</v>
      </c>
      <c r="J71" s="202"/>
      <c r="K71" s="202" t="s">
        <v>819</v>
      </c>
      <c r="L71" s="202" t="s">
        <v>1252</v>
      </c>
      <c r="M71" s="202"/>
      <c r="N71" s="202" t="s">
        <v>2324</v>
      </c>
    </row>
    <row r="72" spans="1:14" hidden="1" x14ac:dyDescent="0.25">
      <c r="A72" s="203" t="s">
        <v>2657</v>
      </c>
      <c r="B72" s="203" t="s">
        <v>114</v>
      </c>
      <c r="C72" s="226" t="s">
        <v>114</v>
      </c>
      <c r="D72" s="203" t="s">
        <v>1646</v>
      </c>
      <c r="E72" s="203" t="s">
        <v>758</v>
      </c>
      <c r="F72" s="226" t="str">
        <f t="shared" si="1"/>
        <v>&lt;BD&gt; &lt;/BD&gt;</v>
      </c>
      <c r="G72" s="226" t="s">
        <v>405</v>
      </c>
      <c r="H72" s="226" t="s">
        <v>340</v>
      </c>
      <c r="I72" s="226" t="s">
        <v>230</v>
      </c>
      <c r="J72" s="203"/>
      <c r="K72" s="203"/>
      <c r="L72" s="203" t="s">
        <v>820</v>
      </c>
      <c r="M72" s="203"/>
      <c r="N72" s="203" t="s">
        <v>2322</v>
      </c>
    </row>
    <row r="73" spans="1:14" hidden="1" x14ac:dyDescent="0.25">
      <c r="A73" s="202" t="s">
        <v>2657</v>
      </c>
      <c r="B73" s="202" t="s">
        <v>803</v>
      </c>
      <c r="C73" s="207" t="s">
        <v>803</v>
      </c>
      <c r="D73" s="202" t="s">
        <v>1647</v>
      </c>
      <c r="E73" s="202" t="s">
        <v>758</v>
      </c>
      <c r="F73" s="207" t="str">
        <f t="shared" si="1"/>
        <v>&lt;CLR_1&gt; &lt;/CLR_1&gt;</v>
      </c>
      <c r="G73" s="207" t="s">
        <v>406</v>
      </c>
      <c r="H73" s="207" t="s">
        <v>385</v>
      </c>
      <c r="I73" s="207" t="s">
        <v>231</v>
      </c>
      <c r="J73" s="202"/>
      <c r="K73" s="202"/>
      <c r="L73" s="202" t="s">
        <v>824</v>
      </c>
      <c r="M73" s="202"/>
      <c r="N73" s="202" t="s">
        <v>2322</v>
      </c>
    </row>
    <row r="74" spans="1:14" ht="30" hidden="1" x14ac:dyDescent="0.25">
      <c r="A74" s="203" t="s">
        <v>2657</v>
      </c>
      <c r="B74" s="203" t="s">
        <v>804</v>
      </c>
      <c r="C74" s="226" t="s">
        <v>804</v>
      </c>
      <c r="D74" s="203" t="s">
        <v>1648</v>
      </c>
      <c r="E74" s="203" t="s">
        <v>758</v>
      </c>
      <c r="F74" s="226" t="str">
        <f t="shared" si="1"/>
        <v>&lt;CLR_2&gt; &lt;/CLR_2&gt;</v>
      </c>
      <c r="G74" s="226" t="s">
        <v>407</v>
      </c>
      <c r="H74" s="226" t="s">
        <v>390</v>
      </c>
      <c r="I74" s="226" t="s">
        <v>389</v>
      </c>
      <c r="J74" s="203"/>
      <c r="K74" s="203"/>
      <c r="L74" s="203" t="s">
        <v>825</v>
      </c>
      <c r="M74" s="203"/>
      <c r="N74" s="203" t="s">
        <v>2322</v>
      </c>
    </row>
    <row r="75" spans="1:14" hidden="1" x14ac:dyDescent="0.25">
      <c r="A75" s="202" t="s">
        <v>2657</v>
      </c>
      <c r="B75" s="202" t="s">
        <v>120</v>
      </c>
      <c r="C75" s="207" t="s">
        <v>120</v>
      </c>
      <c r="D75" s="202" t="s">
        <v>1649</v>
      </c>
      <c r="E75" s="202" t="s">
        <v>758</v>
      </c>
      <c r="F75" s="207" t="str">
        <f t="shared" si="1"/>
        <v>&lt;YR&gt; &lt;/YR&gt;</v>
      </c>
      <c r="G75" s="207" t="s">
        <v>408</v>
      </c>
      <c r="H75" s="207" t="s">
        <v>341</v>
      </c>
      <c r="I75" s="207" t="s">
        <v>232</v>
      </c>
      <c r="J75" s="202"/>
      <c r="K75" s="202" t="s">
        <v>827</v>
      </c>
      <c r="L75" s="202" t="s">
        <v>826</v>
      </c>
      <c r="M75" s="202"/>
      <c r="N75" s="202" t="s">
        <v>2322</v>
      </c>
    </row>
    <row r="76" spans="1:14" hidden="1" x14ac:dyDescent="0.25">
      <c r="A76" s="203" t="s">
        <v>2657</v>
      </c>
      <c r="B76" s="203" t="s">
        <v>121</v>
      </c>
      <c r="C76" s="226" t="s">
        <v>121</v>
      </c>
      <c r="D76" s="203" t="s">
        <v>1650</v>
      </c>
      <c r="E76" s="203" t="s">
        <v>758</v>
      </c>
      <c r="F76" s="226" t="str">
        <f t="shared" si="1"/>
        <v>&lt;OD&gt; &lt;/OD&gt;</v>
      </c>
      <c r="G76" s="226" t="s">
        <v>409</v>
      </c>
      <c r="H76" s="226" t="s">
        <v>342</v>
      </c>
      <c r="I76" s="226" t="s">
        <v>233</v>
      </c>
      <c r="J76" s="203"/>
      <c r="K76" s="203"/>
      <c r="L76" s="203" t="s">
        <v>846</v>
      </c>
      <c r="M76" s="203" t="s">
        <v>840</v>
      </c>
      <c r="N76" s="203" t="s">
        <v>2322</v>
      </c>
    </row>
    <row r="77" spans="1:14" ht="45" hidden="1" x14ac:dyDescent="0.25">
      <c r="A77" s="202" t="s">
        <v>2657</v>
      </c>
      <c r="B77" s="202" t="s">
        <v>2655</v>
      </c>
      <c r="C77" s="207" t="s">
        <v>2655</v>
      </c>
      <c r="D77" s="202" t="s">
        <v>2279</v>
      </c>
      <c r="E77" s="202" t="s">
        <v>758</v>
      </c>
      <c r="F77" s="207" t="str">
        <f t="shared" si="1"/>
        <v>&lt;DL
DL-FOOTER&gt; &lt;/DL
DL-FOOTER&gt;</v>
      </c>
      <c r="G77" s="207" t="s">
        <v>957</v>
      </c>
      <c r="H77" s="207" t="s">
        <v>958</v>
      </c>
      <c r="I77" s="207" t="s">
        <v>959</v>
      </c>
      <c r="J77" s="202"/>
      <c r="K77" s="202"/>
      <c r="L77" s="202" t="s">
        <v>828</v>
      </c>
      <c r="M77" s="202" t="s">
        <v>841</v>
      </c>
      <c r="N77" s="202" t="s">
        <v>2322</v>
      </c>
    </row>
    <row r="78" spans="1:14" ht="30" hidden="1" x14ac:dyDescent="0.25">
      <c r="A78" s="203" t="s">
        <v>2657</v>
      </c>
      <c r="B78" s="203" t="s">
        <v>122</v>
      </c>
      <c r="C78" s="226" t="s">
        <v>122</v>
      </c>
      <c r="D78" s="203" t="s">
        <v>1893</v>
      </c>
      <c r="E78" s="203" t="s">
        <v>758</v>
      </c>
      <c r="F78" s="226" t="str">
        <f t="shared" si="1"/>
        <v>&lt;MW&gt; &lt;/MW&gt;</v>
      </c>
      <c r="G78" s="226" t="s">
        <v>2111</v>
      </c>
      <c r="H78" s="226" t="s">
        <v>2112</v>
      </c>
      <c r="I78" s="226" t="s">
        <v>2113</v>
      </c>
      <c r="J78" s="203"/>
      <c r="K78" s="203"/>
      <c r="L78" s="203" t="s">
        <v>831</v>
      </c>
      <c r="M78" s="203"/>
      <c r="N78" s="203" t="s">
        <v>2322</v>
      </c>
    </row>
    <row r="79" spans="1:14" ht="45" hidden="1" x14ac:dyDescent="0.25">
      <c r="A79" s="202" t="s">
        <v>2657</v>
      </c>
      <c r="B79" s="202" t="s">
        <v>122</v>
      </c>
      <c r="C79" s="207" t="s">
        <v>122</v>
      </c>
      <c r="D79" s="202" t="s">
        <v>1894</v>
      </c>
      <c r="E79" s="202" t="s">
        <v>758</v>
      </c>
      <c r="F79" s="207" t="str">
        <f t="shared" si="1"/>
        <v>&lt;MW&gt; &lt;/MW&gt;</v>
      </c>
      <c r="G79" s="207" t="s">
        <v>2116</v>
      </c>
      <c r="H79" s="207" t="s">
        <v>2115</v>
      </c>
      <c r="I79" s="207" t="s">
        <v>2114</v>
      </c>
      <c r="J79" s="202"/>
      <c r="K79" s="202"/>
      <c r="L79" s="202" t="s">
        <v>831</v>
      </c>
      <c r="M79" s="202"/>
      <c r="N79" s="202" t="s">
        <v>2322</v>
      </c>
    </row>
    <row r="80" spans="1:14" ht="45" hidden="1" x14ac:dyDescent="0.25">
      <c r="A80" s="203" t="s">
        <v>2657</v>
      </c>
      <c r="B80" s="203" t="s">
        <v>2656</v>
      </c>
      <c r="C80" s="226" t="s">
        <v>2656</v>
      </c>
      <c r="D80" s="203" t="s">
        <v>1848</v>
      </c>
      <c r="E80" s="203" t="s">
        <v>758</v>
      </c>
      <c r="F80" s="226" t="str">
        <f t="shared" si="1"/>
        <v>&lt;EIN
EIN-FOOTER&gt; &lt;/EIN
EIN-FOOTER&gt;</v>
      </c>
      <c r="G80" s="226" t="s">
        <v>963</v>
      </c>
      <c r="H80" s="226" t="s">
        <v>964</v>
      </c>
      <c r="I80" s="226" t="s">
        <v>965</v>
      </c>
      <c r="J80" s="203"/>
      <c r="K80" s="203"/>
      <c r="L80" s="203" t="s">
        <v>832</v>
      </c>
      <c r="M80" s="203"/>
      <c r="N80" s="203" t="s">
        <v>2322</v>
      </c>
    </row>
    <row r="81" spans="1:14" ht="45" hidden="1" x14ac:dyDescent="0.25">
      <c r="A81" s="202" t="s">
        <v>2657</v>
      </c>
      <c r="B81" s="202" t="s">
        <v>1006</v>
      </c>
      <c r="C81" s="207" t="s">
        <v>1006</v>
      </c>
      <c r="D81" s="202" t="s">
        <v>2274</v>
      </c>
      <c r="E81" s="202" t="s">
        <v>1961</v>
      </c>
      <c r="F81" s="207" t="str">
        <f t="shared" si="1"/>
        <v>&lt;NME_1
NME_1_FOOTER&gt; &lt;/NME_1
NME_1_FOOTER&gt;</v>
      </c>
      <c r="G81" s="207" t="s">
        <v>419</v>
      </c>
      <c r="H81" s="207" t="s">
        <v>155</v>
      </c>
      <c r="I81" s="207" t="s">
        <v>418</v>
      </c>
      <c r="J81" s="202"/>
      <c r="K81" s="202"/>
      <c r="L81" s="202" t="s">
        <v>835</v>
      </c>
      <c r="M81" s="202" t="s">
        <v>839</v>
      </c>
      <c r="N81" s="202" t="s">
        <v>2325</v>
      </c>
    </row>
    <row r="82" spans="1:14" ht="195" hidden="1" x14ac:dyDescent="0.25">
      <c r="A82" s="203" t="s">
        <v>2657</v>
      </c>
      <c r="B82" s="203" t="s">
        <v>806</v>
      </c>
      <c r="C82" s="226" t="s">
        <v>806</v>
      </c>
      <c r="D82" s="203" t="s">
        <v>1652</v>
      </c>
      <c r="E82" s="203" t="s">
        <v>758</v>
      </c>
      <c r="F82" s="226" t="str">
        <f t="shared" si="1"/>
        <v>&lt;NME_2&gt; &lt;/NME_2&gt;</v>
      </c>
      <c r="G82" s="226" t="s">
        <v>3043</v>
      </c>
      <c r="H82" s="226" t="s">
        <v>3044</v>
      </c>
      <c r="I82" s="226" t="s">
        <v>967</v>
      </c>
      <c r="J82" s="203"/>
      <c r="K82" s="203"/>
      <c r="L82" s="203" t="s">
        <v>836</v>
      </c>
      <c r="M82" s="203"/>
      <c r="N82" s="203" t="s">
        <v>2322</v>
      </c>
    </row>
    <row r="83" spans="1:14" ht="165" hidden="1" x14ac:dyDescent="0.25">
      <c r="A83" s="202" t="s">
        <v>2657</v>
      </c>
      <c r="B83" s="202" t="s">
        <v>807</v>
      </c>
      <c r="C83" s="207" t="s">
        <v>807</v>
      </c>
      <c r="D83" s="202" t="s">
        <v>1653</v>
      </c>
      <c r="E83" s="202" t="s">
        <v>758</v>
      </c>
      <c r="F83" s="207" t="str">
        <f t="shared" si="1"/>
        <v>&lt;NME_3&gt; &lt;/NME_3&gt;</v>
      </c>
      <c r="G83" s="207" t="s">
        <v>2360</v>
      </c>
      <c r="H83" s="207" t="s">
        <v>966</v>
      </c>
      <c r="I83" s="207" t="s">
        <v>2361</v>
      </c>
      <c r="J83" s="202"/>
      <c r="K83" s="202"/>
      <c r="L83" s="202" t="s">
        <v>838</v>
      </c>
      <c r="M83" s="202"/>
      <c r="N83" s="202" t="s">
        <v>2325</v>
      </c>
    </row>
    <row r="84" spans="1:14" ht="30" hidden="1" x14ac:dyDescent="0.25">
      <c r="A84" s="203" t="s">
        <v>2657</v>
      </c>
      <c r="B84" s="203" t="s">
        <v>125</v>
      </c>
      <c r="C84" s="226" t="s">
        <v>125</v>
      </c>
      <c r="D84" s="203" t="s">
        <v>1654</v>
      </c>
      <c r="E84" s="203" t="s">
        <v>758</v>
      </c>
      <c r="F84" s="226" t="str">
        <f t="shared" si="1"/>
        <v>&lt;ADR&gt; &lt;/ADR&gt;</v>
      </c>
      <c r="G84" s="226" t="s">
        <v>450</v>
      </c>
      <c r="H84" s="226" t="s">
        <v>365</v>
      </c>
      <c r="I84" s="226" t="s">
        <v>239</v>
      </c>
      <c r="J84" s="203"/>
      <c r="K84" s="203"/>
      <c r="L84" s="203" t="s">
        <v>844</v>
      </c>
      <c r="M84" s="203"/>
      <c r="N84" s="203" t="s">
        <v>2322</v>
      </c>
    </row>
    <row r="85" spans="1:14" ht="30" hidden="1" x14ac:dyDescent="0.25">
      <c r="A85" s="202" t="s">
        <v>2657</v>
      </c>
      <c r="B85" s="202" t="s">
        <v>890</v>
      </c>
      <c r="C85" s="207" t="s">
        <v>890</v>
      </c>
      <c r="D85" s="202" t="s">
        <v>1655</v>
      </c>
      <c r="E85" s="202" t="s">
        <v>758</v>
      </c>
      <c r="F85" s="207" t="str">
        <f t="shared" si="1"/>
        <v>&lt;CS_1&gt; &lt;/CS_1&gt;</v>
      </c>
      <c r="G85" s="207" t="s">
        <v>452</v>
      </c>
      <c r="H85" s="207" t="s">
        <v>367</v>
      </c>
      <c r="I85" s="207" t="s">
        <v>241</v>
      </c>
      <c r="J85" s="202"/>
      <c r="K85" s="202"/>
      <c r="L85" s="202" t="s">
        <v>765</v>
      </c>
      <c r="M85" s="202"/>
      <c r="N85" s="202" t="s">
        <v>2322</v>
      </c>
    </row>
    <row r="86" spans="1:14" ht="30" hidden="1" x14ac:dyDescent="0.25">
      <c r="A86" s="203" t="s">
        <v>2657</v>
      </c>
      <c r="B86" s="203" t="s">
        <v>891</v>
      </c>
      <c r="C86" s="226" t="s">
        <v>891</v>
      </c>
      <c r="D86" s="203" t="s">
        <v>1656</v>
      </c>
      <c r="E86" s="203" t="s">
        <v>758</v>
      </c>
      <c r="F86" s="226" t="str">
        <f t="shared" si="1"/>
        <v>&lt;CS_2&gt; &lt;/CS_2&gt;</v>
      </c>
      <c r="G86" s="226" t="s">
        <v>453</v>
      </c>
      <c r="H86" s="226" t="s">
        <v>368</v>
      </c>
      <c r="I86" s="226" t="s">
        <v>242</v>
      </c>
      <c r="J86" s="203"/>
      <c r="K86" s="203"/>
      <c r="L86" s="203"/>
      <c r="M86" s="203"/>
      <c r="N86" s="203" t="s">
        <v>2322</v>
      </c>
    </row>
    <row r="87" spans="1:14" ht="30" hidden="1" x14ac:dyDescent="0.25">
      <c r="A87" s="202" t="s">
        <v>2657</v>
      </c>
      <c r="B87" s="202" t="s">
        <v>126</v>
      </c>
      <c r="C87" s="207" t="s">
        <v>126</v>
      </c>
      <c r="D87" s="202" t="s">
        <v>1657</v>
      </c>
      <c r="E87" s="202" t="s">
        <v>758</v>
      </c>
      <c r="F87" s="207" t="str">
        <f t="shared" si="1"/>
        <v>&lt;ZIP&gt; &lt;/ZIP&gt;</v>
      </c>
      <c r="G87" s="207" t="s">
        <v>451</v>
      </c>
      <c r="H87" s="207" t="s">
        <v>366</v>
      </c>
      <c r="I87" s="207" t="s">
        <v>240</v>
      </c>
      <c r="J87" s="202"/>
      <c r="K87" s="202"/>
      <c r="L87" s="202"/>
      <c r="M87" s="202"/>
      <c r="N87" s="202" t="s">
        <v>2322</v>
      </c>
    </row>
    <row r="88" spans="1:14" ht="60" hidden="1" x14ac:dyDescent="0.25">
      <c r="A88" s="203" t="s">
        <v>2657</v>
      </c>
      <c r="B88" s="203" t="s">
        <v>811</v>
      </c>
      <c r="C88" s="226" t="s">
        <v>811</v>
      </c>
      <c r="D88" s="203" t="s">
        <v>2275</v>
      </c>
      <c r="E88" s="203" t="s">
        <v>1961</v>
      </c>
      <c r="F88" s="226" t="str">
        <f t="shared" si="1"/>
        <v>&lt;2NM_1&gt; &lt;/2NM_1&gt;</v>
      </c>
      <c r="G88" s="226" t="s">
        <v>1506</v>
      </c>
      <c r="H88" s="226" t="s">
        <v>155</v>
      </c>
      <c r="I88" s="226" t="s">
        <v>1507</v>
      </c>
      <c r="J88" s="203"/>
      <c r="K88" s="203"/>
      <c r="L88" s="203" t="s">
        <v>847</v>
      </c>
      <c r="M88" s="203"/>
      <c r="N88" s="203" t="s">
        <v>2325</v>
      </c>
    </row>
    <row r="89" spans="1:14" ht="180" hidden="1" x14ac:dyDescent="0.25">
      <c r="A89" s="202" t="s">
        <v>2657</v>
      </c>
      <c r="B89" s="202" t="s">
        <v>812</v>
      </c>
      <c r="C89" s="207" t="s">
        <v>812</v>
      </c>
      <c r="D89" s="202" t="s">
        <v>1658</v>
      </c>
      <c r="E89" s="202" t="s">
        <v>758</v>
      </c>
      <c r="F89" s="207" t="str">
        <f t="shared" si="1"/>
        <v>&lt;2NM_2&gt; &lt;/2NM_2&gt;</v>
      </c>
      <c r="G89" s="207" t="s">
        <v>3048</v>
      </c>
      <c r="H89" s="207" t="s">
        <v>966</v>
      </c>
      <c r="I89" s="207" t="s">
        <v>3049</v>
      </c>
      <c r="J89" s="202"/>
      <c r="K89" s="202"/>
      <c r="L89" s="202" t="s">
        <v>848</v>
      </c>
      <c r="M89" s="202"/>
      <c r="N89" s="202" t="s">
        <v>2322</v>
      </c>
    </row>
    <row r="90" spans="1:14" ht="30" hidden="1" x14ac:dyDescent="0.25">
      <c r="A90" s="203" t="s">
        <v>2657</v>
      </c>
      <c r="B90" s="203" t="s">
        <v>130</v>
      </c>
      <c r="C90" s="226" t="s">
        <v>130</v>
      </c>
      <c r="D90" s="203" t="s">
        <v>1659</v>
      </c>
      <c r="E90" s="203" t="s">
        <v>758</v>
      </c>
      <c r="F90" s="226" t="str">
        <f t="shared" si="1"/>
        <v>&lt;2NST&gt; &lt;/2NST&gt;</v>
      </c>
      <c r="G90" s="226" t="s">
        <v>2252</v>
      </c>
      <c r="H90" s="226" t="s">
        <v>300</v>
      </c>
      <c r="I90" s="226" t="s">
        <v>328</v>
      </c>
      <c r="J90" s="203"/>
      <c r="K90" s="203"/>
      <c r="L90" s="203" t="s">
        <v>849</v>
      </c>
      <c r="M90" s="203"/>
      <c r="N90" s="203" t="s">
        <v>2322</v>
      </c>
    </row>
    <row r="91" spans="1:14" ht="30" hidden="1" x14ac:dyDescent="0.25">
      <c r="A91" s="202" t="s">
        <v>2657</v>
      </c>
      <c r="B91" s="202" t="s">
        <v>651</v>
      </c>
      <c r="C91" s="207" t="s">
        <v>651</v>
      </c>
      <c r="D91" s="202" t="s">
        <v>1660</v>
      </c>
      <c r="E91" s="202" t="s">
        <v>758</v>
      </c>
      <c r="F91" s="207" t="str">
        <f t="shared" si="1"/>
        <v>&lt;STK&gt; &lt;/STK&gt;</v>
      </c>
      <c r="G91" s="207" t="s">
        <v>2117</v>
      </c>
      <c r="H91" s="207" t="s">
        <v>411</v>
      </c>
      <c r="I91" s="207" t="s">
        <v>2118</v>
      </c>
      <c r="J91" s="202"/>
      <c r="K91" s="202"/>
      <c r="L91" s="202" t="s">
        <v>766</v>
      </c>
      <c r="M91" s="202"/>
      <c r="N91" s="202" t="s">
        <v>2326</v>
      </c>
    </row>
    <row r="92" spans="1:14" ht="60" hidden="1" x14ac:dyDescent="0.25">
      <c r="A92" s="203" t="s">
        <v>2657</v>
      </c>
      <c r="B92" s="203" t="s">
        <v>132</v>
      </c>
      <c r="C92" s="226" t="s">
        <v>132</v>
      </c>
      <c r="D92" s="203" t="s">
        <v>1661</v>
      </c>
      <c r="E92" s="203" t="s">
        <v>758</v>
      </c>
      <c r="F92" s="226" t="str">
        <f t="shared" si="1"/>
        <v>&lt;2AD&gt; &lt;/2AD&gt;</v>
      </c>
      <c r="G92" s="226" t="s">
        <v>1510</v>
      </c>
      <c r="H92" s="226" t="s">
        <v>365</v>
      </c>
      <c r="I92" s="226" t="s">
        <v>1511</v>
      </c>
      <c r="J92" s="203"/>
      <c r="K92" s="203"/>
      <c r="L92" s="203"/>
      <c r="M92" s="203"/>
      <c r="N92" s="203" t="s">
        <v>2322</v>
      </c>
    </row>
    <row r="93" spans="1:14" ht="60" hidden="1" x14ac:dyDescent="0.25">
      <c r="A93" s="202" t="s">
        <v>2657</v>
      </c>
      <c r="B93" s="202" t="s">
        <v>892</v>
      </c>
      <c r="C93" s="207" t="s">
        <v>892</v>
      </c>
      <c r="D93" s="202" t="s">
        <v>1642</v>
      </c>
      <c r="E93" s="202" t="s">
        <v>758</v>
      </c>
      <c r="F93" s="207" t="str">
        <f t="shared" si="1"/>
        <v>&lt;SEC_OWNER_CS_1&gt; &lt;/SEC_OWNER_CS_1&gt;</v>
      </c>
      <c r="G93" s="207" t="s">
        <v>1512</v>
      </c>
      <c r="H93" s="207" t="s">
        <v>367</v>
      </c>
      <c r="I93" s="207" t="s">
        <v>1513</v>
      </c>
      <c r="J93" s="202"/>
      <c r="K93" s="202"/>
      <c r="L93" s="202" t="s">
        <v>765</v>
      </c>
      <c r="M93" s="202"/>
      <c r="N93" s="202" t="s">
        <v>2322</v>
      </c>
    </row>
    <row r="94" spans="1:14" ht="60" hidden="1" x14ac:dyDescent="0.25">
      <c r="A94" s="203" t="s">
        <v>2657</v>
      </c>
      <c r="B94" s="203" t="s">
        <v>893</v>
      </c>
      <c r="C94" s="226" t="s">
        <v>893</v>
      </c>
      <c r="D94" s="203" t="s">
        <v>1641</v>
      </c>
      <c r="E94" s="203" t="s">
        <v>758</v>
      </c>
      <c r="F94" s="226" t="str">
        <f t="shared" si="1"/>
        <v>&lt;SEC_OWNER_CS_2&gt; &lt;/SEC_OWNER_CS_2&gt;</v>
      </c>
      <c r="G94" s="226" t="s">
        <v>1514</v>
      </c>
      <c r="H94" s="226" t="s">
        <v>368</v>
      </c>
      <c r="I94" s="226" t="s">
        <v>1515</v>
      </c>
      <c r="J94" s="203"/>
      <c r="K94" s="203"/>
      <c r="L94" s="203"/>
      <c r="M94" s="203"/>
      <c r="N94" s="203" t="s">
        <v>2322</v>
      </c>
    </row>
    <row r="95" spans="1:14" ht="60" hidden="1" x14ac:dyDescent="0.25">
      <c r="A95" s="202" t="s">
        <v>2657</v>
      </c>
      <c r="B95" s="202" t="s">
        <v>894</v>
      </c>
      <c r="C95" s="207" t="s">
        <v>894</v>
      </c>
      <c r="D95" s="202" t="s">
        <v>1640</v>
      </c>
      <c r="E95" s="202" t="s">
        <v>758</v>
      </c>
      <c r="F95" s="207" t="str">
        <f t="shared" si="1"/>
        <v>&lt;SEC_OWNER_ZIP&gt; &lt;/SEC_OWNER_ZIP&gt;</v>
      </c>
      <c r="G95" s="207" t="s">
        <v>1516</v>
      </c>
      <c r="H95" s="207" t="s">
        <v>366</v>
      </c>
      <c r="I95" s="207" t="s">
        <v>1517</v>
      </c>
      <c r="J95" s="202"/>
      <c r="K95" s="202"/>
      <c r="L95" s="202"/>
      <c r="M95" s="202"/>
      <c r="N95" s="202" t="s">
        <v>2322</v>
      </c>
    </row>
    <row r="96" spans="1:14" ht="30" hidden="1" x14ac:dyDescent="0.25">
      <c r="A96" s="203" t="s">
        <v>2657</v>
      </c>
      <c r="B96" s="203" t="s">
        <v>133</v>
      </c>
      <c r="C96" s="226" t="s">
        <v>133</v>
      </c>
      <c r="D96" s="203" t="s">
        <v>2273</v>
      </c>
      <c r="E96" s="203" t="s">
        <v>758</v>
      </c>
      <c r="F96" s="226" t="str">
        <f t="shared" si="1"/>
        <v>&lt;LIEN1&gt; &lt;/LIEN1&gt;</v>
      </c>
      <c r="G96" s="226" t="s">
        <v>475</v>
      </c>
      <c r="H96" s="226" t="s">
        <v>371</v>
      </c>
      <c r="I96" s="226" t="s">
        <v>245</v>
      </c>
      <c r="J96" s="203"/>
      <c r="K96" s="203"/>
      <c r="L96" s="203" t="s">
        <v>769</v>
      </c>
      <c r="M96" s="203"/>
      <c r="N96" s="203" t="s">
        <v>2322</v>
      </c>
    </row>
    <row r="97" spans="1:14" hidden="1" x14ac:dyDescent="0.25">
      <c r="A97" s="202" t="s">
        <v>2657</v>
      </c>
      <c r="B97" s="202" t="s">
        <v>656</v>
      </c>
      <c r="C97" s="207" t="s">
        <v>656</v>
      </c>
      <c r="D97" s="202" t="s">
        <v>1638</v>
      </c>
      <c r="E97" s="202" t="s">
        <v>868</v>
      </c>
      <c r="F97" s="207" t="str">
        <f t="shared" si="1"/>
        <v>&lt;AMT&gt; &lt;/AMT&gt;</v>
      </c>
      <c r="G97" s="207" t="s">
        <v>973</v>
      </c>
      <c r="H97" s="207" t="s">
        <v>971</v>
      </c>
      <c r="I97" s="207" t="s">
        <v>972</v>
      </c>
      <c r="J97" s="202"/>
      <c r="K97" s="202"/>
      <c r="L97" s="202" t="s">
        <v>657</v>
      </c>
      <c r="M97" s="202"/>
      <c r="N97" s="202" t="s">
        <v>2327</v>
      </c>
    </row>
    <row r="98" spans="1:14" hidden="1" x14ac:dyDescent="0.25">
      <c r="A98" s="203" t="s">
        <v>2657</v>
      </c>
      <c r="B98" s="203" t="s">
        <v>524</v>
      </c>
      <c r="C98" s="226" t="s">
        <v>524</v>
      </c>
      <c r="D98" s="203" t="s">
        <v>1637</v>
      </c>
      <c r="E98" s="203" t="s">
        <v>763</v>
      </c>
      <c r="F98" s="226" t="str">
        <f t="shared" si="1"/>
        <v>&lt;DATE&gt; &lt;/DATE&gt;</v>
      </c>
      <c r="G98" s="226" t="s">
        <v>974</v>
      </c>
      <c r="H98" s="226" t="s">
        <v>975</v>
      </c>
      <c r="I98" s="226" t="s">
        <v>976</v>
      </c>
      <c r="J98" s="203"/>
      <c r="K98" s="203"/>
      <c r="L98" s="203" t="s">
        <v>770</v>
      </c>
      <c r="M98" s="203"/>
      <c r="N98" s="203" t="s">
        <v>2328</v>
      </c>
    </row>
    <row r="99" spans="1:14" ht="30" hidden="1" x14ac:dyDescent="0.25">
      <c r="A99" s="202" t="s">
        <v>2657</v>
      </c>
      <c r="B99" s="202" t="s">
        <v>895</v>
      </c>
      <c r="C99" s="207" t="s">
        <v>895</v>
      </c>
      <c r="D99" s="202" t="s">
        <v>1636</v>
      </c>
      <c r="E99" s="202" t="s">
        <v>758</v>
      </c>
      <c r="F99" s="207" t="str">
        <f t="shared" si="1"/>
        <v>&lt;LIEN_ADR&gt; &lt;/LIEN_ADR&gt;</v>
      </c>
      <c r="G99" s="207" t="s">
        <v>476</v>
      </c>
      <c r="H99" s="207" t="s">
        <v>365</v>
      </c>
      <c r="I99" s="207" t="s">
        <v>246</v>
      </c>
      <c r="J99" s="202"/>
      <c r="K99" s="202"/>
      <c r="L99" s="202" t="s">
        <v>853</v>
      </c>
      <c r="M99" s="202"/>
      <c r="N99" s="202" t="s">
        <v>2322</v>
      </c>
    </row>
    <row r="100" spans="1:14" ht="30" hidden="1" x14ac:dyDescent="0.25">
      <c r="A100" s="203" t="s">
        <v>2657</v>
      </c>
      <c r="B100" s="203" t="s">
        <v>896</v>
      </c>
      <c r="C100" s="226" t="s">
        <v>896</v>
      </c>
      <c r="D100" s="203" t="s">
        <v>1635</v>
      </c>
      <c r="E100" s="203" t="s">
        <v>758</v>
      </c>
      <c r="F100" s="226" t="str">
        <f t="shared" si="1"/>
        <v>&lt;LIEN_CS_1&gt; &lt;/LIEN_CS_1&gt;</v>
      </c>
      <c r="G100" s="226" t="s">
        <v>477</v>
      </c>
      <c r="H100" s="226" t="s">
        <v>367</v>
      </c>
      <c r="I100" s="226" t="s">
        <v>247</v>
      </c>
      <c r="J100" s="203"/>
      <c r="K100" s="203"/>
      <c r="L100" s="203" t="s">
        <v>856</v>
      </c>
      <c r="M100" s="203"/>
      <c r="N100" s="203" t="s">
        <v>2322</v>
      </c>
    </row>
    <row r="101" spans="1:14" ht="30" hidden="1" x14ac:dyDescent="0.25">
      <c r="A101" s="202" t="s">
        <v>2657</v>
      </c>
      <c r="B101" s="202" t="s">
        <v>897</v>
      </c>
      <c r="C101" s="207" t="s">
        <v>897</v>
      </c>
      <c r="D101" s="202" t="s">
        <v>1634</v>
      </c>
      <c r="E101" s="202" t="s">
        <v>758</v>
      </c>
      <c r="F101" s="207" t="str">
        <f t="shared" si="1"/>
        <v>&lt;LIEN_CS_2&gt; &lt;/LIEN_CS_2&gt;</v>
      </c>
      <c r="G101" s="207" t="s">
        <v>478</v>
      </c>
      <c r="H101" s="207" t="s">
        <v>368</v>
      </c>
      <c r="I101" s="207" t="s">
        <v>248</v>
      </c>
      <c r="J101" s="202"/>
      <c r="K101" s="202"/>
      <c r="L101" s="202" t="s">
        <v>855</v>
      </c>
      <c r="M101" s="202"/>
      <c r="N101" s="202" t="s">
        <v>2322</v>
      </c>
    </row>
    <row r="102" spans="1:14" ht="30" hidden="1" x14ac:dyDescent="0.25">
      <c r="A102" s="203" t="s">
        <v>2657</v>
      </c>
      <c r="B102" s="203" t="s">
        <v>906</v>
      </c>
      <c r="C102" s="226" t="s">
        <v>906</v>
      </c>
      <c r="D102" s="203" t="s">
        <v>1633</v>
      </c>
      <c r="E102" s="203" t="s">
        <v>758</v>
      </c>
      <c r="F102" s="226" t="str">
        <f t="shared" si="1"/>
        <v>&lt;LIEN_ZIP&gt; &lt;/LIEN_ZIP&gt;</v>
      </c>
      <c r="G102" s="226" t="s">
        <v>479</v>
      </c>
      <c r="H102" s="226" t="s">
        <v>366</v>
      </c>
      <c r="I102" s="226" t="s">
        <v>249</v>
      </c>
      <c r="J102" s="203"/>
      <c r="K102" s="203"/>
      <c r="L102" s="203" t="s">
        <v>854</v>
      </c>
      <c r="M102" s="203"/>
      <c r="N102" s="203" t="s">
        <v>2322</v>
      </c>
    </row>
    <row r="103" spans="1:14" hidden="1" x14ac:dyDescent="0.25">
      <c r="A103" s="202" t="s">
        <v>2657</v>
      </c>
      <c r="B103" s="202" t="s">
        <v>134</v>
      </c>
      <c r="C103" s="207" t="s">
        <v>134</v>
      </c>
      <c r="D103" s="202" t="s">
        <v>2330</v>
      </c>
      <c r="E103" s="202" t="s">
        <v>716</v>
      </c>
      <c r="F103" s="207" t="str">
        <f t="shared" si="1"/>
        <v>&lt;N/U&gt; &lt;/N/U&gt;</v>
      </c>
      <c r="G103" s="207" t="s">
        <v>434</v>
      </c>
      <c r="H103" s="207" t="s">
        <v>333</v>
      </c>
      <c r="I103" s="207" t="s">
        <v>289</v>
      </c>
      <c r="J103" s="202"/>
      <c r="K103" s="202"/>
      <c r="L103" s="202" t="s">
        <v>773</v>
      </c>
      <c r="M103" s="202"/>
      <c r="N103" s="202" t="s">
        <v>2322</v>
      </c>
    </row>
    <row r="104" spans="1:14" hidden="1" x14ac:dyDescent="0.25">
      <c r="A104" s="203" t="s">
        <v>2657</v>
      </c>
      <c r="B104" s="203" t="s">
        <v>135</v>
      </c>
      <c r="C104" s="226" t="s">
        <v>135</v>
      </c>
      <c r="D104" s="203" t="s">
        <v>1631</v>
      </c>
      <c r="E104" s="203" t="s">
        <v>763</v>
      </c>
      <c r="F104" s="226" t="str">
        <f t="shared" si="1"/>
        <v>&lt;DAQ&gt; &lt;/DAQ&gt;</v>
      </c>
      <c r="G104" s="226" t="s">
        <v>486</v>
      </c>
      <c r="H104" s="226" t="s">
        <v>349</v>
      </c>
      <c r="I104" s="226" t="s">
        <v>254</v>
      </c>
      <c r="J104" s="203"/>
      <c r="K104" s="203" t="s">
        <v>1181</v>
      </c>
      <c r="L104" s="203" t="s">
        <v>774</v>
      </c>
      <c r="M104" s="203"/>
      <c r="N104" s="203" t="s">
        <v>2328</v>
      </c>
    </row>
    <row r="105" spans="1:14" ht="30" hidden="1" x14ac:dyDescent="0.25">
      <c r="A105" s="202" t="s">
        <v>2657</v>
      </c>
      <c r="B105" s="202" t="s">
        <v>136</v>
      </c>
      <c r="C105" s="207" t="s">
        <v>136</v>
      </c>
      <c r="D105" s="202" t="s">
        <v>1849</v>
      </c>
      <c r="E105" s="202" t="s">
        <v>758</v>
      </c>
      <c r="F105" s="207" t="str">
        <f t="shared" si="1"/>
        <v>&lt;PRT&gt; &lt;/PRT&gt;</v>
      </c>
      <c r="G105" s="207" t="s">
        <v>488</v>
      </c>
      <c r="H105" s="207" t="s">
        <v>359</v>
      </c>
      <c r="I105" s="207" t="s">
        <v>256</v>
      </c>
      <c r="J105" s="202"/>
      <c r="K105" s="202"/>
      <c r="L105" s="202" t="s">
        <v>775</v>
      </c>
      <c r="M105" s="202"/>
      <c r="N105" s="202" t="s">
        <v>2331</v>
      </c>
    </row>
    <row r="106" spans="1:14" hidden="1" x14ac:dyDescent="0.25">
      <c r="A106" s="203" t="s">
        <v>2657</v>
      </c>
      <c r="B106" s="203" t="s">
        <v>137</v>
      </c>
      <c r="C106" s="226" t="s">
        <v>137</v>
      </c>
      <c r="D106" s="203" t="s">
        <v>1630</v>
      </c>
      <c r="E106" s="203" t="s">
        <v>758</v>
      </c>
      <c r="F106" s="226" t="str">
        <f t="shared" si="1"/>
        <v>&lt;PRS&gt; &lt;/PRS&gt;</v>
      </c>
      <c r="G106" s="226" t="s">
        <v>489</v>
      </c>
      <c r="H106" s="226" t="s">
        <v>360</v>
      </c>
      <c r="I106" s="226" t="s">
        <v>257</v>
      </c>
      <c r="J106" s="203"/>
      <c r="K106" s="203"/>
      <c r="L106" s="203" t="s">
        <v>776</v>
      </c>
      <c r="M106" s="203"/>
      <c r="N106" s="203" t="s">
        <v>2322</v>
      </c>
    </row>
    <row r="107" spans="1:14" ht="30" hidden="1" x14ac:dyDescent="0.25">
      <c r="A107" s="202" t="s">
        <v>2657</v>
      </c>
      <c r="B107" s="202" t="s">
        <v>538</v>
      </c>
      <c r="C107" s="207" t="s">
        <v>538</v>
      </c>
      <c r="D107" s="202" t="s">
        <v>1850</v>
      </c>
      <c r="E107" s="202" t="s">
        <v>758</v>
      </c>
      <c r="F107" s="207" t="str">
        <f t="shared" si="1"/>
        <v>&lt;PRL&gt; &lt;/PRL&gt;</v>
      </c>
      <c r="G107" s="207" t="s">
        <v>444</v>
      </c>
      <c r="H107" s="207" t="s">
        <v>411</v>
      </c>
      <c r="I107" s="207" t="s">
        <v>261</v>
      </c>
      <c r="J107" s="202"/>
      <c r="K107" s="202"/>
      <c r="L107" s="202" t="s">
        <v>777</v>
      </c>
      <c r="M107" s="202"/>
      <c r="N107" s="202" t="s">
        <v>2322</v>
      </c>
    </row>
    <row r="108" spans="1:14" ht="30" hidden="1" x14ac:dyDescent="0.25">
      <c r="A108" s="203" t="s">
        <v>2657</v>
      </c>
      <c r="B108" s="203" t="s">
        <v>1530</v>
      </c>
      <c r="C108" s="226" t="s">
        <v>1530</v>
      </c>
      <c r="D108" s="203" t="s">
        <v>1786</v>
      </c>
      <c r="E108" s="203" t="s">
        <v>758</v>
      </c>
      <c r="F108" s="226" t="str">
        <f t="shared" si="1"/>
        <v>&lt;PREV_EXP_DATE&gt; &lt;/PREV_EXP_DATE&gt;</v>
      </c>
      <c r="G108" s="226" t="s">
        <v>445</v>
      </c>
      <c r="H108" s="226" t="s">
        <v>347</v>
      </c>
      <c r="I108" s="226" t="s">
        <v>272</v>
      </c>
      <c r="J108" s="203"/>
      <c r="K108" s="203"/>
      <c r="L108" s="203" t="s">
        <v>778</v>
      </c>
      <c r="M108" s="203"/>
      <c r="N108" s="203" t="s">
        <v>2328</v>
      </c>
    </row>
    <row r="109" spans="1:14" ht="30" hidden="1" x14ac:dyDescent="0.25">
      <c r="A109" s="202" t="s">
        <v>2657</v>
      </c>
      <c r="B109" s="202" t="s">
        <v>551</v>
      </c>
      <c r="C109" s="207" t="s">
        <v>551</v>
      </c>
      <c r="D109" s="202" t="s">
        <v>1628</v>
      </c>
      <c r="E109" s="202" t="s">
        <v>758</v>
      </c>
      <c r="F109" s="207" t="str">
        <f t="shared" si="1"/>
        <v>&lt;TTA&gt; &lt;/TTA&gt;</v>
      </c>
      <c r="G109" s="207" t="s">
        <v>1861</v>
      </c>
      <c r="H109" s="207" t="s">
        <v>1862</v>
      </c>
      <c r="I109" s="207" t="s">
        <v>1863</v>
      </c>
      <c r="J109" s="202"/>
      <c r="K109" s="202"/>
      <c r="L109" s="202" t="s">
        <v>552</v>
      </c>
      <c r="M109" s="202"/>
      <c r="N109" s="202" t="s">
        <v>2332</v>
      </c>
    </row>
    <row r="110" spans="1:14" ht="30" hidden="1" x14ac:dyDescent="0.25">
      <c r="A110" s="203" t="s">
        <v>2657</v>
      </c>
      <c r="B110" s="203" t="s">
        <v>554</v>
      </c>
      <c r="C110" s="226" t="s">
        <v>554</v>
      </c>
      <c r="D110" s="203" t="s">
        <v>1627</v>
      </c>
      <c r="E110" s="203" t="s">
        <v>763</v>
      </c>
      <c r="F110" s="226" t="str">
        <f t="shared" si="1"/>
        <v>&lt;TRDA&gt; &lt;/TRDA&gt;</v>
      </c>
      <c r="G110" s="226" t="s">
        <v>1864</v>
      </c>
      <c r="H110" s="226" t="s">
        <v>1865</v>
      </c>
      <c r="I110" s="226" t="s">
        <v>1866</v>
      </c>
      <c r="J110" s="203"/>
      <c r="K110" s="203"/>
      <c r="L110" s="203" t="s">
        <v>555</v>
      </c>
      <c r="M110" s="203"/>
      <c r="N110" s="203" t="s">
        <v>2328</v>
      </c>
    </row>
    <row r="111" spans="1:14" ht="30" hidden="1" x14ac:dyDescent="0.25">
      <c r="A111" s="202" t="s">
        <v>2657</v>
      </c>
      <c r="B111" s="202" t="s">
        <v>556</v>
      </c>
      <c r="C111" s="207" t="s">
        <v>556</v>
      </c>
      <c r="D111" s="202" t="s">
        <v>1626</v>
      </c>
      <c r="E111" s="202" t="s">
        <v>758</v>
      </c>
      <c r="F111" s="207" t="str">
        <f t="shared" si="1"/>
        <v>&lt;TTB&gt; &lt;/TTB&gt;</v>
      </c>
      <c r="G111" s="207" t="s">
        <v>1867</v>
      </c>
      <c r="H111" s="207" t="s">
        <v>1868</v>
      </c>
      <c r="I111" s="207" t="s">
        <v>1869</v>
      </c>
      <c r="J111" s="202"/>
      <c r="K111" s="202"/>
      <c r="L111" s="202" t="s">
        <v>557</v>
      </c>
      <c r="M111" s="202"/>
      <c r="N111" s="202" t="s">
        <v>2332</v>
      </c>
    </row>
    <row r="112" spans="1:14" ht="30" hidden="1" x14ac:dyDescent="0.25">
      <c r="A112" s="203" t="s">
        <v>2657</v>
      </c>
      <c r="B112" s="203" t="s">
        <v>560</v>
      </c>
      <c r="C112" s="226" t="s">
        <v>560</v>
      </c>
      <c r="D112" s="203" t="s">
        <v>1625</v>
      </c>
      <c r="E112" s="203" t="s">
        <v>763</v>
      </c>
      <c r="F112" s="226" t="str">
        <f t="shared" si="1"/>
        <v>&lt;TRDB&gt; &lt;/TRDB&gt;</v>
      </c>
      <c r="G112" s="226" t="s">
        <v>1870</v>
      </c>
      <c r="H112" s="226" t="s">
        <v>1871</v>
      </c>
      <c r="I112" s="226" t="s">
        <v>1872</v>
      </c>
      <c r="J112" s="203"/>
      <c r="K112" s="203"/>
      <c r="L112" s="203" t="s">
        <v>562</v>
      </c>
      <c r="M112" s="203"/>
      <c r="N112" s="203" t="s">
        <v>2328</v>
      </c>
    </row>
    <row r="113" spans="1:14" ht="30" x14ac:dyDescent="0.25">
      <c r="A113" s="202" t="s">
        <v>2663</v>
      </c>
      <c r="B113" s="202" t="s">
        <v>563</v>
      </c>
      <c r="C113" s="207" t="s">
        <v>563</v>
      </c>
      <c r="D113" s="202" t="s">
        <v>1840</v>
      </c>
      <c r="E113" s="202" t="s">
        <v>758</v>
      </c>
      <c r="F113" s="207" t="str">
        <f t="shared" si="1"/>
        <v>&lt;MF&gt; &lt;/MF&gt;</v>
      </c>
      <c r="G113" s="207" t="s">
        <v>3258</v>
      </c>
      <c r="H113" s="207" t="s">
        <v>3257</v>
      </c>
      <c r="I113" s="207" t="s">
        <v>3259</v>
      </c>
      <c r="J113" s="202"/>
      <c r="K113" s="202"/>
      <c r="L113" s="202" t="s">
        <v>564</v>
      </c>
      <c r="M113" s="202"/>
      <c r="N113" s="202" t="s">
        <v>2331</v>
      </c>
    </row>
    <row r="114" spans="1:14" hidden="1" x14ac:dyDescent="0.25">
      <c r="A114" s="203" t="s">
        <v>2657</v>
      </c>
      <c r="B114" s="203" t="s">
        <v>210</v>
      </c>
      <c r="C114" s="226" t="s">
        <v>210</v>
      </c>
      <c r="D114" s="203" t="s">
        <v>1623</v>
      </c>
      <c r="E114" s="203" t="s">
        <v>868</v>
      </c>
      <c r="F114" s="226" t="str">
        <f t="shared" si="1"/>
        <v>&lt;SPOV&gt; &lt;/SPOV&gt;</v>
      </c>
      <c r="G114" s="226" t="s">
        <v>490</v>
      </c>
      <c r="H114" s="226" t="s">
        <v>351</v>
      </c>
      <c r="I114" s="226" t="s">
        <v>258</v>
      </c>
      <c r="J114" s="203"/>
      <c r="K114" s="203"/>
      <c r="L114" s="203" t="s">
        <v>570</v>
      </c>
      <c r="M114" s="203"/>
      <c r="N114" s="203" t="s">
        <v>2327</v>
      </c>
    </row>
    <row r="115" spans="1:14" ht="30" hidden="1" x14ac:dyDescent="0.25">
      <c r="A115" s="202" t="s">
        <v>2657</v>
      </c>
      <c r="B115" s="202" t="s">
        <v>571</v>
      </c>
      <c r="C115" s="207" t="s">
        <v>571</v>
      </c>
      <c r="D115" s="202" t="s">
        <v>1622</v>
      </c>
      <c r="E115" s="202" t="s">
        <v>758</v>
      </c>
      <c r="F115" s="207" t="str">
        <f t="shared" si="1"/>
        <v>&lt;DOM&gt; &lt;/DOM&gt;</v>
      </c>
      <c r="G115" s="207" t="s">
        <v>2256</v>
      </c>
      <c r="H115" s="207" t="s">
        <v>298</v>
      </c>
      <c r="I115" s="207" t="s">
        <v>286</v>
      </c>
      <c r="J115" s="202"/>
      <c r="K115" s="202"/>
      <c r="L115" s="202" t="s">
        <v>572</v>
      </c>
      <c r="M115" s="202"/>
      <c r="N115" s="202" t="s">
        <v>2322</v>
      </c>
    </row>
    <row r="116" spans="1:14" ht="30" hidden="1" x14ac:dyDescent="0.25">
      <c r="A116" s="203" t="s">
        <v>2657</v>
      </c>
      <c r="B116" s="203" t="s">
        <v>613</v>
      </c>
      <c r="C116" s="226" t="s">
        <v>613</v>
      </c>
      <c r="D116" s="203" t="s">
        <v>1788</v>
      </c>
      <c r="E116" s="203" t="s">
        <v>758</v>
      </c>
      <c r="F116" s="226" t="str">
        <f t="shared" si="1"/>
        <v>&lt;SF&gt; &lt;/SF&gt;</v>
      </c>
      <c r="G116" s="226" t="s">
        <v>1908</v>
      </c>
      <c r="H116" s="226" t="s">
        <v>1907</v>
      </c>
      <c r="I116" s="226" t="s">
        <v>1909</v>
      </c>
      <c r="J116" s="203"/>
      <c r="K116" s="203"/>
      <c r="L116" s="203" t="s">
        <v>189</v>
      </c>
      <c r="M116" s="203"/>
      <c r="N116" s="203" t="s">
        <v>2322</v>
      </c>
    </row>
    <row r="117" spans="1:14" hidden="1" x14ac:dyDescent="0.25">
      <c r="A117" s="202" t="s">
        <v>2657</v>
      </c>
      <c r="B117" s="202" t="s">
        <v>106</v>
      </c>
      <c r="C117" s="207" t="s">
        <v>106</v>
      </c>
      <c r="D117" s="202" t="s">
        <v>1602</v>
      </c>
      <c r="E117" s="202" t="s">
        <v>758</v>
      </c>
      <c r="F117" s="207" t="str">
        <f t="shared" si="1"/>
        <v>&lt;CL&gt; &lt;/CL&gt;</v>
      </c>
      <c r="G117" s="207" t="s">
        <v>982</v>
      </c>
      <c r="H117" s="207" t="s">
        <v>983</v>
      </c>
      <c r="I117" s="207" t="s">
        <v>984</v>
      </c>
      <c r="J117" s="202"/>
      <c r="K117" s="202"/>
      <c r="L117" s="202" t="s">
        <v>873</v>
      </c>
      <c r="M117" s="202"/>
      <c r="N117" s="202" t="s">
        <v>2322</v>
      </c>
    </row>
    <row r="118" spans="1:14" ht="30" hidden="1" x14ac:dyDescent="0.25">
      <c r="A118" s="203" t="s">
        <v>2862</v>
      </c>
      <c r="B118" s="203" t="s">
        <v>903</v>
      </c>
      <c r="C118" s="226" t="s">
        <v>903</v>
      </c>
      <c r="D118" s="203" t="s">
        <v>2389</v>
      </c>
      <c r="E118" s="203" t="s">
        <v>758</v>
      </c>
      <c r="F118" s="226" t="str">
        <f t="shared" si="1"/>
        <v>&lt;COMMENTS_1&gt; &lt;/COMMENTS_1&gt;</v>
      </c>
      <c r="G118" s="226" t="s">
        <v>2348</v>
      </c>
      <c r="H118" s="226" t="s">
        <v>2350</v>
      </c>
      <c r="I118" s="226" t="s">
        <v>2349</v>
      </c>
      <c r="J118" s="203"/>
      <c r="K118" s="203"/>
      <c r="L118" s="203" t="s">
        <v>993</v>
      </c>
      <c r="M118" s="203"/>
      <c r="N118" s="203" t="s">
        <v>2322</v>
      </c>
    </row>
    <row r="119" spans="1:14" ht="30" hidden="1" x14ac:dyDescent="0.25">
      <c r="A119" s="202" t="s">
        <v>2862</v>
      </c>
      <c r="B119" s="202" t="s">
        <v>904</v>
      </c>
      <c r="C119" s="207" t="s">
        <v>904</v>
      </c>
      <c r="D119" s="202" t="s">
        <v>1820</v>
      </c>
      <c r="E119" s="202" t="s">
        <v>758</v>
      </c>
      <c r="F119" s="207" t="str">
        <f t="shared" si="1"/>
        <v>&lt;COMMENTS_2&gt; &lt;/COMMENTS_2&gt;</v>
      </c>
      <c r="G119" s="207" t="s">
        <v>2347</v>
      </c>
      <c r="H119" s="207" t="s">
        <v>2346</v>
      </c>
      <c r="I119" s="207" t="s">
        <v>2345</v>
      </c>
      <c r="J119" s="202"/>
      <c r="K119" s="202"/>
      <c r="L119" s="202" t="s">
        <v>994</v>
      </c>
      <c r="M119" s="202"/>
      <c r="N119" s="202" t="s">
        <v>2322</v>
      </c>
    </row>
    <row r="120" spans="1:14" ht="30" hidden="1" x14ac:dyDescent="0.25">
      <c r="A120" s="203" t="s">
        <v>2657</v>
      </c>
      <c r="B120" s="203" t="s">
        <v>905</v>
      </c>
      <c r="C120" s="226" t="s">
        <v>905</v>
      </c>
      <c r="D120" s="203" t="s">
        <v>1820</v>
      </c>
      <c r="E120" s="203" t="s">
        <v>758</v>
      </c>
      <c r="F120" s="226" t="str">
        <f t="shared" si="1"/>
        <v>&lt;COMMENTS_3&gt; &lt;/COMMENTS_3&gt;</v>
      </c>
      <c r="G120" s="226" t="s">
        <v>2342</v>
      </c>
      <c r="H120" s="226" t="s">
        <v>2343</v>
      </c>
      <c r="I120" s="226" t="s">
        <v>2344</v>
      </c>
      <c r="J120" s="203"/>
      <c r="K120" s="203"/>
      <c r="L120" s="203" t="s">
        <v>994</v>
      </c>
      <c r="M120" s="203"/>
      <c r="N120" s="203" t="s">
        <v>2322</v>
      </c>
    </row>
    <row r="121" spans="1:14" hidden="1" x14ac:dyDescent="0.25">
      <c r="A121" s="202" t="s">
        <v>2657</v>
      </c>
      <c r="B121" s="202" t="s">
        <v>642</v>
      </c>
      <c r="C121" s="207" t="s">
        <v>642</v>
      </c>
      <c r="D121" s="202" t="s">
        <v>2277</v>
      </c>
      <c r="E121" s="202" t="s">
        <v>758</v>
      </c>
      <c r="F121" s="207" t="str">
        <f t="shared" si="1"/>
        <v>&lt;ORI&gt; &lt;/ORI&gt;</v>
      </c>
      <c r="G121" s="207" t="s">
        <v>1427</v>
      </c>
      <c r="H121" s="207" t="s">
        <v>1425</v>
      </c>
      <c r="I121" s="207" t="s">
        <v>1423</v>
      </c>
      <c r="J121" s="202"/>
      <c r="K121" s="202"/>
      <c r="L121" s="202" t="s">
        <v>1834</v>
      </c>
      <c r="M121" s="202"/>
      <c r="N121" s="202" t="s">
        <v>2331</v>
      </c>
    </row>
    <row r="122" spans="1:14" hidden="1" x14ac:dyDescent="0.25">
      <c r="A122" s="203" t="s">
        <v>2657</v>
      </c>
      <c r="B122" s="203" t="s">
        <v>643</v>
      </c>
      <c r="C122" s="226" t="s">
        <v>643</v>
      </c>
      <c r="D122" s="203" t="s">
        <v>2278</v>
      </c>
      <c r="E122" s="203" t="s">
        <v>758</v>
      </c>
      <c r="F122" s="226" t="str">
        <f t="shared" si="1"/>
        <v>&lt;OCA&gt; &lt;/OCA&gt;</v>
      </c>
      <c r="G122" s="226" t="s">
        <v>1428</v>
      </c>
      <c r="H122" s="226" t="s">
        <v>1426</v>
      </c>
      <c r="I122" s="226" t="s">
        <v>1424</v>
      </c>
      <c r="J122" s="203"/>
      <c r="K122" s="203"/>
      <c r="L122" s="203" t="s">
        <v>1835</v>
      </c>
      <c r="M122" s="203"/>
      <c r="N122" s="203" t="s">
        <v>2331</v>
      </c>
    </row>
    <row r="123" spans="1:14" hidden="1" x14ac:dyDescent="0.25">
      <c r="A123" s="202" t="s">
        <v>2657</v>
      </c>
      <c r="B123" s="202" t="s">
        <v>639</v>
      </c>
      <c r="C123" s="207" t="s">
        <v>639</v>
      </c>
      <c r="D123" s="202" t="s">
        <v>1819</v>
      </c>
      <c r="E123" s="202" t="s">
        <v>764</v>
      </c>
      <c r="F123" s="207" t="str">
        <f t="shared" si="1"/>
        <v>&lt;DISC&gt; &lt;/DISC&gt;</v>
      </c>
      <c r="G123" s="207" t="s">
        <v>1373</v>
      </c>
      <c r="H123" s="207" t="s">
        <v>1374</v>
      </c>
      <c r="I123" s="207" t="s">
        <v>1375</v>
      </c>
      <c r="J123" s="202"/>
      <c r="K123" s="202"/>
      <c r="L123" s="202" t="s">
        <v>1833</v>
      </c>
      <c r="M123" s="202"/>
      <c r="N123" s="202" t="s">
        <v>2335</v>
      </c>
    </row>
    <row r="124" spans="1:14" ht="30" x14ac:dyDescent="0.25">
      <c r="A124" s="224">
        <v>2000</v>
      </c>
      <c r="B124" s="203" t="s">
        <v>2658</v>
      </c>
      <c r="C124" s="226" t="s">
        <v>2659</v>
      </c>
      <c r="D124" s="203"/>
      <c r="E124" s="203" t="s">
        <v>764</v>
      </c>
      <c r="F124" s="226" t="str">
        <f t="shared" si="1"/>
        <v>&lt;ConvictionFee&gt; &lt;/ConvictionFee&gt;</v>
      </c>
      <c r="G124" s="207" t="s">
        <v>3306</v>
      </c>
      <c r="H124" s="207" t="s">
        <v>3307</v>
      </c>
      <c r="I124" s="207" t="s">
        <v>3308</v>
      </c>
      <c r="J124" s="203"/>
      <c r="K124" s="203"/>
      <c r="L124" s="203"/>
      <c r="M124" s="203"/>
      <c r="N124" s="203"/>
    </row>
    <row r="125" spans="1:14" ht="60" x14ac:dyDescent="0.25">
      <c r="A125" s="225">
        <v>2000</v>
      </c>
      <c r="B125" s="202" t="s">
        <v>2660</v>
      </c>
      <c r="C125" s="207" t="s">
        <v>2662</v>
      </c>
      <c r="D125" s="202"/>
      <c r="E125" s="202" t="s">
        <v>758</v>
      </c>
      <c r="F125" s="207" t="str">
        <f t="shared" si="1"/>
        <v>&lt;IssuedToCertainTicketsOrConvictions&gt; &lt;/IssuedToCertainTicketsOrConvictions&gt;</v>
      </c>
      <c r="G125" s="207" t="s">
        <v>3254</v>
      </c>
      <c r="H125" s="207" t="s">
        <v>3255</v>
      </c>
      <c r="I125" s="207" t="s">
        <v>3256</v>
      </c>
      <c r="J125" s="202"/>
      <c r="K125" s="202"/>
      <c r="L125" s="202"/>
      <c r="M125" s="202"/>
      <c r="N125" s="202"/>
    </row>
    <row r="126" spans="1:14" ht="45" x14ac:dyDescent="0.25">
      <c r="A126" s="224">
        <v>2000</v>
      </c>
      <c r="B126" s="203" t="s">
        <v>2664</v>
      </c>
      <c r="C126" s="226" t="s">
        <v>2665</v>
      </c>
      <c r="D126" s="203"/>
      <c r="E126" s="203" t="s">
        <v>758</v>
      </c>
      <c r="F126" s="226" t="str">
        <f t="shared" si="1"/>
        <v>&lt;ReturnedMicroFilm&gt; &lt;/ReturnedMicroFilm&gt;</v>
      </c>
      <c r="G126" s="207" t="s">
        <v>3260</v>
      </c>
      <c r="H126" s="207" t="s">
        <v>3261</v>
      </c>
      <c r="I126" s="207" t="s">
        <v>3262</v>
      </c>
      <c r="J126" s="203"/>
      <c r="K126" s="203"/>
      <c r="L126" s="203"/>
      <c r="M126" s="203"/>
      <c r="N126" s="203"/>
    </row>
    <row r="127" spans="1:14" ht="30" x14ac:dyDescent="0.25">
      <c r="A127" s="225">
        <v>2000</v>
      </c>
      <c r="B127" s="202" t="s">
        <v>2666</v>
      </c>
      <c r="C127" s="207" t="s">
        <v>2667</v>
      </c>
      <c r="D127" s="202"/>
      <c r="E127" s="202" t="s">
        <v>758</v>
      </c>
      <c r="F127" s="207" t="str">
        <f t="shared" si="1"/>
        <v>&lt;DateOfNotice&gt; &lt;/DateOfNotice&gt;</v>
      </c>
      <c r="G127" s="207" t="s">
        <v>3263</v>
      </c>
      <c r="H127" s="207" t="s">
        <v>3264</v>
      </c>
      <c r="I127" s="207" t="s">
        <v>3265</v>
      </c>
      <c r="J127" s="202"/>
      <c r="K127" s="202"/>
      <c r="L127" s="202"/>
      <c r="M127" s="202"/>
      <c r="N127" s="202"/>
    </row>
    <row r="128" spans="1:14" x14ac:dyDescent="0.25">
      <c r="A128" s="224">
        <v>2000</v>
      </c>
      <c r="B128" s="203" t="s">
        <v>2668</v>
      </c>
      <c r="C128" s="226" t="s">
        <v>2670</v>
      </c>
      <c r="D128" s="203"/>
      <c r="E128" s="203" t="s">
        <v>758</v>
      </c>
      <c r="F128" s="226" t="str">
        <f t="shared" si="1"/>
        <v>&lt;ParagraphType&gt; &lt;/ParagraphType&gt;</v>
      </c>
      <c r="G128" s="226" t="s">
        <v>2747</v>
      </c>
      <c r="H128" s="226" t="s">
        <v>3248</v>
      </c>
      <c r="I128" s="226" t="s">
        <v>3042</v>
      </c>
      <c r="J128" s="203"/>
      <c r="K128" s="203"/>
      <c r="L128" s="203"/>
      <c r="M128" s="203"/>
      <c r="N128" s="203"/>
    </row>
    <row r="129" spans="1:14" ht="30" x14ac:dyDescent="0.25">
      <c r="A129" s="202" t="s">
        <v>2861</v>
      </c>
      <c r="B129" s="202" t="s">
        <v>2669</v>
      </c>
      <c r="C129" s="207" t="s">
        <v>2671</v>
      </c>
      <c r="D129" s="202"/>
      <c r="E129" s="202" t="s">
        <v>758</v>
      </c>
      <c r="F129" s="207" t="str">
        <f t="shared" si="1"/>
        <v>&lt;Paragraph_1&gt; &lt;/Paragraph_1&gt;</v>
      </c>
      <c r="G129" s="207" t="s">
        <v>3064</v>
      </c>
      <c r="H129" s="207" t="s">
        <v>3065</v>
      </c>
      <c r="I129" s="207" t="s">
        <v>3066</v>
      </c>
      <c r="J129" s="202"/>
      <c r="K129" s="202"/>
      <c r="L129" s="202"/>
      <c r="M129" s="202"/>
      <c r="N129" s="202"/>
    </row>
    <row r="130" spans="1:14" ht="30" x14ac:dyDescent="0.25">
      <c r="A130" s="203" t="s">
        <v>2861</v>
      </c>
      <c r="B130" s="203" t="s">
        <v>2672</v>
      </c>
      <c r="C130" s="226" t="s">
        <v>2676</v>
      </c>
      <c r="D130" s="203"/>
      <c r="E130" s="203" t="s">
        <v>758</v>
      </c>
      <c r="F130" s="226" t="str">
        <f t="shared" si="1"/>
        <v>&lt;Paragraph_2&gt; &lt;/Paragraph_2&gt;</v>
      </c>
      <c r="G130" s="207" t="s">
        <v>3064</v>
      </c>
      <c r="H130" s="207" t="s">
        <v>3065</v>
      </c>
      <c r="I130" s="207" t="s">
        <v>3066</v>
      </c>
      <c r="J130" s="203"/>
      <c r="K130" s="203"/>
      <c r="L130" s="203"/>
      <c r="M130" s="203"/>
      <c r="N130" s="203"/>
    </row>
    <row r="131" spans="1:14" ht="30" x14ac:dyDescent="0.25">
      <c r="A131" s="202" t="s">
        <v>2861</v>
      </c>
      <c r="B131" s="202" t="s">
        <v>2673</v>
      </c>
      <c r="C131" s="207" t="s">
        <v>2677</v>
      </c>
      <c r="D131" s="202"/>
      <c r="E131" s="202" t="s">
        <v>758</v>
      </c>
      <c r="F131" s="207" t="str">
        <f t="shared" ref="F131:F139" si="2">CONCATENATE("&lt;",TRIM(C131),"&gt; &lt;/",TRIM(C131),"&gt;")</f>
        <v>&lt;Paragraph_3&gt; &lt;/Paragraph_3&gt;</v>
      </c>
      <c r="G131" s="207" t="s">
        <v>3064</v>
      </c>
      <c r="H131" s="207" t="s">
        <v>3065</v>
      </c>
      <c r="I131" s="207" t="s">
        <v>3066</v>
      </c>
      <c r="J131" s="202"/>
      <c r="K131" s="202"/>
      <c r="L131" s="202"/>
      <c r="M131" s="202"/>
      <c r="N131" s="202"/>
    </row>
    <row r="132" spans="1:14" ht="30" x14ac:dyDescent="0.25">
      <c r="A132" s="203" t="s">
        <v>2861</v>
      </c>
      <c r="B132" s="203" t="s">
        <v>2674</v>
      </c>
      <c r="C132" s="226" t="s">
        <v>2678</v>
      </c>
      <c r="D132" s="203"/>
      <c r="E132" s="203" t="s">
        <v>758</v>
      </c>
      <c r="F132" s="226" t="str">
        <f t="shared" si="2"/>
        <v>&lt;Paragraph_4&gt; &lt;/Paragraph_4&gt;</v>
      </c>
      <c r="G132" s="207" t="s">
        <v>3064</v>
      </c>
      <c r="H132" s="207" t="s">
        <v>3065</v>
      </c>
      <c r="I132" s="207" t="s">
        <v>3066</v>
      </c>
      <c r="J132" s="203"/>
      <c r="K132" s="203"/>
      <c r="L132" s="203"/>
      <c r="M132" s="203"/>
      <c r="N132" s="203"/>
    </row>
    <row r="133" spans="1:14" ht="30" x14ac:dyDescent="0.25">
      <c r="A133" s="202" t="s">
        <v>2861</v>
      </c>
      <c r="B133" s="202" t="s">
        <v>2675</v>
      </c>
      <c r="C133" s="207" t="s">
        <v>2679</v>
      </c>
      <c r="D133" s="202"/>
      <c r="E133" s="202" t="s">
        <v>758</v>
      </c>
      <c r="F133" s="207" t="str">
        <f t="shared" si="2"/>
        <v>&lt;Paragraph_5&gt; &lt;/Paragraph_5&gt;</v>
      </c>
      <c r="G133" s="207" t="s">
        <v>3064</v>
      </c>
      <c r="H133" s="207" t="s">
        <v>3065</v>
      </c>
      <c r="I133" s="207" t="s">
        <v>3066</v>
      </c>
      <c r="J133" s="202"/>
      <c r="K133" s="202"/>
      <c r="L133" s="202"/>
      <c r="M133" s="202"/>
      <c r="N133" s="202"/>
    </row>
    <row r="134" spans="1:14" x14ac:dyDescent="0.25">
      <c r="A134" s="224">
        <v>2000</v>
      </c>
      <c r="B134" s="203" t="s">
        <v>2680</v>
      </c>
      <c r="C134" s="226" t="s">
        <v>2686</v>
      </c>
      <c r="D134" s="203"/>
      <c r="E134" s="203" t="s">
        <v>758</v>
      </c>
      <c r="F134" s="226" t="str">
        <f t="shared" si="2"/>
        <v>&lt;TitleParagraph&gt; &lt;/TitleParagraph&gt;</v>
      </c>
      <c r="G134" s="226"/>
      <c r="H134" s="226"/>
      <c r="I134" s="226"/>
      <c r="J134" s="203"/>
      <c r="K134" s="203"/>
      <c r="L134" s="203"/>
      <c r="M134" s="203"/>
      <c r="N134" s="203"/>
    </row>
    <row r="135" spans="1:14" ht="30" x14ac:dyDescent="0.25">
      <c r="A135" s="225">
        <v>2000</v>
      </c>
      <c r="B135" s="202" t="s">
        <v>2681</v>
      </c>
      <c r="C135" s="207" t="s">
        <v>2687</v>
      </c>
      <c r="D135" s="202"/>
      <c r="E135" s="202" t="s">
        <v>758</v>
      </c>
      <c r="F135" s="207" t="str">
        <f t="shared" si="2"/>
        <v>&lt;ReasonParagraph&gt; &lt;/ReasonParagraph&gt;</v>
      </c>
      <c r="G135" s="207" t="s">
        <v>3266</v>
      </c>
      <c r="H135" s="207" t="s">
        <v>3268</v>
      </c>
      <c r="I135" s="207" t="s">
        <v>3269</v>
      </c>
      <c r="J135" s="202"/>
      <c r="K135" s="202"/>
      <c r="L135" s="202"/>
      <c r="M135" s="202"/>
      <c r="N135" s="202"/>
    </row>
    <row r="136" spans="1:14" ht="30" x14ac:dyDescent="0.25">
      <c r="A136" s="224">
        <v>2000</v>
      </c>
      <c r="B136" s="203" t="s">
        <v>2682</v>
      </c>
      <c r="C136" s="226" t="s">
        <v>2688</v>
      </c>
      <c r="D136" s="203"/>
      <c r="E136" s="203" t="s">
        <v>758</v>
      </c>
      <c r="F136" s="226" t="str">
        <f t="shared" si="2"/>
        <v>&lt;StatusParagraph&gt; &lt;/StatusParagraph&gt;</v>
      </c>
      <c r="G136" s="207" t="s">
        <v>3267</v>
      </c>
      <c r="H136" s="207" t="s">
        <v>3270</v>
      </c>
      <c r="I136" s="207" t="s">
        <v>3271</v>
      </c>
      <c r="J136" s="203"/>
      <c r="K136" s="203"/>
      <c r="L136" s="203"/>
      <c r="M136" s="203"/>
      <c r="N136" s="203"/>
    </row>
    <row r="137" spans="1:14" ht="30" x14ac:dyDescent="0.25">
      <c r="A137" s="225">
        <v>2000</v>
      </c>
      <c r="B137" s="202" t="s">
        <v>2683</v>
      </c>
      <c r="C137" s="207" t="s">
        <v>2689</v>
      </c>
      <c r="D137" s="202"/>
      <c r="E137" s="202" t="s">
        <v>758</v>
      </c>
      <c r="F137" s="207" t="str">
        <f t="shared" si="2"/>
        <v>&lt;VoidCleareanceLetter&gt; &lt;/VoidCleareanceLetter&gt;</v>
      </c>
      <c r="G137" s="207" t="s">
        <v>3272</v>
      </c>
      <c r="H137" s="207" t="s">
        <v>3274</v>
      </c>
      <c r="I137" s="207" t="s">
        <v>3275</v>
      </c>
      <c r="J137" s="202"/>
      <c r="K137" s="202"/>
      <c r="L137" s="202"/>
      <c r="M137" s="202"/>
      <c r="N137" s="202"/>
    </row>
    <row r="138" spans="1:14" ht="30" x14ac:dyDescent="0.25">
      <c r="A138" s="224">
        <v>2000</v>
      </c>
      <c r="B138" s="203" t="s">
        <v>2684</v>
      </c>
      <c r="C138" s="226" t="s">
        <v>2690</v>
      </c>
      <c r="D138" s="203"/>
      <c r="E138" s="203" t="s">
        <v>758</v>
      </c>
      <c r="F138" s="226" t="str">
        <f t="shared" si="2"/>
        <v>&lt;CleareanceLetterToLocalPrinter&gt; &lt;/CleareanceLetterToLocalPrinter&gt;</v>
      </c>
      <c r="G138" s="226" t="s">
        <v>3276</v>
      </c>
      <c r="H138" s="226" t="s">
        <v>3277</v>
      </c>
      <c r="I138" s="226" t="s">
        <v>3278</v>
      </c>
      <c r="J138" s="203"/>
      <c r="K138" s="203"/>
      <c r="L138" s="203"/>
      <c r="M138" s="203"/>
      <c r="N138" s="203"/>
    </row>
    <row r="139" spans="1:14" ht="30" x14ac:dyDescent="0.25">
      <c r="A139" s="225">
        <v>2000</v>
      </c>
      <c r="B139" s="202" t="s">
        <v>2685</v>
      </c>
      <c r="C139" s="207" t="s">
        <v>2691</v>
      </c>
      <c r="D139" s="202"/>
      <c r="E139" s="202" t="s">
        <v>758</v>
      </c>
      <c r="F139" s="207" t="str">
        <f t="shared" si="2"/>
        <v>&lt;ReceiptNumber&gt; &lt;/ReceiptNumber&gt;</v>
      </c>
      <c r="G139" s="226" t="s">
        <v>3273</v>
      </c>
      <c r="H139" s="226" t="s">
        <v>3279</v>
      </c>
      <c r="I139" s="226" t="s">
        <v>3280</v>
      </c>
      <c r="J139" s="202"/>
      <c r="K139" s="202"/>
      <c r="L139" s="202"/>
      <c r="M139" s="202"/>
      <c r="N139" s="202"/>
    </row>
    <row r="140" spans="1:14" ht="30" x14ac:dyDescent="0.25">
      <c r="A140" s="224">
        <v>2000</v>
      </c>
      <c r="B140" s="203" t="s">
        <v>2020</v>
      </c>
      <c r="C140" s="226" t="s">
        <v>2031</v>
      </c>
      <c r="D140" s="203" t="s">
        <v>1654</v>
      </c>
      <c r="E140" s="203" t="s">
        <v>758</v>
      </c>
      <c r="F140" s="226" t="str">
        <f t="shared" ref="F140:F202" si="3">CONCATENATE("&lt;",TRIM(C140),"&gt; &lt;/",TRIM(C140),"&gt;")</f>
        <v>&lt;MailingAddressStreetA&gt; &lt;/MailingAddressStreetA&gt;</v>
      </c>
      <c r="G140" s="202" t="s">
        <v>3229</v>
      </c>
      <c r="H140" s="226" t="s">
        <v>365</v>
      </c>
      <c r="I140" s="226" t="s">
        <v>3153</v>
      </c>
      <c r="J140" s="203"/>
      <c r="K140" s="203"/>
      <c r="L140" s="203"/>
      <c r="M140" s="203"/>
      <c r="N140" s="203"/>
    </row>
    <row r="141" spans="1:14" ht="30" x14ac:dyDescent="0.25">
      <c r="A141" s="225">
        <v>2000</v>
      </c>
      <c r="B141" s="202" t="s">
        <v>2023</v>
      </c>
      <c r="C141" s="207" t="s">
        <v>2032</v>
      </c>
      <c r="D141" s="202" t="s">
        <v>2033</v>
      </c>
      <c r="E141" s="202" t="s">
        <v>758</v>
      </c>
      <c r="F141" s="207" t="str">
        <f t="shared" si="3"/>
        <v>&lt;MailingAddressStrretB&gt; &lt;/MailingAddressStrretB&gt;</v>
      </c>
      <c r="G141" s="203" t="s">
        <v>3228</v>
      </c>
      <c r="H141" s="226" t="s">
        <v>2034</v>
      </c>
      <c r="I141" s="226" t="s">
        <v>3154</v>
      </c>
      <c r="J141" s="202"/>
      <c r="K141" s="202"/>
      <c r="L141" s="202"/>
      <c r="M141" s="202"/>
      <c r="N141" s="202"/>
    </row>
    <row r="142" spans="1:14" ht="30" x14ac:dyDescent="0.25">
      <c r="A142" s="224">
        <v>2000</v>
      </c>
      <c r="B142" s="203" t="s">
        <v>809</v>
      </c>
      <c r="C142" s="226" t="s">
        <v>2036</v>
      </c>
      <c r="D142" s="203" t="s">
        <v>1655</v>
      </c>
      <c r="E142" s="203" t="s">
        <v>758</v>
      </c>
      <c r="F142" s="226" t="str">
        <f t="shared" si="3"/>
        <v>&lt;MailingAddressCity&gt; &lt;/MailingAddressCity&gt;</v>
      </c>
      <c r="G142" s="202" t="s">
        <v>3240</v>
      </c>
      <c r="H142" s="226" t="s">
        <v>367</v>
      </c>
      <c r="I142" s="226" t="s">
        <v>3155</v>
      </c>
      <c r="J142" s="203"/>
      <c r="K142" s="203"/>
      <c r="L142" s="203"/>
      <c r="M142" s="203"/>
      <c r="N142" s="203"/>
    </row>
    <row r="143" spans="1:14" ht="30" x14ac:dyDescent="0.25">
      <c r="A143" s="225">
        <v>2000</v>
      </c>
      <c r="B143" s="202" t="s">
        <v>810</v>
      </c>
      <c r="C143" s="207" t="s">
        <v>2037</v>
      </c>
      <c r="D143" s="202" t="s">
        <v>1656</v>
      </c>
      <c r="E143" s="202" t="s">
        <v>758</v>
      </c>
      <c r="F143" s="207" t="str">
        <f t="shared" si="3"/>
        <v>&lt;MailingAddressState&gt; &lt;/MailingAddressState&gt;</v>
      </c>
      <c r="G143" s="203" t="s">
        <v>3241</v>
      </c>
      <c r="H143" s="226" t="s">
        <v>368</v>
      </c>
      <c r="I143" s="226" t="s">
        <v>3156</v>
      </c>
      <c r="J143" s="202"/>
      <c r="K143" s="202"/>
      <c r="L143" s="202"/>
      <c r="M143" s="202"/>
      <c r="N143" s="202"/>
    </row>
    <row r="144" spans="1:14" ht="30" x14ac:dyDescent="0.25">
      <c r="A144" s="224">
        <v>2000</v>
      </c>
      <c r="B144" s="203" t="s">
        <v>126</v>
      </c>
      <c r="C144" s="226" t="s">
        <v>2038</v>
      </c>
      <c r="D144" s="203" t="s">
        <v>1657</v>
      </c>
      <c r="E144" s="203" t="s">
        <v>758</v>
      </c>
      <c r="F144" s="226" t="str">
        <f t="shared" si="3"/>
        <v>&lt;MailingAddressZip&gt; &lt;/MailingAddressZip&gt;</v>
      </c>
      <c r="G144" s="202" t="s">
        <v>3242</v>
      </c>
      <c r="H144" s="226" t="s">
        <v>366</v>
      </c>
      <c r="I144" s="226" t="s">
        <v>3157</v>
      </c>
      <c r="J144" s="203"/>
      <c r="K144" s="203"/>
      <c r="L144" s="203"/>
      <c r="M144" s="203"/>
      <c r="N144" s="203"/>
    </row>
    <row r="145" spans="1:14" ht="30" hidden="1" x14ac:dyDescent="0.25">
      <c r="A145" s="225" t="s">
        <v>2789</v>
      </c>
      <c r="B145" s="225" t="s">
        <v>2790</v>
      </c>
      <c r="C145" s="234" t="s">
        <v>2791</v>
      </c>
      <c r="D145" s="225"/>
      <c r="E145" s="225" t="s">
        <v>758</v>
      </c>
      <c r="F145" s="234" t="str">
        <f t="shared" si="3"/>
        <v>&lt;RecordNumber&gt; &lt;/RecordNumber&gt;</v>
      </c>
      <c r="G145" s="234" t="s">
        <v>3143</v>
      </c>
      <c r="H145" s="234" t="s">
        <v>3144</v>
      </c>
      <c r="I145" s="234" t="s">
        <v>3145</v>
      </c>
      <c r="J145" s="225"/>
      <c r="K145" s="225"/>
      <c r="L145" s="225"/>
      <c r="M145" s="225"/>
      <c r="N145" s="225"/>
    </row>
    <row r="146" spans="1:14" ht="30" hidden="1" x14ac:dyDescent="0.25">
      <c r="A146" s="224" t="s">
        <v>2789</v>
      </c>
      <c r="B146" s="224" t="s">
        <v>2792</v>
      </c>
      <c r="C146" s="235" t="s">
        <v>2825</v>
      </c>
      <c r="D146" s="224"/>
      <c r="E146" s="224" t="s">
        <v>758</v>
      </c>
      <c r="F146" s="235" t="str">
        <f t="shared" si="3"/>
        <v>&lt;ComplainceCode&gt; &lt;/ComplainceCode&gt;</v>
      </c>
      <c r="G146" s="207" t="s">
        <v>3067</v>
      </c>
      <c r="H146" s="207" t="s">
        <v>3068</v>
      </c>
      <c r="I146" s="207" t="s">
        <v>3069</v>
      </c>
      <c r="J146" s="224"/>
      <c r="K146" s="224"/>
      <c r="L146" s="224"/>
      <c r="M146" s="224"/>
      <c r="N146" s="224"/>
    </row>
    <row r="147" spans="1:14" ht="30" hidden="1" x14ac:dyDescent="0.25">
      <c r="A147" s="225" t="s">
        <v>2789</v>
      </c>
      <c r="B147" s="225" t="s">
        <v>2793</v>
      </c>
      <c r="C147" s="234" t="s">
        <v>2826</v>
      </c>
      <c r="D147" s="225"/>
      <c r="E147" s="225" t="s">
        <v>758</v>
      </c>
      <c r="F147" s="234" t="str">
        <f t="shared" si="3"/>
        <v>&lt;ComplainceDate&gt; &lt;/ComplainceDate&gt;</v>
      </c>
      <c r="G147" s="207" t="s">
        <v>3070</v>
      </c>
      <c r="H147" s="207" t="s">
        <v>3071</v>
      </c>
      <c r="I147" s="207" t="s">
        <v>3072</v>
      </c>
      <c r="J147" s="225"/>
      <c r="K147" s="225"/>
      <c r="L147" s="225"/>
      <c r="M147" s="225"/>
      <c r="N147" s="225"/>
    </row>
    <row r="148" spans="1:14" ht="30" hidden="1" x14ac:dyDescent="0.25">
      <c r="A148" s="224" t="s">
        <v>2789</v>
      </c>
      <c r="B148" s="224" t="s">
        <v>2794</v>
      </c>
      <c r="C148" s="235" t="s">
        <v>2827</v>
      </c>
      <c r="D148" s="224"/>
      <c r="E148" s="224" t="s">
        <v>758</v>
      </c>
      <c r="F148" s="235" t="str">
        <f t="shared" si="3"/>
        <v>&lt;DaysUnInsured&gt; &lt;/DaysUnInsured&gt;</v>
      </c>
      <c r="G148" s="207" t="s">
        <v>3073</v>
      </c>
      <c r="H148" s="207" t="s">
        <v>3074</v>
      </c>
      <c r="I148" s="207" t="s">
        <v>3075</v>
      </c>
      <c r="J148" s="224"/>
      <c r="K148" s="224"/>
      <c r="L148" s="224"/>
      <c r="M148" s="224"/>
      <c r="N148" s="224"/>
    </row>
    <row r="149" spans="1:14" ht="30" hidden="1" x14ac:dyDescent="0.25">
      <c r="A149" s="225" t="s">
        <v>2789</v>
      </c>
      <c r="B149" s="225" t="s">
        <v>2795</v>
      </c>
      <c r="C149" s="234" t="s">
        <v>2828</v>
      </c>
      <c r="D149" s="225"/>
      <c r="E149" s="225" t="s">
        <v>758</v>
      </c>
      <c r="F149" s="234" t="str">
        <f t="shared" si="3"/>
        <v>&lt;ReadPending&gt; &lt;/ReadPending&gt;</v>
      </c>
      <c r="G149" s="207" t="s">
        <v>3076</v>
      </c>
      <c r="H149" s="207" t="s">
        <v>3077</v>
      </c>
      <c r="I149" s="207" t="s">
        <v>3078</v>
      </c>
      <c r="J149" s="225"/>
      <c r="K149" s="225"/>
      <c r="L149" s="225"/>
      <c r="M149" s="225"/>
      <c r="N149" s="225"/>
    </row>
    <row r="150" spans="1:14" ht="30" hidden="1" x14ac:dyDescent="0.25">
      <c r="A150" s="224" t="s">
        <v>2789</v>
      </c>
      <c r="B150" s="224" t="s">
        <v>2796</v>
      </c>
      <c r="C150" s="235" t="s">
        <v>2829</v>
      </c>
      <c r="D150" s="224"/>
      <c r="E150" s="224" t="s">
        <v>758</v>
      </c>
      <c r="F150" s="235" t="str">
        <f t="shared" si="3"/>
        <v>&lt;Revoked&gt; &lt;/Revoked&gt;</v>
      </c>
      <c r="G150" s="207" t="s">
        <v>3079</v>
      </c>
      <c r="H150" s="207" t="s">
        <v>3080</v>
      </c>
      <c r="I150" s="207" t="s">
        <v>3081</v>
      </c>
      <c r="J150" s="224"/>
      <c r="K150" s="224"/>
      <c r="L150" s="224"/>
      <c r="M150" s="224"/>
      <c r="N150" s="224"/>
    </row>
    <row r="151" spans="1:14" ht="30" hidden="1" x14ac:dyDescent="0.25">
      <c r="A151" s="225" t="s">
        <v>2789</v>
      </c>
      <c r="B151" s="225" t="s">
        <v>2797</v>
      </c>
      <c r="C151" s="234" t="s">
        <v>2840</v>
      </c>
      <c r="D151" s="225"/>
      <c r="E151" s="225" t="s">
        <v>758</v>
      </c>
      <c r="F151" s="234" t="str">
        <f t="shared" si="3"/>
        <v>&lt;ReInstate&gt; &lt;/ReInstate&gt;</v>
      </c>
      <c r="G151" s="207" t="s">
        <v>3082</v>
      </c>
      <c r="H151" s="207" t="s">
        <v>3083</v>
      </c>
      <c r="I151" s="207" t="s">
        <v>3084</v>
      </c>
      <c r="J151" s="225"/>
      <c r="K151" s="225"/>
      <c r="L151" s="225"/>
      <c r="M151" s="225"/>
      <c r="N151" s="225"/>
    </row>
    <row r="152" spans="1:14" ht="30" hidden="1" x14ac:dyDescent="0.25">
      <c r="A152" s="224" t="s">
        <v>2789</v>
      </c>
      <c r="B152" s="224" t="s">
        <v>1076</v>
      </c>
      <c r="C152" s="235" t="s">
        <v>2830</v>
      </c>
      <c r="D152" s="224"/>
      <c r="E152" s="224" t="s">
        <v>758</v>
      </c>
      <c r="F152" s="235" t="str">
        <f t="shared" si="3"/>
        <v>&lt;Fee&gt; &lt;/Fee&gt;</v>
      </c>
      <c r="G152" s="207" t="s">
        <v>3085</v>
      </c>
      <c r="H152" s="207" t="s">
        <v>3086</v>
      </c>
      <c r="I152" s="207" t="s">
        <v>3087</v>
      </c>
      <c r="J152" s="224"/>
      <c r="K152" s="224"/>
      <c r="L152" s="224"/>
      <c r="M152" s="224"/>
      <c r="N152" s="224"/>
    </row>
    <row r="153" spans="1:14" ht="30" hidden="1" x14ac:dyDescent="0.25">
      <c r="A153" s="225" t="s">
        <v>2789</v>
      </c>
      <c r="B153" s="225" t="s">
        <v>2798</v>
      </c>
      <c r="C153" s="234" t="s">
        <v>2831</v>
      </c>
      <c r="D153" s="225"/>
      <c r="E153" s="225" t="s">
        <v>758</v>
      </c>
      <c r="F153" s="234" t="str">
        <f t="shared" si="3"/>
        <v>&lt;Petition&gt; &lt;/Petition&gt;</v>
      </c>
      <c r="G153" s="207" t="s">
        <v>3088</v>
      </c>
      <c r="H153" s="207" t="s">
        <v>3089</v>
      </c>
      <c r="I153" s="207" t="s">
        <v>3090</v>
      </c>
      <c r="J153" s="225"/>
      <c r="K153" s="225"/>
      <c r="L153" s="225"/>
      <c r="M153" s="225"/>
      <c r="N153" s="225"/>
    </row>
    <row r="154" spans="1:14" ht="30" hidden="1" x14ac:dyDescent="0.25">
      <c r="A154" s="224" t="s">
        <v>2789</v>
      </c>
      <c r="B154" s="224" t="s">
        <v>2799</v>
      </c>
      <c r="C154" s="235" t="s">
        <v>2841</v>
      </c>
      <c r="D154" s="224"/>
      <c r="E154" s="224" t="s">
        <v>758</v>
      </c>
      <c r="F154" s="235" t="str">
        <f t="shared" si="3"/>
        <v>&lt;InvestigateOrHrg&gt; &lt;/InvestigateOrHrg&gt;</v>
      </c>
      <c r="G154" s="207" t="s">
        <v>3091</v>
      </c>
      <c r="H154" s="207" t="s">
        <v>3092</v>
      </c>
      <c r="I154" s="207" t="s">
        <v>3093</v>
      </c>
      <c r="J154" s="224"/>
      <c r="K154" s="224"/>
      <c r="L154" s="224"/>
      <c r="M154" s="224"/>
      <c r="N154" s="224"/>
    </row>
    <row r="155" spans="1:14" ht="30" hidden="1" x14ac:dyDescent="0.25">
      <c r="A155" s="225" t="s">
        <v>2866</v>
      </c>
      <c r="B155" s="225" t="s">
        <v>2800</v>
      </c>
      <c r="C155" s="234" t="s">
        <v>2832</v>
      </c>
      <c r="D155" s="225"/>
      <c r="E155" s="225" t="s">
        <v>758</v>
      </c>
      <c r="F155" s="234" t="str">
        <f t="shared" si="3"/>
        <v>&lt;Delete&gt; &lt;/Delete&gt;</v>
      </c>
      <c r="G155" s="207" t="s">
        <v>3095</v>
      </c>
      <c r="H155" s="207" t="s">
        <v>3096</v>
      </c>
      <c r="I155" s="207" t="s">
        <v>3094</v>
      </c>
      <c r="J155" s="225"/>
      <c r="K155" s="225"/>
      <c r="L155" s="225"/>
      <c r="M155" s="225"/>
      <c r="N155" s="225"/>
    </row>
    <row r="156" spans="1:14" ht="30" hidden="1" x14ac:dyDescent="0.25">
      <c r="A156" s="224" t="s">
        <v>2789</v>
      </c>
      <c r="B156" s="224" t="s">
        <v>2801</v>
      </c>
      <c r="C156" s="235" t="s">
        <v>2842</v>
      </c>
      <c r="D156" s="224"/>
      <c r="E156" s="224" t="s">
        <v>764</v>
      </c>
      <c r="F156" s="235" t="str">
        <f t="shared" si="3"/>
        <v>&lt;FeeAmount&gt; &lt;/FeeAmount&gt;</v>
      </c>
      <c r="G156" s="207" t="s">
        <v>3146</v>
      </c>
      <c r="H156" s="207" t="s">
        <v>3147</v>
      </c>
      <c r="I156" s="207" t="s">
        <v>3148</v>
      </c>
      <c r="J156" s="224"/>
      <c r="K156" s="224"/>
      <c r="L156" s="224"/>
      <c r="M156" s="224"/>
      <c r="N156" s="224"/>
    </row>
    <row r="157" spans="1:14" ht="30" hidden="1" x14ac:dyDescent="0.25">
      <c r="A157" s="225" t="s">
        <v>2789</v>
      </c>
      <c r="B157" s="225" t="s">
        <v>2802</v>
      </c>
      <c r="C157" s="234" t="s">
        <v>2833</v>
      </c>
      <c r="D157" s="225"/>
      <c r="E157" s="225" t="s">
        <v>758</v>
      </c>
      <c r="F157" s="234" t="str">
        <f t="shared" si="3"/>
        <v>&lt;Payment&gt; &lt;/Payment&gt;</v>
      </c>
      <c r="G157" s="207" t="s">
        <v>3097</v>
      </c>
      <c r="H157" s="207" t="s">
        <v>3098</v>
      </c>
      <c r="I157" s="207" t="s">
        <v>3099</v>
      </c>
      <c r="J157" s="225"/>
      <c r="K157" s="225"/>
      <c r="L157" s="225"/>
      <c r="M157" s="225"/>
      <c r="N157" s="225"/>
    </row>
    <row r="158" spans="1:14" ht="30" hidden="1" x14ac:dyDescent="0.25">
      <c r="A158" s="224" t="s">
        <v>2789</v>
      </c>
      <c r="B158" s="224" t="s">
        <v>2803</v>
      </c>
      <c r="C158" s="235" t="s">
        <v>2834</v>
      </c>
      <c r="D158" s="224"/>
      <c r="E158" s="224" t="s">
        <v>764</v>
      </c>
      <c r="F158" s="235" t="str">
        <f t="shared" si="3"/>
        <v>&lt;Balance&gt; &lt;/Balance&gt;</v>
      </c>
      <c r="G158" s="207" t="s">
        <v>3100</v>
      </c>
      <c r="H158" s="207" t="s">
        <v>3101</v>
      </c>
      <c r="I158" s="207" t="s">
        <v>3102</v>
      </c>
      <c r="J158" s="224"/>
      <c r="K158" s="224"/>
      <c r="L158" s="224"/>
      <c r="M158" s="224"/>
      <c r="N158" s="224"/>
    </row>
    <row r="159" spans="1:14" ht="30" hidden="1" x14ac:dyDescent="0.25">
      <c r="A159" s="225" t="s">
        <v>2789</v>
      </c>
      <c r="B159" s="225" t="s">
        <v>2804</v>
      </c>
      <c r="C159" s="234" t="s">
        <v>2843</v>
      </c>
      <c r="D159" s="225"/>
      <c r="E159" s="225" t="s">
        <v>763</v>
      </c>
      <c r="F159" s="234" t="str">
        <f t="shared" si="3"/>
        <v>&lt;DateOfPaymentMode&gt; &lt;/DateOfPaymentMode&gt;</v>
      </c>
      <c r="G159" s="207" t="s">
        <v>3103</v>
      </c>
      <c r="H159" s="207" t="s">
        <v>3104</v>
      </c>
      <c r="I159" s="207" t="s">
        <v>3105</v>
      </c>
      <c r="J159" s="225"/>
      <c r="K159" s="225"/>
      <c r="L159" s="225"/>
      <c r="M159" s="225"/>
      <c r="N159" s="225"/>
    </row>
    <row r="160" spans="1:14" ht="30" hidden="1" x14ac:dyDescent="0.25">
      <c r="A160" s="224" t="s">
        <v>2789</v>
      </c>
      <c r="B160" s="224" t="s">
        <v>2805</v>
      </c>
      <c r="C160" s="235" t="s">
        <v>2835</v>
      </c>
      <c r="D160" s="224"/>
      <c r="E160" s="224" t="s">
        <v>758</v>
      </c>
      <c r="F160" s="235" t="str">
        <f t="shared" si="3"/>
        <v>&lt;Maxlimit&gt; &lt;/Maxlimit&gt;</v>
      </c>
      <c r="G160" s="207" t="s">
        <v>3106</v>
      </c>
      <c r="H160" s="207" t="s">
        <v>3107</v>
      </c>
      <c r="I160" s="207" t="s">
        <v>3108</v>
      </c>
      <c r="J160" s="224"/>
      <c r="K160" s="224"/>
      <c r="L160" s="224"/>
      <c r="M160" s="224"/>
      <c r="N160" s="224"/>
    </row>
    <row r="161" spans="1:14" ht="30" hidden="1" x14ac:dyDescent="0.25">
      <c r="A161" s="225" t="s">
        <v>2789</v>
      </c>
      <c r="B161" s="225" t="s">
        <v>2806</v>
      </c>
      <c r="C161" s="234" t="s">
        <v>2844</v>
      </c>
      <c r="D161" s="225"/>
      <c r="E161" s="225" t="s">
        <v>764</v>
      </c>
      <c r="F161" s="234" t="str">
        <f t="shared" si="3"/>
        <v>&lt;MaxClearanceAmount&gt; &lt;/MaxClearanceAmount&gt;</v>
      </c>
      <c r="G161" s="207" t="s">
        <v>3109</v>
      </c>
      <c r="H161" s="207" t="s">
        <v>3110</v>
      </c>
      <c r="I161" s="207" t="s">
        <v>3111</v>
      </c>
      <c r="J161" s="225"/>
      <c r="K161" s="225"/>
      <c r="L161" s="225"/>
      <c r="M161" s="225"/>
      <c r="N161" s="225"/>
    </row>
    <row r="162" spans="1:14" ht="30" hidden="1" x14ac:dyDescent="0.25">
      <c r="A162" s="224" t="s">
        <v>2789</v>
      </c>
      <c r="B162" s="224" t="s">
        <v>2807</v>
      </c>
      <c r="C162" s="235" t="s">
        <v>2836</v>
      </c>
      <c r="D162" s="224"/>
      <c r="E162" s="224" t="s">
        <v>758</v>
      </c>
      <c r="F162" s="235" t="str">
        <f t="shared" si="3"/>
        <v>&lt;Installment&gt; &lt;/Installment&gt;</v>
      </c>
      <c r="G162" s="207" t="s">
        <v>3112</v>
      </c>
      <c r="H162" s="207" t="s">
        <v>3113</v>
      </c>
      <c r="I162" s="207" t="s">
        <v>3114</v>
      </c>
      <c r="J162" s="224"/>
      <c r="K162" s="224"/>
      <c r="L162" s="224"/>
      <c r="M162" s="224"/>
      <c r="N162" s="224"/>
    </row>
    <row r="163" spans="1:14" ht="30" hidden="1" x14ac:dyDescent="0.25">
      <c r="A163" s="225" t="s">
        <v>2789</v>
      </c>
      <c r="B163" s="225" t="s">
        <v>2808</v>
      </c>
      <c r="C163" s="234" t="s">
        <v>2845</v>
      </c>
      <c r="D163" s="225"/>
      <c r="E163" s="225" t="s">
        <v>763</v>
      </c>
      <c r="F163" s="234" t="str">
        <f t="shared" si="3"/>
        <v>&lt;FirstODRLetterWasSent&gt; &lt;/FirstODRLetterWasSent&gt;</v>
      </c>
      <c r="G163" s="207" t="s">
        <v>3115</v>
      </c>
      <c r="H163" s="207" t="s">
        <v>3116</v>
      </c>
      <c r="I163" s="207" t="s">
        <v>3117</v>
      </c>
      <c r="J163" s="225"/>
      <c r="K163" s="225"/>
      <c r="L163" s="225"/>
      <c r="M163" s="225"/>
      <c r="N163" s="225"/>
    </row>
    <row r="164" spans="1:14" ht="30" hidden="1" x14ac:dyDescent="0.25">
      <c r="A164" s="224" t="s">
        <v>2789</v>
      </c>
      <c r="B164" s="224" t="s">
        <v>2809</v>
      </c>
      <c r="C164" s="235" t="s">
        <v>2846</v>
      </c>
      <c r="D164" s="224"/>
      <c r="E164" s="224" t="s">
        <v>763</v>
      </c>
      <c r="F164" s="235" t="str">
        <f t="shared" si="3"/>
        <v>&lt;SecondODRLetterWasSent&gt; &lt;/SecondODRLetterWasSent&gt;</v>
      </c>
      <c r="G164" s="207" t="s">
        <v>3118</v>
      </c>
      <c r="H164" s="207" t="s">
        <v>3119</v>
      </c>
      <c r="I164" s="207" t="s">
        <v>3120</v>
      </c>
      <c r="J164" s="224"/>
      <c r="K164" s="224"/>
      <c r="L164" s="224"/>
      <c r="M164" s="224"/>
      <c r="N164" s="224"/>
    </row>
    <row r="165" spans="1:14" ht="30" hidden="1" x14ac:dyDescent="0.25">
      <c r="A165" s="225" t="s">
        <v>2789</v>
      </c>
      <c r="B165" s="225" t="s">
        <v>2810</v>
      </c>
      <c r="C165" s="234" t="s">
        <v>2847</v>
      </c>
      <c r="D165" s="225"/>
      <c r="E165" s="225" t="s">
        <v>763</v>
      </c>
      <c r="F165" s="234" t="str">
        <f t="shared" si="3"/>
        <v>&lt;SentToODR&gt; &lt;/SentToODR&gt;</v>
      </c>
      <c r="G165" s="207" t="s">
        <v>3121</v>
      </c>
      <c r="H165" s="207" t="s">
        <v>3123</v>
      </c>
      <c r="I165" s="207" t="s">
        <v>3122</v>
      </c>
      <c r="J165" s="225"/>
      <c r="K165" s="225"/>
      <c r="L165" s="225"/>
      <c r="M165" s="225"/>
      <c r="N165" s="225"/>
    </row>
    <row r="166" spans="1:14" ht="30" hidden="1" x14ac:dyDescent="0.25">
      <c r="A166" s="224" t="s">
        <v>2789</v>
      </c>
      <c r="B166" s="224" t="s">
        <v>2811</v>
      </c>
      <c r="C166" s="235" t="s">
        <v>2848</v>
      </c>
      <c r="D166" s="224"/>
      <c r="E166" s="224" t="s">
        <v>764</v>
      </c>
      <c r="F166" s="235" t="str">
        <f t="shared" si="3"/>
        <v>&lt;CapAmount&gt; &lt;/CapAmount&gt;</v>
      </c>
      <c r="G166" s="207" t="s">
        <v>3124</v>
      </c>
      <c r="H166" s="207" t="s">
        <v>3125</v>
      </c>
      <c r="I166" s="207" t="s">
        <v>3126</v>
      </c>
      <c r="J166" s="224"/>
      <c r="K166" s="224"/>
      <c r="L166" s="224"/>
      <c r="M166" s="224"/>
      <c r="N166" s="224"/>
    </row>
    <row r="167" spans="1:14" ht="30" hidden="1" x14ac:dyDescent="0.25">
      <c r="A167" s="225" t="s">
        <v>2789</v>
      </c>
      <c r="B167" s="225" t="s">
        <v>2812</v>
      </c>
      <c r="C167" s="234" t="s">
        <v>2837</v>
      </c>
      <c r="D167" s="225"/>
      <c r="E167" s="225" t="s">
        <v>764</v>
      </c>
      <c r="F167" s="234" t="str">
        <f t="shared" si="3"/>
        <v>&lt;Cap Balance&gt; &lt;/Cap Balance&gt;</v>
      </c>
      <c r="G167" s="207" t="s">
        <v>3127</v>
      </c>
      <c r="H167" s="207" t="s">
        <v>3128</v>
      </c>
      <c r="I167" s="207" t="s">
        <v>3129</v>
      </c>
      <c r="J167" s="225"/>
      <c r="K167" s="225"/>
      <c r="L167" s="225"/>
      <c r="M167" s="225"/>
      <c r="N167" s="225"/>
    </row>
    <row r="168" spans="1:14" hidden="1" x14ac:dyDescent="0.25">
      <c r="A168" s="224" t="s">
        <v>2789</v>
      </c>
      <c r="B168" s="224" t="s">
        <v>2813</v>
      </c>
      <c r="C168" s="235" t="s">
        <v>2849</v>
      </c>
      <c r="D168" s="224"/>
      <c r="E168" s="224" t="s">
        <v>758</v>
      </c>
      <c r="F168" s="235" t="str">
        <f t="shared" si="3"/>
        <v>&lt;ModelYear&gt; &lt;/ModelYear&gt;</v>
      </c>
      <c r="G168" s="237" t="s">
        <v>408</v>
      </c>
      <c r="H168" s="101" t="s">
        <v>341</v>
      </c>
      <c r="I168" s="237" t="s">
        <v>232</v>
      </c>
      <c r="J168" s="224"/>
      <c r="K168" s="224"/>
      <c r="L168" s="224"/>
      <c r="M168" s="224"/>
      <c r="N168" s="224"/>
    </row>
    <row r="169" spans="1:14" ht="45" hidden="1" x14ac:dyDescent="0.25">
      <c r="A169" s="225" t="s">
        <v>2789</v>
      </c>
      <c r="B169" s="225" t="s">
        <v>2814</v>
      </c>
      <c r="C169" s="234" t="s">
        <v>2850</v>
      </c>
      <c r="D169" s="225"/>
      <c r="E169" s="225" t="s">
        <v>758</v>
      </c>
      <c r="F169" s="234" t="str">
        <f t="shared" si="3"/>
        <v>&lt;Make
Model&gt; &lt;/Make
Model&gt;</v>
      </c>
      <c r="G169" s="237" t="s">
        <v>3045</v>
      </c>
      <c r="H169" s="237" t="s">
        <v>3046</v>
      </c>
      <c r="I169" s="237" t="s">
        <v>3047</v>
      </c>
      <c r="J169" s="225"/>
      <c r="K169" s="225"/>
      <c r="L169" s="225"/>
      <c r="M169" s="225"/>
      <c r="N169" s="225"/>
    </row>
    <row r="170" spans="1:14" ht="30" hidden="1" x14ac:dyDescent="0.25">
      <c r="A170" s="224" t="s">
        <v>2789</v>
      </c>
      <c r="B170" s="224" t="s">
        <v>2815</v>
      </c>
      <c r="C170" s="235" t="s">
        <v>2851</v>
      </c>
      <c r="D170" s="224"/>
      <c r="E170" s="224" t="s">
        <v>758</v>
      </c>
      <c r="F170" s="235" t="str">
        <f t="shared" si="3"/>
        <v>&lt;NameOfInsuranceCompany&gt; &lt;/NameOfInsuranceCompany&gt;</v>
      </c>
      <c r="G170" s="226" t="s">
        <v>3052</v>
      </c>
      <c r="H170" s="226" t="s">
        <v>371</v>
      </c>
      <c r="I170" s="226" t="s">
        <v>3053</v>
      </c>
      <c r="J170" s="224"/>
      <c r="K170" s="224"/>
      <c r="L170" s="224"/>
      <c r="M170" s="224"/>
      <c r="N170" s="224"/>
    </row>
    <row r="171" spans="1:14" ht="30" hidden="1" x14ac:dyDescent="0.25">
      <c r="A171" s="225" t="s">
        <v>2789</v>
      </c>
      <c r="B171" s="225" t="s">
        <v>2816</v>
      </c>
      <c r="C171" s="234" t="s">
        <v>2852</v>
      </c>
      <c r="D171" s="225"/>
      <c r="E171" s="225" t="s">
        <v>758</v>
      </c>
      <c r="F171" s="234" t="str">
        <f t="shared" si="3"/>
        <v>&lt;TypeOfInsuranceCompany&gt; &lt;/TypeOfInsuranceCompany&gt;</v>
      </c>
      <c r="G171" s="207" t="s">
        <v>3140</v>
      </c>
      <c r="H171" s="207" t="s">
        <v>3141</v>
      </c>
      <c r="I171" s="207" t="s">
        <v>3142</v>
      </c>
      <c r="J171" s="225"/>
      <c r="K171" s="225"/>
      <c r="L171" s="225"/>
      <c r="M171" s="225"/>
      <c r="N171" s="225"/>
    </row>
    <row r="172" spans="1:14" ht="30" hidden="1" x14ac:dyDescent="0.25">
      <c r="A172" s="224" t="s">
        <v>2789</v>
      </c>
      <c r="B172" s="224" t="s">
        <v>2817</v>
      </c>
      <c r="C172" s="235" t="s">
        <v>2853</v>
      </c>
      <c r="D172" s="224"/>
      <c r="E172" s="224" t="s">
        <v>758</v>
      </c>
      <c r="F172" s="235" t="str">
        <f t="shared" si="3"/>
        <v>&lt;InsurancePolicy&gt; &lt;/InsurancePolicy&gt;</v>
      </c>
      <c r="G172" s="207" t="s">
        <v>3133</v>
      </c>
      <c r="H172" s="207" t="s">
        <v>3134</v>
      </c>
      <c r="I172" s="207" t="s">
        <v>3135</v>
      </c>
      <c r="J172" s="224"/>
      <c r="K172" s="224"/>
      <c r="L172" s="224"/>
      <c r="M172" s="224"/>
      <c r="N172" s="224"/>
    </row>
    <row r="173" spans="1:14" ht="30" hidden="1" x14ac:dyDescent="0.25">
      <c r="A173" s="225" t="s">
        <v>2789</v>
      </c>
      <c r="B173" s="225" t="s">
        <v>2818</v>
      </c>
      <c r="C173" s="234" t="s">
        <v>2838</v>
      </c>
      <c r="D173" s="225"/>
      <c r="E173" s="225" t="s">
        <v>758</v>
      </c>
      <c r="F173" s="234" t="str">
        <f t="shared" si="3"/>
        <v>&lt;Insured&gt; &lt;/Insured&gt;</v>
      </c>
      <c r="G173" s="207" t="s">
        <v>3130</v>
      </c>
      <c r="H173" s="207" t="s">
        <v>3131</v>
      </c>
      <c r="I173" s="207" t="s">
        <v>3132</v>
      </c>
      <c r="J173" s="225"/>
      <c r="K173" s="225"/>
      <c r="L173" s="225"/>
      <c r="M173" s="225"/>
      <c r="N173" s="225"/>
    </row>
    <row r="174" spans="1:14" ht="30" hidden="1" x14ac:dyDescent="0.25">
      <c r="A174" s="224" t="s">
        <v>2789</v>
      </c>
      <c r="B174" s="224" t="s">
        <v>2819</v>
      </c>
      <c r="C174" s="235" t="s">
        <v>2854</v>
      </c>
      <c r="D174" s="224"/>
      <c r="E174" s="224" t="s">
        <v>758</v>
      </c>
      <c r="F174" s="235" t="str">
        <f t="shared" si="3"/>
        <v>&lt;InsuranceAddress&gt; &lt;/InsuranceAddress&gt;</v>
      </c>
      <c r="G174" s="207" t="s">
        <v>3054</v>
      </c>
      <c r="H174" s="207" t="s">
        <v>365</v>
      </c>
      <c r="I174" s="207" t="s">
        <v>3058</v>
      </c>
      <c r="J174" s="224"/>
      <c r="K174" s="224"/>
      <c r="L174" s="224"/>
      <c r="M174" s="224"/>
      <c r="N174" s="224"/>
    </row>
    <row r="175" spans="1:14" ht="30" hidden="1" x14ac:dyDescent="0.25">
      <c r="A175" s="225" t="s">
        <v>2789</v>
      </c>
      <c r="B175" s="225" t="s">
        <v>809</v>
      </c>
      <c r="C175" s="234" t="s">
        <v>2855</v>
      </c>
      <c r="D175" s="225"/>
      <c r="E175" s="225" t="s">
        <v>758</v>
      </c>
      <c r="F175" s="234" t="str">
        <f t="shared" si="3"/>
        <v>&lt;InsuranceCity&gt; &lt;/InsuranceCity&gt;</v>
      </c>
      <c r="G175" s="226" t="s">
        <v>3055</v>
      </c>
      <c r="H175" s="226" t="s">
        <v>367</v>
      </c>
      <c r="I175" s="226" t="s">
        <v>3059</v>
      </c>
      <c r="J175" s="225"/>
      <c r="K175" s="225"/>
      <c r="L175" s="225"/>
      <c r="M175" s="225"/>
      <c r="N175" s="225"/>
    </row>
    <row r="176" spans="1:14" ht="30" hidden="1" x14ac:dyDescent="0.25">
      <c r="A176" s="224" t="s">
        <v>2789</v>
      </c>
      <c r="B176" s="224" t="s">
        <v>810</v>
      </c>
      <c r="C176" s="235" t="s">
        <v>2856</v>
      </c>
      <c r="D176" s="224"/>
      <c r="E176" s="224" t="s">
        <v>758</v>
      </c>
      <c r="F176" s="235" t="str">
        <f t="shared" si="3"/>
        <v>&lt;InsuranceState&gt; &lt;/InsuranceState&gt;</v>
      </c>
      <c r="G176" s="207" t="s">
        <v>3056</v>
      </c>
      <c r="H176" s="207" t="s">
        <v>368</v>
      </c>
      <c r="I176" s="207" t="s">
        <v>3060</v>
      </c>
      <c r="J176" s="224"/>
      <c r="K176" s="224"/>
      <c r="L176" s="224"/>
      <c r="M176" s="224"/>
      <c r="N176" s="224"/>
    </row>
    <row r="177" spans="1:14" ht="30" hidden="1" x14ac:dyDescent="0.25">
      <c r="A177" s="225" t="s">
        <v>2789</v>
      </c>
      <c r="B177" s="225" t="s">
        <v>126</v>
      </c>
      <c r="C177" s="234" t="s">
        <v>2857</v>
      </c>
      <c r="D177" s="225"/>
      <c r="E177" s="225" t="s">
        <v>758</v>
      </c>
      <c r="F177" s="234" t="str">
        <f t="shared" si="3"/>
        <v>&lt;InsuranceZip&gt; &lt;/InsuranceZip&gt;</v>
      </c>
      <c r="G177" s="226" t="s">
        <v>3057</v>
      </c>
      <c r="H177" s="226" t="s">
        <v>366</v>
      </c>
      <c r="I177" s="226" t="s">
        <v>3061</v>
      </c>
      <c r="J177" s="225"/>
      <c r="K177" s="225"/>
      <c r="L177" s="225"/>
      <c r="M177" s="225"/>
      <c r="N177" s="225"/>
    </row>
    <row r="178" spans="1:14" ht="30" hidden="1" x14ac:dyDescent="0.25">
      <c r="A178" s="224" t="s">
        <v>2789</v>
      </c>
      <c r="B178" s="224" t="s">
        <v>2820</v>
      </c>
      <c r="C178" s="235" t="s">
        <v>2858</v>
      </c>
      <c r="D178" s="224"/>
      <c r="E178" s="224" t="s">
        <v>758</v>
      </c>
      <c r="F178" s="235" t="str">
        <f t="shared" si="3"/>
        <v>&lt;PolicyNo&gt; &lt;/PolicyNo&gt;</v>
      </c>
      <c r="G178" s="235" t="s">
        <v>3050</v>
      </c>
      <c r="H178" s="235" t="s">
        <v>3051</v>
      </c>
      <c r="I178" s="235" t="s">
        <v>3062</v>
      </c>
      <c r="J178" s="224"/>
      <c r="K178" s="224"/>
      <c r="L178" s="224"/>
      <c r="M178" s="224"/>
      <c r="N178" s="224"/>
    </row>
    <row r="179" spans="1:14" ht="30" hidden="1" x14ac:dyDescent="0.25">
      <c r="A179" s="225" t="s">
        <v>2789</v>
      </c>
      <c r="B179" s="225" t="s">
        <v>2821</v>
      </c>
      <c r="C179" s="234" t="s">
        <v>2859</v>
      </c>
      <c r="D179" s="225"/>
      <c r="E179" s="225" t="s">
        <v>763</v>
      </c>
      <c r="F179" s="234" t="str">
        <f t="shared" si="3"/>
        <v>&lt;CancellledDate&gt; &lt;/CancellledDate&gt;</v>
      </c>
      <c r="G179" s="234" t="s">
        <v>1465</v>
      </c>
      <c r="H179" s="234" t="s">
        <v>3139</v>
      </c>
      <c r="I179" s="234" t="s">
        <v>1467</v>
      </c>
      <c r="J179" s="225"/>
      <c r="K179" s="225"/>
      <c r="L179" s="225"/>
      <c r="M179" s="225"/>
      <c r="N179" s="225"/>
    </row>
    <row r="180" spans="1:14" ht="30" hidden="1" x14ac:dyDescent="0.25">
      <c r="A180" s="224" t="s">
        <v>2789</v>
      </c>
      <c r="B180" s="224" t="s">
        <v>2822</v>
      </c>
      <c r="C180" s="235" t="s">
        <v>2860</v>
      </c>
      <c r="D180" s="224"/>
      <c r="E180" s="224" t="s">
        <v>763</v>
      </c>
      <c r="F180" s="235" t="str">
        <f t="shared" si="3"/>
        <v>&lt;DateReceived&gt; &lt;/DateReceived&gt;</v>
      </c>
      <c r="G180" s="207" t="s">
        <v>3136</v>
      </c>
      <c r="H180" s="207" t="s">
        <v>3137</v>
      </c>
      <c r="I180" s="207" t="s">
        <v>3138</v>
      </c>
      <c r="J180" s="224"/>
      <c r="K180" s="224"/>
      <c r="L180" s="224"/>
      <c r="M180" s="224"/>
      <c r="N180" s="224"/>
    </row>
    <row r="181" spans="1:14" ht="195" hidden="1" x14ac:dyDescent="0.25">
      <c r="A181" s="225" t="s">
        <v>2789</v>
      </c>
      <c r="B181" s="225" t="s">
        <v>2823</v>
      </c>
      <c r="C181" s="234" t="s">
        <v>843</v>
      </c>
      <c r="D181" s="225"/>
      <c r="E181" s="225" t="s">
        <v>758</v>
      </c>
      <c r="F181" s="234" t="str">
        <f t="shared" si="3"/>
        <v>&lt;OwnerName&gt; &lt;/OwnerName&gt;</v>
      </c>
      <c r="G181" s="226" t="s">
        <v>3043</v>
      </c>
      <c r="H181" s="226" t="s">
        <v>3044</v>
      </c>
      <c r="I181" s="226" t="s">
        <v>967</v>
      </c>
      <c r="J181" s="225"/>
      <c r="K181" s="225"/>
      <c r="L181" s="225"/>
      <c r="M181" s="225"/>
      <c r="N181" s="225"/>
    </row>
    <row r="182" spans="1:14" ht="30" hidden="1" x14ac:dyDescent="0.25">
      <c r="A182" s="224" t="s">
        <v>2789</v>
      </c>
      <c r="B182" s="224" t="s">
        <v>2824</v>
      </c>
      <c r="C182" s="235" t="s">
        <v>2839</v>
      </c>
      <c r="D182" s="224"/>
      <c r="E182" s="224" t="s">
        <v>758</v>
      </c>
      <c r="F182" s="235" t="str">
        <f t="shared" si="3"/>
        <v>&lt;Dln1&gt; &lt;/Dln1&gt;</v>
      </c>
      <c r="G182" s="226" t="s">
        <v>3187</v>
      </c>
      <c r="H182" s="226" t="s">
        <v>958</v>
      </c>
      <c r="I182" s="226" t="s">
        <v>3188</v>
      </c>
      <c r="J182" s="224"/>
      <c r="K182" s="224"/>
      <c r="L182" s="224"/>
      <c r="M182" s="224"/>
      <c r="N182" s="224"/>
    </row>
    <row r="183" spans="1:14" hidden="1" x14ac:dyDescent="0.25">
      <c r="A183" s="225" t="s">
        <v>2864</v>
      </c>
      <c r="B183" s="225" t="s">
        <v>2863</v>
      </c>
      <c r="C183" s="234" t="s">
        <v>2865</v>
      </c>
      <c r="D183" s="225"/>
      <c r="E183" s="225" t="s">
        <v>758</v>
      </c>
      <c r="F183" s="234" t="str">
        <f t="shared" si="3"/>
        <v>&lt;Pseudo&gt; &lt;/Pseudo&gt;</v>
      </c>
      <c r="G183" s="234" t="s">
        <v>3303</v>
      </c>
      <c r="H183" s="234" t="s">
        <v>3304</v>
      </c>
      <c r="I183" s="234" t="s">
        <v>3305</v>
      </c>
      <c r="J183" s="225"/>
      <c r="K183" s="225"/>
      <c r="L183" s="225"/>
      <c r="M183" s="225"/>
      <c r="N183" s="225"/>
    </row>
    <row r="184" spans="1:14" ht="30" hidden="1" x14ac:dyDescent="0.25">
      <c r="A184" s="225" t="s">
        <v>2864</v>
      </c>
      <c r="B184" s="225" t="s">
        <v>2867</v>
      </c>
      <c r="C184" s="234" t="s">
        <v>2868</v>
      </c>
      <c r="D184" s="225"/>
      <c r="E184" s="225" t="s">
        <v>758</v>
      </c>
      <c r="F184" s="234" t="str">
        <f t="shared" si="3"/>
        <v>&lt;CompanyFlag&gt; &lt;/CompanyFlag&gt;</v>
      </c>
      <c r="G184" s="234" t="s">
        <v>3223</v>
      </c>
      <c r="H184" s="234" t="s">
        <v>155</v>
      </c>
      <c r="I184" s="234" t="s">
        <v>3186</v>
      </c>
      <c r="J184" s="225"/>
      <c r="K184" s="225"/>
      <c r="L184" s="225"/>
      <c r="M184" s="225"/>
      <c r="N184" s="225"/>
    </row>
    <row r="185" spans="1:14" s="261" customFormat="1" ht="30" hidden="1" x14ac:dyDescent="0.25">
      <c r="A185" s="259" t="s">
        <v>2864</v>
      </c>
      <c r="B185" s="259" t="s">
        <v>2869</v>
      </c>
      <c r="C185" s="260" t="s">
        <v>2870</v>
      </c>
      <c r="D185" s="259"/>
      <c r="E185" s="259" t="s">
        <v>758</v>
      </c>
      <c r="F185" s="260" t="str">
        <f t="shared" si="3"/>
        <v>&lt;OTCAddressUpdate&gt; &lt;/OTCAddressUpdate&gt;</v>
      </c>
      <c r="G185" s="260"/>
      <c r="H185" s="260"/>
      <c r="I185" s="260"/>
      <c r="J185" s="259"/>
      <c r="K185" s="259"/>
      <c r="L185" s="259"/>
      <c r="M185" s="259"/>
      <c r="N185" s="259"/>
    </row>
    <row r="186" spans="1:14" hidden="1" x14ac:dyDescent="0.25">
      <c r="A186" s="225" t="s">
        <v>2864</v>
      </c>
      <c r="B186" s="225" t="s">
        <v>2871</v>
      </c>
      <c r="C186" s="234" t="s">
        <v>2872</v>
      </c>
      <c r="D186" s="225"/>
      <c r="E186" s="225" t="s">
        <v>758</v>
      </c>
      <c r="F186" s="234" t="str">
        <f t="shared" si="3"/>
        <v>&lt;FeeOnly&gt; &lt;/FeeOnly&gt;</v>
      </c>
      <c r="G186" s="234" t="s">
        <v>3298</v>
      </c>
      <c r="H186" s="234"/>
      <c r="I186" s="234"/>
      <c r="J186" s="225"/>
      <c r="K186" s="225"/>
      <c r="L186" s="225"/>
      <c r="M186" s="225"/>
      <c r="N186" s="225"/>
    </row>
    <row r="187" spans="1:14" hidden="1" x14ac:dyDescent="0.25">
      <c r="A187" s="224" t="s">
        <v>2864</v>
      </c>
      <c r="B187" s="224" t="s">
        <v>2873</v>
      </c>
      <c r="C187" s="235" t="s">
        <v>2874</v>
      </c>
      <c r="D187" s="224"/>
      <c r="E187" s="224" t="s">
        <v>758</v>
      </c>
      <c r="F187" s="235" t="str">
        <f t="shared" si="3"/>
        <v>&lt;SuspDI&gt; &lt;/SuspDI&gt;</v>
      </c>
      <c r="G187" s="234" t="s">
        <v>3298</v>
      </c>
      <c r="H187" s="235"/>
      <c r="I187" s="235"/>
      <c r="J187" s="224"/>
      <c r="K187" s="224"/>
      <c r="L187" s="224"/>
      <c r="M187" s="224"/>
      <c r="N187" s="224"/>
    </row>
    <row r="188" spans="1:14" hidden="1" x14ac:dyDescent="0.25">
      <c r="A188" s="225" t="s">
        <v>2864</v>
      </c>
      <c r="B188" s="225" t="s">
        <v>2875</v>
      </c>
      <c r="C188" s="234" t="s">
        <v>2908</v>
      </c>
      <c r="D188" s="225"/>
      <c r="E188" s="225" t="s">
        <v>758</v>
      </c>
      <c r="F188" s="234" t="str">
        <f t="shared" si="3"/>
        <v>&lt;SuspFR&gt; &lt;/SuspFR&gt;</v>
      </c>
      <c r="G188" s="234" t="s">
        <v>3298</v>
      </c>
      <c r="H188" s="234"/>
      <c r="I188" s="234"/>
      <c r="J188" s="225"/>
      <c r="K188" s="225"/>
      <c r="L188" s="225"/>
      <c r="M188" s="225"/>
      <c r="N188" s="225"/>
    </row>
    <row r="189" spans="1:14" hidden="1" x14ac:dyDescent="0.25">
      <c r="A189" s="224" t="s">
        <v>2864</v>
      </c>
      <c r="B189" s="224" t="s">
        <v>2876</v>
      </c>
      <c r="C189" s="235" t="s">
        <v>2909</v>
      </c>
      <c r="D189" s="224"/>
      <c r="E189" s="224" t="s">
        <v>758</v>
      </c>
      <c r="F189" s="235" t="str">
        <f t="shared" si="3"/>
        <v>&lt;NIFL&gt; &lt;/NIFL&gt;</v>
      </c>
      <c r="G189" s="234" t="s">
        <v>3298</v>
      </c>
      <c r="H189" s="235"/>
      <c r="I189" s="235"/>
      <c r="J189" s="224"/>
      <c r="K189" s="224"/>
      <c r="L189" s="224"/>
      <c r="M189" s="224"/>
      <c r="N189" s="224"/>
    </row>
    <row r="190" spans="1:14" hidden="1" x14ac:dyDescent="0.25">
      <c r="A190" s="225" t="s">
        <v>2864</v>
      </c>
      <c r="B190" s="225" t="s">
        <v>2877</v>
      </c>
      <c r="C190" s="234" t="s">
        <v>2910</v>
      </c>
      <c r="D190" s="225"/>
      <c r="E190" s="225" t="s">
        <v>758</v>
      </c>
      <c r="F190" s="234" t="str">
        <f t="shared" si="3"/>
        <v>&lt;Aff&gt; &lt;/Aff&gt;</v>
      </c>
      <c r="G190" s="234" t="s">
        <v>3298</v>
      </c>
      <c r="H190" s="234"/>
      <c r="I190" s="234"/>
      <c r="J190" s="225"/>
      <c r="K190" s="225"/>
      <c r="L190" s="225"/>
      <c r="M190" s="225"/>
      <c r="N190" s="225"/>
    </row>
    <row r="191" spans="1:14" hidden="1" x14ac:dyDescent="0.25">
      <c r="A191" s="224" t="s">
        <v>2864</v>
      </c>
      <c r="B191" s="224" t="s">
        <v>2878</v>
      </c>
      <c r="C191" s="235" t="s">
        <v>2911</v>
      </c>
      <c r="D191" s="224"/>
      <c r="E191" s="224" t="s">
        <v>758</v>
      </c>
      <c r="F191" s="235" t="str">
        <f t="shared" si="3"/>
        <v>&lt;Nsf&gt; &lt;/Nsf&gt;</v>
      </c>
      <c r="G191" s="234" t="s">
        <v>3298</v>
      </c>
      <c r="H191" s="235"/>
      <c r="I191" s="235"/>
      <c r="J191" s="224"/>
      <c r="K191" s="224"/>
      <c r="L191" s="224"/>
      <c r="M191" s="224"/>
      <c r="N191" s="224"/>
    </row>
    <row r="192" spans="1:14" hidden="1" x14ac:dyDescent="0.25">
      <c r="A192" s="225" t="s">
        <v>2864</v>
      </c>
      <c r="B192" s="225" t="s">
        <v>2879</v>
      </c>
      <c r="C192" s="234" t="s">
        <v>2912</v>
      </c>
      <c r="D192" s="225"/>
      <c r="E192" s="225" t="s">
        <v>758</v>
      </c>
      <c r="F192" s="234" t="str">
        <f t="shared" si="3"/>
        <v>&lt;Temp&gt; &lt;/Temp&gt;</v>
      </c>
      <c r="G192" s="234" t="s">
        <v>3298</v>
      </c>
      <c r="H192" s="234"/>
      <c r="I192" s="234"/>
      <c r="J192" s="225"/>
      <c r="K192" s="225"/>
      <c r="L192" s="225"/>
      <c r="M192" s="225"/>
      <c r="N192" s="225"/>
    </row>
    <row r="193" spans="1:14" hidden="1" x14ac:dyDescent="0.25">
      <c r="A193" s="224" t="s">
        <v>2864</v>
      </c>
      <c r="B193" s="224" t="s">
        <v>2880</v>
      </c>
      <c r="C193" s="235" t="s">
        <v>2913</v>
      </c>
      <c r="D193" s="224"/>
      <c r="E193" s="224" t="s">
        <v>758</v>
      </c>
      <c r="F193" s="235" t="str">
        <f t="shared" si="3"/>
        <v>&lt;Hardship&gt; &lt;/Hardship&gt;</v>
      </c>
      <c r="G193" s="234" t="s">
        <v>3298</v>
      </c>
      <c r="H193" s="235"/>
      <c r="I193" s="235"/>
      <c r="J193" s="224"/>
      <c r="K193" s="224"/>
      <c r="L193" s="224"/>
      <c r="M193" s="224"/>
      <c r="N193" s="224"/>
    </row>
    <row r="194" spans="1:14" hidden="1" x14ac:dyDescent="0.25">
      <c r="A194" s="225" t="s">
        <v>2864</v>
      </c>
      <c r="B194" s="225" t="s">
        <v>2881</v>
      </c>
      <c r="C194" s="234" t="s">
        <v>2914</v>
      </c>
      <c r="D194" s="225"/>
      <c r="E194" s="225" t="s">
        <v>758</v>
      </c>
      <c r="F194" s="234" t="str">
        <f t="shared" si="3"/>
        <v>&lt;Pet&gt; &lt;/Pet&gt;</v>
      </c>
      <c r="G194" s="234" t="s">
        <v>3298</v>
      </c>
      <c r="H194" s="234"/>
      <c r="I194" s="234"/>
      <c r="J194" s="225"/>
      <c r="K194" s="225"/>
      <c r="L194" s="225"/>
      <c r="M194" s="225"/>
      <c r="N194" s="225"/>
    </row>
    <row r="195" spans="1:14" hidden="1" x14ac:dyDescent="0.25">
      <c r="A195" s="224" t="s">
        <v>2864</v>
      </c>
      <c r="B195" s="224" t="s">
        <v>2882</v>
      </c>
      <c r="C195" s="235" t="s">
        <v>2915</v>
      </c>
      <c r="D195" s="224"/>
      <c r="E195" s="224" t="s">
        <v>758</v>
      </c>
      <c r="F195" s="235" t="str">
        <f t="shared" si="3"/>
        <v>&lt;Ndr&gt; &lt;/Ndr&gt;</v>
      </c>
      <c r="G195" s="234" t="s">
        <v>3298</v>
      </c>
      <c r="H195" s="235"/>
      <c r="I195" s="235"/>
      <c r="J195" s="224"/>
      <c r="K195" s="224"/>
      <c r="L195" s="224"/>
      <c r="M195" s="224"/>
      <c r="N195" s="224"/>
    </row>
    <row r="196" spans="1:14" hidden="1" x14ac:dyDescent="0.25">
      <c r="A196" s="225" t="s">
        <v>2864</v>
      </c>
      <c r="B196" s="225" t="s">
        <v>639</v>
      </c>
      <c r="C196" s="234" t="s">
        <v>2916</v>
      </c>
      <c r="D196" s="225"/>
      <c r="E196" s="225" t="s">
        <v>758</v>
      </c>
      <c r="F196" s="234" t="str">
        <f t="shared" si="3"/>
        <v>&lt;Disc&gt; &lt;/Disc&gt;</v>
      </c>
      <c r="G196" s="234" t="s">
        <v>3298</v>
      </c>
      <c r="H196" s="234"/>
      <c r="I196" s="234"/>
      <c r="J196" s="225"/>
      <c r="K196" s="225"/>
      <c r="L196" s="225"/>
      <c r="M196" s="225"/>
      <c r="N196" s="225"/>
    </row>
    <row r="197" spans="1:14" ht="30" hidden="1" x14ac:dyDescent="0.25">
      <c r="A197" s="224" t="s">
        <v>2864</v>
      </c>
      <c r="B197" s="224" t="s">
        <v>2883</v>
      </c>
      <c r="C197" s="235" t="s">
        <v>2917</v>
      </c>
      <c r="D197" s="224"/>
      <c r="E197" s="224" t="s">
        <v>758</v>
      </c>
      <c r="F197" s="235" t="str">
        <f t="shared" si="3"/>
        <v>&lt;DriverLicenseField&gt; &lt;/DriverLicenseField&gt;</v>
      </c>
      <c r="G197" s="234" t="s">
        <v>3298</v>
      </c>
      <c r="H197" s="235"/>
      <c r="I197" s="235"/>
      <c r="J197" s="224"/>
      <c r="K197" s="224"/>
      <c r="L197" s="224"/>
      <c r="M197" s="224"/>
      <c r="N197" s="224"/>
    </row>
    <row r="198" spans="1:14" ht="30" hidden="1" x14ac:dyDescent="0.25">
      <c r="A198" s="225" t="s">
        <v>2864</v>
      </c>
      <c r="B198" s="225" t="s">
        <v>2884</v>
      </c>
      <c r="C198" s="234" t="s">
        <v>2918</v>
      </c>
      <c r="D198" s="225"/>
      <c r="E198" s="225" t="s">
        <v>758</v>
      </c>
      <c r="F198" s="234" t="str">
        <f t="shared" si="3"/>
        <v>&lt;IgnitionInterLock&gt; &lt;/IgnitionInterLock&gt;</v>
      </c>
      <c r="G198" s="234" t="s">
        <v>3298</v>
      </c>
      <c r="H198" s="234"/>
      <c r="I198" s="234"/>
      <c r="J198" s="225"/>
      <c r="K198" s="225"/>
      <c r="L198" s="225"/>
      <c r="M198" s="225"/>
      <c r="N198" s="225"/>
    </row>
    <row r="199" spans="1:14" hidden="1" x14ac:dyDescent="0.25">
      <c r="A199" s="224" t="s">
        <v>2864</v>
      </c>
      <c r="B199" s="224" t="s">
        <v>2885</v>
      </c>
      <c r="C199" s="235" t="s">
        <v>2919</v>
      </c>
      <c r="D199" s="224"/>
      <c r="E199" s="224" t="s">
        <v>758</v>
      </c>
      <c r="F199" s="235" t="str">
        <f t="shared" si="3"/>
        <v>&lt;CdlDis&gt; &lt;/CdlDis&gt;</v>
      </c>
      <c r="G199" s="234" t="s">
        <v>3298</v>
      </c>
      <c r="H199" s="235"/>
      <c r="I199" s="235"/>
      <c r="J199" s="224"/>
      <c r="K199" s="224"/>
      <c r="L199" s="224"/>
      <c r="M199" s="224"/>
      <c r="N199" s="224"/>
    </row>
    <row r="200" spans="1:14" hidden="1" x14ac:dyDescent="0.25">
      <c r="A200" s="225" t="s">
        <v>2864</v>
      </c>
      <c r="B200" s="225" t="s">
        <v>2886</v>
      </c>
      <c r="C200" s="234" t="s">
        <v>2886</v>
      </c>
      <c r="D200" s="225"/>
      <c r="E200" s="225" t="s">
        <v>758</v>
      </c>
      <c r="F200" s="234" t="str">
        <f t="shared" si="3"/>
        <v>&lt;VWP&gt; &lt;/VWP&gt;</v>
      </c>
      <c r="G200" s="234" t="s">
        <v>3298</v>
      </c>
      <c r="H200" s="234"/>
      <c r="I200" s="234"/>
      <c r="J200" s="225"/>
      <c r="K200" s="225"/>
      <c r="L200" s="225"/>
      <c r="M200" s="225"/>
      <c r="N200" s="225"/>
    </row>
    <row r="201" spans="1:14" hidden="1" x14ac:dyDescent="0.25">
      <c r="A201" s="224" t="s">
        <v>2864</v>
      </c>
      <c r="B201" s="224" t="s">
        <v>2887</v>
      </c>
      <c r="C201" s="235" t="s">
        <v>2920</v>
      </c>
      <c r="D201" s="224"/>
      <c r="E201" s="224" t="s">
        <v>758</v>
      </c>
      <c r="F201" s="235" t="str">
        <f t="shared" si="3"/>
        <v>&lt;Recon&gt; &lt;/Recon&gt;</v>
      </c>
      <c r="G201" s="234" t="s">
        <v>3298</v>
      </c>
      <c r="H201" s="235"/>
      <c r="I201" s="235"/>
      <c r="J201" s="224"/>
      <c r="K201" s="224"/>
      <c r="L201" s="224"/>
      <c r="M201" s="224"/>
      <c r="N201" s="224"/>
    </row>
    <row r="202" spans="1:14" hidden="1" x14ac:dyDescent="0.25">
      <c r="A202" s="225" t="s">
        <v>2864</v>
      </c>
      <c r="B202" s="225" t="s">
        <v>2888</v>
      </c>
      <c r="C202" s="234" t="s">
        <v>2888</v>
      </c>
      <c r="D202" s="225"/>
      <c r="E202" s="225" t="s">
        <v>758</v>
      </c>
      <c r="F202" s="234" t="str">
        <f t="shared" si="3"/>
        <v>&lt;IA&gt; &lt;/IA&gt;</v>
      </c>
      <c r="G202" s="234" t="s">
        <v>3298</v>
      </c>
      <c r="H202" s="234"/>
      <c r="I202" s="234"/>
      <c r="J202" s="225"/>
      <c r="K202" s="225"/>
      <c r="L202" s="225"/>
      <c r="M202" s="225"/>
      <c r="N202" s="225"/>
    </row>
    <row r="203" spans="1:14" hidden="1" x14ac:dyDescent="0.25">
      <c r="A203" s="224" t="s">
        <v>2864</v>
      </c>
      <c r="B203" s="224" t="s">
        <v>2892</v>
      </c>
      <c r="C203" s="235" t="s">
        <v>2921</v>
      </c>
      <c r="D203" s="224"/>
      <c r="E203" s="224" t="s">
        <v>758</v>
      </c>
      <c r="F203" s="235" t="str">
        <f t="shared" ref="F203:F239" si="4">CONCATENATE("&lt;",TRIM(C203),"&gt; &lt;/",TRIM(C203),"&gt;")</f>
        <v>&lt;IssOff&gt; &lt;/IssOff&gt;</v>
      </c>
      <c r="G203" s="235" t="s">
        <v>3301</v>
      </c>
      <c r="H203" s="235"/>
      <c r="I203" s="235"/>
      <c r="J203" s="224"/>
      <c r="K203" s="224"/>
      <c r="L203" s="224"/>
      <c r="M203" s="224"/>
      <c r="N203" s="224"/>
    </row>
    <row r="204" spans="1:14" ht="30" hidden="1" x14ac:dyDescent="0.25">
      <c r="A204" s="225" t="s">
        <v>2864</v>
      </c>
      <c r="B204" s="225" t="s">
        <v>2893</v>
      </c>
      <c r="C204" s="234" t="s">
        <v>2922</v>
      </c>
      <c r="D204" s="225"/>
      <c r="E204" s="225" t="s">
        <v>758</v>
      </c>
      <c r="F204" s="234" t="str">
        <f t="shared" si="4"/>
        <v>&lt;Picture&gt; &lt;/Picture&gt;</v>
      </c>
      <c r="G204" s="234" t="s">
        <v>3282</v>
      </c>
      <c r="H204" s="234" t="s">
        <v>3283</v>
      </c>
      <c r="I204" s="234" t="s">
        <v>3284</v>
      </c>
      <c r="J204" s="225"/>
      <c r="K204" s="225"/>
      <c r="L204" s="225"/>
      <c r="M204" s="225"/>
      <c r="N204" s="225"/>
    </row>
    <row r="205" spans="1:14" hidden="1" x14ac:dyDescent="0.25">
      <c r="A205" s="224" t="s">
        <v>2864</v>
      </c>
      <c r="B205" s="224" t="s">
        <v>2894</v>
      </c>
      <c r="C205" s="235" t="s">
        <v>2923</v>
      </c>
      <c r="D205" s="224"/>
      <c r="E205" s="224" t="s">
        <v>758</v>
      </c>
      <c r="F205" s="235" t="str">
        <f t="shared" si="4"/>
        <v>&lt;Audit&gt; &lt;/Audit&gt;</v>
      </c>
      <c r="G205" s="235" t="s">
        <v>3299</v>
      </c>
      <c r="H205" s="235" t="s">
        <v>3184</v>
      </c>
      <c r="I205" s="235" t="s">
        <v>3185</v>
      </c>
      <c r="J205" s="224"/>
      <c r="K205" s="224"/>
      <c r="L205" s="224"/>
      <c r="M205" s="224"/>
      <c r="N205" s="224"/>
    </row>
    <row r="206" spans="1:14" hidden="1" x14ac:dyDescent="0.25">
      <c r="A206" s="225" t="s">
        <v>2864</v>
      </c>
      <c r="B206" s="225" t="s">
        <v>2895</v>
      </c>
      <c r="C206" s="234" t="s">
        <v>2924</v>
      </c>
      <c r="D206" s="225"/>
      <c r="E206" s="225" t="s">
        <v>758</v>
      </c>
      <c r="F206" s="234" t="str">
        <f t="shared" si="4"/>
        <v>&lt;DrivEd&gt; &lt;/DrivEd&gt;</v>
      </c>
      <c r="G206" s="234" t="s">
        <v>3298</v>
      </c>
      <c r="H206" s="234"/>
      <c r="I206" s="234"/>
      <c r="J206" s="225"/>
      <c r="K206" s="225"/>
      <c r="L206" s="225"/>
      <c r="M206" s="225"/>
      <c r="N206" s="225"/>
    </row>
    <row r="207" spans="1:14" hidden="1" x14ac:dyDescent="0.25">
      <c r="A207" s="224" t="s">
        <v>2864</v>
      </c>
      <c r="B207" s="224" t="s">
        <v>2896</v>
      </c>
      <c r="C207" s="235" t="s">
        <v>2925</v>
      </c>
      <c r="D207" s="224"/>
      <c r="E207" s="224" t="s">
        <v>758</v>
      </c>
      <c r="F207" s="235" t="str">
        <f t="shared" si="4"/>
        <v>&lt;CompTest&gt; &lt;/CompTest&gt;</v>
      </c>
      <c r="G207" s="234" t="s">
        <v>3298</v>
      </c>
      <c r="H207" s="235"/>
      <c r="I207" s="235"/>
      <c r="J207" s="224"/>
      <c r="K207" s="224"/>
      <c r="L207" s="224"/>
      <c r="M207" s="224"/>
      <c r="N207" s="224"/>
    </row>
    <row r="208" spans="1:14" hidden="1" x14ac:dyDescent="0.25">
      <c r="A208" s="225" t="s">
        <v>2864</v>
      </c>
      <c r="B208" s="225" t="s">
        <v>2897</v>
      </c>
      <c r="C208" s="234" t="s">
        <v>2926</v>
      </c>
      <c r="D208" s="225"/>
      <c r="E208" s="225" t="s">
        <v>758</v>
      </c>
      <c r="F208" s="234" t="str">
        <f t="shared" si="4"/>
        <v>&lt;WrittenTest&gt; &lt;/WrittenTest&gt;</v>
      </c>
      <c r="G208" s="234" t="s">
        <v>3298</v>
      </c>
      <c r="H208" s="234"/>
      <c r="I208" s="234"/>
      <c r="J208" s="225"/>
      <c r="K208" s="225"/>
      <c r="L208" s="225"/>
      <c r="M208" s="225"/>
      <c r="N208" s="225"/>
    </row>
    <row r="209" spans="1:14" ht="30" hidden="1" x14ac:dyDescent="0.25">
      <c r="A209" s="224" t="s">
        <v>2864</v>
      </c>
      <c r="B209" s="224" t="s">
        <v>2045</v>
      </c>
      <c r="C209" s="235" t="s">
        <v>2927</v>
      </c>
      <c r="D209" s="224"/>
      <c r="E209" s="224" t="s">
        <v>758</v>
      </c>
      <c r="F209" s="235" t="str">
        <f t="shared" si="4"/>
        <v>&lt;Military&gt; &lt;/Military&gt;</v>
      </c>
      <c r="G209" s="226" t="s">
        <v>3224</v>
      </c>
      <c r="H209" s="226" t="s">
        <v>2287</v>
      </c>
      <c r="I209" s="226" t="s">
        <v>3183</v>
      </c>
      <c r="J209" s="224"/>
      <c r="K209" s="224"/>
      <c r="L209" s="224"/>
      <c r="M209" s="224"/>
      <c r="N209" s="224"/>
    </row>
    <row r="210" spans="1:14" hidden="1" x14ac:dyDescent="0.25">
      <c r="A210" s="225" t="s">
        <v>2864</v>
      </c>
      <c r="B210" s="225" t="s">
        <v>2898</v>
      </c>
      <c r="C210" s="234" t="s">
        <v>2928</v>
      </c>
      <c r="D210" s="225"/>
      <c r="E210" s="225" t="s">
        <v>758</v>
      </c>
      <c r="F210" s="234" t="str">
        <f t="shared" si="4"/>
        <v>&lt;Oos&gt; &lt;/Oos&gt;</v>
      </c>
      <c r="G210" s="234" t="s">
        <v>3225</v>
      </c>
      <c r="H210" s="234" t="s">
        <v>3226</v>
      </c>
      <c r="I210" s="234" t="s">
        <v>3182</v>
      </c>
      <c r="J210" s="225"/>
      <c r="K210" s="225"/>
      <c r="L210" s="225"/>
      <c r="M210" s="225"/>
      <c r="N210" s="225"/>
    </row>
    <row r="211" spans="1:14" hidden="1" x14ac:dyDescent="0.25">
      <c r="A211" s="224" t="s">
        <v>2864</v>
      </c>
      <c r="B211" s="224" t="s">
        <v>2899</v>
      </c>
      <c r="C211" s="235" t="s">
        <v>2929</v>
      </c>
      <c r="D211" s="224"/>
      <c r="E211" s="224" t="s">
        <v>758</v>
      </c>
      <c r="F211" s="235" t="str">
        <f t="shared" si="4"/>
        <v>&lt;GPStatus&gt; &lt;/GPStatus&gt;</v>
      </c>
      <c r="G211" s="234" t="s">
        <v>3298</v>
      </c>
      <c r="H211" s="235"/>
      <c r="I211" s="235"/>
      <c r="J211" s="224"/>
      <c r="K211" s="224"/>
      <c r="L211" s="224"/>
      <c r="M211" s="224"/>
      <c r="N211" s="224"/>
    </row>
    <row r="212" spans="1:14" hidden="1" x14ac:dyDescent="0.25">
      <c r="A212" s="225" t="s">
        <v>2864</v>
      </c>
      <c r="B212" s="225" t="s">
        <v>2900</v>
      </c>
      <c r="C212" s="234" t="s">
        <v>2930</v>
      </c>
      <c r="D212" s="225"/>
      <c r="E212" s="225" t="s">
        <v>758</v>
      </c>
      <c r="F212" s="234" t="str">
        <f t="shared" si="4"/>
        <v>&lt;Stat&gt; &lt;/Stat&gt;</v>
      </c>
      <c r="G212" s="234" t="s">
        <v>3298</v>
      </c>
      <c r="H212" s="234"/>
      <c r="I212" s="226"/>
      <c r="J212" s="225"/>
      <c r="K212" s="225"/>
      <c r="L212" s="225"/>
      <c r="M212" s="225"/>
      <c r="N212" s="225"/>
    </row>
    <row r="213" spans="1:14" hidden="1" x14ac:dyDescent="0.25">
      <c r="A213" s="224" t="s">
        <v>2864</v>
      </c>
      <c r="B213" s="224" t="s">
        <v>1030</v>
      </c>
      <c r="C213" s="235" t="s">
        <v>1031</v>
      </c>
      <c r="D213" s="224"/>
      <c r="E213" s="224" t="s">
        <v>758</v>
      </c>
      <c r="F213" s="235" t="str">
        <f t="shared" si="4"/>
        <v>&lt;Active&gt; &lt;/Active&gt;</v>
      </c>
      <c r="G213" s="234" t="s">
        <v>3298</v>
      </c>
      <c r="H213" s="235"/>
      <c r="I213" s="235"/>
      <c r="J213" s="224"/>
      <c r="K213" s="224"/>
      <c r="L213" s="224"/>
      <c r="M213" s="224"/>
      <c r="N213" s="224"/>
    </row>
    <row r="214" spans="1:14" hidden="1" x14ac:dyDescent="0.25">
      <c r="A214" s="225" t="s">
        <v>2864</v>
      </c>
      <c r="B214" s="225" t="s">
        <v>2901</v>
      </c>
      <c r="C214" s="234" t="s">
        <v>2931</v>
      </c>
      <c r="D214" s="225"/>
      <c r="E214" s="225" t="s">
        <v>758</v>
      </c>
      <c r="F214" s="234" t="str">
        <f t="shared" si="4"/>
        <v>&lt;CdlClass&gt; &lt;/CdlClass&gt;</v>
      </c>
      <c r="G214" s="234" t="s">
        <v>3300</v>
      </c>
      <c r="H214" s="234"/>
      <c r="I214" s="234"/>
      <c r="J214" s="225"/>
      <c r="K214" s="225"/>
      <c r="L214" s="225"/>
      <c r="M214" s="225"/>
      <c r="N214" s="225"/>
    </row>
    <row r="215" spans="1:14" hidden="1" x14ac:dyDescent="0.25">
      <c r="A215" s="224" t="s">
        <v>2864</v>
      </c>
      <c r="B215" s="224" t="s">
        <v>2902</v>
      </c>
      <c r="C215" s="235" t="s">
        <v>2932</v>
      </c>
      <c r="D215" s="224"/>
      <c r="E215" s="224" t="s">
        <v>758</v>
      </c>
      <c r="F215" s="235" t="str">
        <f t="shared" si="4"/>
        <v>&lt;CdlStatus&gt; &lt;/CdlStatus&gt;</v>
      </c>
      <c r="G215" s="235" t="s">
        <v>3302</v>
      </c>
      <c r="H215" s="235"/>
      <c r="I215" s="235"/>
      <c r="J215" s="224"/>
      <c r="K215" s="224"/>
      <c r="L215" s="224"/>
      <c r="M215" s="224"/>
      <c r="N215" s="224"/>
    </row>
    <row r="216" spans="1:14" hidden="1" x14ac:dyDescent="0.25">
      <c r="A216" s="225" t="s">
        <v>2864</v>
      </c>
      <c r="B216" s="225" t="s">
        <v>2903</v>
      </c>
      <c r="C216" s="234" t="s">
        <v>2933</v>
      </c>
      <c r="D216" s="225"/>
      <c r="E216" s="225" t="s">
        <v>758</v>
      </c>
      <c r="F216" s="234" t="str">
        <f t="shared" si="4"/>
        <v>&lt;PerStatusVal&gt; &lt;/PerStatusVal&gt;</v>
      </c>
      <c r="G216" s="234" t="s">
        <v>3300</v>
      </c>
      <c r="H216" s="207"/>
      <c r="I216" s="207"/>
      <c r="J216" s="225"/>
      <c r="K216" s="225"/>
      <c r="L216" s="225"/>
      <c r="M216" s="225"/>
      <c r="N216" s="225"/>
    </row>
    <row r="217" spans="1:14" hidden="1" x14ac:dyDescent="0.25">
      <c r="A217" s="224" t="s">
        <v>2864</v>
      </c>
      <c r="B217" s="224" t="s">
        <v>2904</v>
      </c>
      <c r="C217" s="235" t="s">
        <v>2934</v>
      </c>
      <c r="D217" s="224"/>
      <c r="E217" s="224" t="s">
        <v>758</v>
      </c>
      <c r="F217" s="235" t="str">
        <f t="shared" si="4"/>
        <v>&lt;CLPStatus&gt; &lt;/CLPStatus&gt;</v>
      </c>
      <c r="G217" s="234" t="s">
        <v>3300</v>
      </c>
      <c r="H217" s="235"/>
      <c r="I217" s="235"/>
      <c r="J217" s="224"/>
      <c r="K217" s="224"/>
      <c r="L217" s="224"/>
      <c r="M217" s="224"/>
      <c r="N217" s="224"/>
    </row>
    <row r="218" spans="1:14" ht="30" hidden="1" x14ac:dyDescent="0.25">
      <c r="A218" s="225" t="s">
        <v>2864</v>
      </c>
      <c r="B218" s="202" t="s">
        <v>1935</v>
      </c>
      <c r="C218" s="207" t="s">
        <v>1555</v>
      </c>
      <c r="D218" s="202" t="s">
        <v>2400</v>
      </c>
      <c r="E218" s="202" t="s">
        <v>758</v>
      </c>
      <c r="F218" s="207" t="str">
        <f t="shared" si="4"/>
        <v>&lt;Gender&gt; &lt;/Gender&gt;</v>
      </c>
      <c r="G218" s="226" t="s">
        <v>3281</v>
      </c>
      <c r="H218" s="226" t="s">
        <v>1489</v>
      </c>
      <c r="I218" s="226" t="s">
        <v>3181</v>
      </c>
      <c r="J218" s="202"/>
      <c r="K218" s="202"/>
      <c r="L218" s="202"/>
      <c r="M218" s="202"/>
      <c r="N218" s="225"/>
    </row>
    <row r="219" spans="1:14" hidden="1" x14ac:dyDescent="0.25">
      <c r="A219" s="225" t="s">
        <v>2864</v>
      </c>
      <c r="B219" s="202" t="s">
        <v>1935</v>
      </c>
      <c r="C219" s="207" t="s">
        <v>1554</v>
      </c>
      <c r="D219" s="202" t="s">
        <v>2400</v>
      </c>
      <c r="E219" s="202" t="s">
        <v>758</v>
      </c>
      <c r="F219" s="207" t="str">
        <f t="shared" ref="F219" si="5">CONCATENATE("&lt;",TRIM(C219),"&gt; &lt;/",TRIM(C219),"&gt;")</f>
        <v>&lt;Race&gt; &lt;/Race&gt;</v>
      </c>
      <c r="G219" s="226" t="s">
        <v>3239</v>
      </c>
      <c r="H219" s="226" t="s">
        <v>3179</v>
      </c>
      <c r="I219" s="226" t="s">
        <v>3180</v>
      </c>
      <c r="J219" s="202"/>
      <c r="K219" s="202"/>
      <c r="L219" s="202"/>
      <c r="M219" s="202"/>
      <c r="N219" s="225"/>
    </row>
    <row r="220" spans="1:14" ht="30" hidden="1" x14ac:dyDescent="0.25">
      <c r="A220" s="224" t="s">
        <v>2864</v>
      </c>
      <c r="B220" s="203" t="s">
        <v>1937</v>
      </c>
      <c r="C220" s="226" t="s">
        <v>1020</v>
      </c>
      <c r="D220" s="203" t="s">
        <v>2401</v>
      </c>
      <c r="E220" s="203" t="s">
        <v>758</v>
      </c>
      <c r="F220" s="226" t="str">
        <f t="shared" si="4"/>
        <v>&lt;Name&gt; &lt;/Name&gt;</v>
      </c>
      <c r="G220" s="226" t="s">
        <v>3227</v>
      </c>
      <c r="H220" s="226" t="s">
        <v>1393</v>
      </c>
      <c r="I220" s="226" t="s">
        <v>3174</v>
      </c>
      <c r="J220" s="203"/>
      <c r="K220" s="203"/>
      <c r="L220" s="203"/>
      <c r="M220" s="203"/>
      <c r="N220" s="224"/>
    </row>
    <row r="221" spans="1:14" hidden="1" x14ac:dyDescent="0.25">
      <c r="A221" s="225" t="s">
        <v>2864</v>
      </c>
      <c r="B221" s="202" t="s">
        <v>1939</v>
      </c>
      <c r="C221" s="207" t="s">
        <v>1940</v>
      </c>
      <c r="D221" s="202" t="s">
        <v>2402</v>
      </c>
      <c r="E221" s="202" t="s">
        <v>758</v>
      </c>
      <c r="F221" s="207" t="str">
        <f t="shared" si="4"/>
        <v>&lt;LastNameTC&gt; &lt;/LastNameTC&gt;</v>
      </c>
      <c r="G221" s="226" t="s">
        <v>3238</v>
      </c>
      <c r="H221" s="226" t="s">
        <v>3175</v>
      </c>
      <c r="I221" s="226" t="s">
        <v>3176</v>
      </c>
      <c r="J221" s="202"/>
      <c r="K221" s="202"/>
      <c r="L221" s="202"/>
      <c r="M221" s="202"/>
      <c r="N221" s="225"/>
    </row>
    <row r="222" spans="1:14" hidden="1" x14ac:dyDescent="0.25">
      <c r="A222" s="224" t="s">
        <v>2864</v>
      </c>
      <c r="B222" s="203" t="s">
        <v>1941</v>
      </c>
      <c r="C222" s="226" t="s">
        <v>1942</v>
      </c>
      <c r="D222" s="203" t="s">
        <v>2403</v>
      </c>
      <c r="E222" s="203" t="s">
        <v>758</v>
      </c>
      <c r="F222" s="226" t="str">
        <f t="shared" si="4"/>
        <v>&lt;LastNameTL&gt; &lt;/LastNameTL&gt;</v>
      </c>
      <c r="G222" s="226" t="s">
        <v>3237</v>
      </c>
      <c r="H222" s="226" t="s">
        <v>3177</v>
      </c>
      <c r="I222" s="226" t="s">
        <v>3178</v>
      </c>
      <c r="J222" s="203"/>
      <c r="K222" s="203"/>
      <c r="L222" s="203"/>
      <c r="M222" s="203"/>
      <c r="N222" s="224"/>
    </row>
    <row r="223" spans="1:14" ht="30" hidden="1" x14ac:dyDescent="0.25">
      <c r="A223" s="225" t="s">
        <v>2864</v>
      </c>
      <c r="B223" s="203" t="s">
        <v>1123</v>
      </c>
      <c r="C223" s="226" t="s">
        <v>1123</v>
      </c>
      <c r="D223" s="203"/>
      <c r="E223" s="203" t="s">
        <v>758</v>
      </c>
      <c r="F223" s="226" t="str">
        <f t="shared" si="4"/>
        <v>&lt;SSN&gt; &lt;/SSN&gt;</v>
      </c>
      <c r="G223" s="226" t="s">
        <v>3236</v>
      </c>
      <c r="H223" s="226" t="s">
        <v>1386</v>
      </c>
      <c r="I223" s="226" t="s">
        <v>3165</v>
      </c>
      <c r="J223" s="203"/>
      <c r="K223" s="203"/>
      <c r="L223" s="203"/>
      <c r="M223" s="203"/>
      <c r="N223" s="225"/>
    </row>
    <row r="224" spans="1:14" ht="30" hidden="1" x14ac:dyDescent="0.25">
      <c r="A224" s="224" t="s">
        <v>2864</v>
      </c>
      <c r="B224" s="202" t="s">
        <v>1944</v>
      </c>
      <c r="C224" s="207" t="s">
        <v>1238</v>
      </c>
      <c r="D224" s="202" t="s">
        <v>1765</v>
      </c>
      <c r="E224" s="202" t="s">
        <v>758</v>
      </c>
      <c r="F224" s="207" t="str">
        <f t="shared" si="4"/>
        <v>&lt;FirstName&gt; &lt;/FirstName&gt;</v>
      </c>
      <c r="G224" s="226" t="s">
        <v>3235</v>
      </c>
      <c r="H224" s="226" t="s">
        <v>1392</v>
      </c>
      <c r="I224" s="226" t="s">
        <v>3164</v>
      </c>
      <c r="J224" s="202"/>
      <c r="K224" s="202"/>
      <c r="L224" s="202"/>
      <c r="M224" s="202"/>
      <c r="N224" s="224"/>
    </row>
    <row r="225" spans="1:14" hidden="1" x14ac:dyDescent="0.25">
      <c r="A225" s="225" t="s">
        <v>2864</v>
      </c>
      <c r="B225" s="203" t="s">
        <v>1939</v>
      </c>
      <c r="C225" s="226" t="s">
        <v>1945</v>
      </c>
      <c r="D225" s="203"/>
      <c r="E225" s="203" t="s">
        <v>758</v>
      </c>
      <c r="F225" s="226" t="str">
        <f t="shared" si="4"/>
        <v>&lt;FirstNameTC&gt; &lt;/FirstNameTC&gt;</v>
      </c>
      <c r="G225" s="226" t="s">
        <v>3234</v>
      </c>
      <c r="H225" s="226" t="s">
        <v>3167</v>
      </c>
      <c r="I225" s="226" t="s">
        <v>3166</v>
      </c>
      <c r="J225" s="203"/>
      <c r="K225" s="203"/>
      <c r="L225" s="203"/>
      <c r="M225" s="203"/>
      <c r="N225" s="225"/>
    </row>
    <row r="226" spans="1:14" hidden="1" x14ac:dyDescent="0.25">
      <c r="A226" s="224" t="s">
        <v>2864</v>
      </c>
      <c r="B226" s="202" t="s">
        <v>1941</v>
      </c>
      <c r="C226" s="207" t="s">
        <v>1946</v>
      </c>
      <c r="D226" s="202"/>
      <c r="E226" s="202" t="s">
        <v>758</v>
      </c>
      <c r="F226" s="207" t="str">
        <f t="shared" si="4"/>
        <v>&lt;FirstNameTL&gt; &lt;/FirstNameTL&gt;</v>
      </c>
      <c r="G226" s="226" t="s">
        <v>3233</v>
      </c>
      <c r="H226" s="226" t="s">
        <v>3168</v>
      </c>
      <c r="I226" s="226" t="s">
        <v>3169</v>
      </c>
      <c r="J226" s="202"/>
      <c r="K226" s="202"/>
      <c r="L226" s="202"/>
      <c r="M226" s="202"/>
      <c r="N226" s="224"/>
    </row>
    <row r="227" spans="1:14" ht="30" hidden="1" x14ac:dyDescent="0.25">
      <c r="A227" s="225" t="s">
        <v>2864</v>
      </c>
      <c r="B227" s="203" t="s">
        <v>1947</v>
      </c>
      <c r="C227" s="226" t="s">
        <v>1240</v>
      </c>
      <c r="D227" s="203"/>
      <c r="E227" s="203" t="s">
        <v>758</v>
      </c>
      <c r="F227" s="226" t="str">
        <f t="shared" si="4"/>
        <v>&lt;MiddleName&gt; &lt;/MiddleName&gt;</v>
      </c>
      <c r="G227" s="226" t="s">
        <v>3232</v>
      </c>
      <c r="H227" s="226" t="s">
        <v>2284</v>
      </c>
      <c r="I227" s="226" t="s">
        <v>3163</v>
      </c>
      <c r="J227" s="203"/>
      <c r="K227" s="203"/>
      <c r="L227" s="203"/>
      <c r="M227" s="203"/>
      <c r="N227" s="225"/>
    </row>
    <row r="228" spans="1:14" ht="30" hidden="1" x14ac:dyDescent="0.25">
      <c r="A228" s="224" t="s">
        <v>2864</v>
      </c>
      <c r="B228" s="202" t="s">
        <v>1939</v>
      </c>
      <c r="C228" s="207" t="s">
        <v>1948</v>
      </c>
      <c r="D228" s="202"/>
      <c r="E228" s="202" t="s">
        <v>758</v>
      </c>
      <c r="F228" s="207" t="str">
        <f t="shared" si="4"/>
        <v>&lt;MiddleNameTC&gt; &lt;/MiddleNameTC&gt;</v>
      </c>
      <c r="G228" s="226" t="s">
        <v>3231</v>
      </c>
      <c r="H228" s="226" t="s">
        <v>3170</v>
      </c>
      <c r="I228" s="226" t="s">
        <v>3171</v>
      </c>
      <c r="J228" s="202"/>
      <c r="K228" s="202"/>
      <c r="L228" s="202"/>
      <c r="M228" s="202"/>
      <c r="N228" s="224"/>
    </row>
    <row r="229" spans="1:14" ht="30" hidden="1" x14ac:dyDescent="0.25">
      <c r="A229" s="225" t="s">
        <v>2864</v>
      </c>
      <c r="B229" s="203" t="s">
        <v>1941</v>
      </c>
      <c r="C229" s="226" t="s">
        <v>1949</v>
      </c>
      <c r="D229" s="203"/>
      <c r="E229" s="203" t="s">
        <v>758</v>
      </c>
      <c r="F229" s="226" t="str">
        <f t="shared" si="4"/>
        <v>&lt;MiddleNameTL&gt; &lt;/MiddleNameTL&gt;</v>
      </c>
      <c r="G229" s="226" t="s">
        <v>3230</v>
      </c>
      <c r="H229" s="226" t="s">
        <v>3172</v>
      </c>
      <c r="I229" s="226" t="s">
        <v>3173</v>
      </c>
      <c r="J229" s="203"/>
      <c r="K229" s="203"/>
      <c r="L229" s="203"/>
      <c r="M229" s="203"/>
      <c r="N229" s="225"/>
    </row>
    <row r="230" spans="1:14" ht="30" hidden="1" x14ac:dyDescent="0.25">
      <c r="A230" s="224" t="s">
        <v>2864</v>
      </c>
      <c r="B230" s="202" t="s">
        <v>2020</v>
      </c>
      <c r="C230" s="207" t="s">
        <v>2031</v>
      </c>
      <c r="D230" s="202" t="s">
        <v>1654</v>
      </c>
      <c r="E230" s="202" t="s">
        <v>758</v>
      </c>
      <c r="F230" s="207" t="str">
        <f t="shared" si="4"/>
        <v>&lt;MailingAddressStreetA&gt; &lt;/MailingAddressStreetA&gt;</v>
      </c>
      <c r="G230" s="202" t="s">
        <v>3229</v>
      </c>
      <c r="H230" s="226" t="s">
        <v>365</v>
      </c>
      <c r="I230" s="226" t="s">
        <v>3153</v>
      </c>
      <c r="J230" s="202"/>
      <c r="K230" s="202"/>
      <c r="L230" s="202"/>
      <c r="M230" s="202"/>
      <c r="N230" s="224"/>
    </row>
    <row r="231" spans="1:14" ht="30" hidden="1" x14ac:dyDescent="0.25">
      <c r="A231" s="225" t="s">
        <v>2864</v>
      </c>
      <c r="B231" s="203" t="s">
        <v>2023</v>
      </c>
      <c r="C231" s="226" t="s">
        <v>2032</v>
      </c>
      <c r="D231" s="203" t="s">
        <v>2033</v>
      </c>
      <c r="E231" s="203" t="s">
        <v>758</v>
      </c>
      <c r="F231" s="226" t="str">
        <f t="shared" si="4"/>
        <v>&lt;MailingAddressStrretB&gt; &lt;/MailingAddressStrretB&gt;</v>
      </c>
      <c r="G231" s="203" t="s">
        <v>3228</v>
      </c>
      <c r="H231" s="226" t="s">
        <v>2034</v>
      </c>
      <c r="I231" s="226" t="s">
        <v>3154</v>
      </c>
      <c r="J231" s="203"/>
      <c r="K231" s="203"/>
      <c r="L231" s="203"/>
      <c r="M231" s="203"/>
      <c r="N231" s="225"/>
    </row>
    <row r="232" spans="1:14" ht="30" hidden="1" x14ac:dyDescent="0.25">
      <c r="A232" s="224" t="s">
        <v>2864</v>
      </c>
      <c r="B232" s="202" t="s">
        <v>809</v>
      </c>
      <c r="C232" s="207" t="s">
        <v>2036</v>
      </c>
      <c r="D232" s="202" t="s">
        <v>1655</v>
      </c>
      <c r="E232" s="202" t="s">
        <v>758</v>
      </c>
      <c r="F232" s="207" t="str">
        <f t="shared" si="4"/>
        <v>&lt;MailingAddressCity&gt; &lt;/MailingAddressCity&gt;</v>
      </c>
      <c r="G232" s="202" t="s">
        <v>3240</v>
      </c>
      <c r="H232" s="226" t="s">
        <v>367</v>
      </c>
      <c r="I232" s="226" t="s">
        <v>3155</v>
      </c>
      <c r="J232" s="202"/>
      <c r="K232" s="202"/>
      <c r="L232" s="202"/>
      <c r="M232" s="202"/>
      <c r="N232" s="224"/>
    </row>
    <row r="233" spans="1:14" ht="30" hidden="1" x14ac:dyDescent="0.25">
      <c r="A233" s="225" t="s">
        <v>2864</v>
      </c>
      <c r="B233" s="203" t="s">
        <v>810</v>
      </c>
      <c r="C233" s="226" t="s">
        <v>2037</v>
      </c>
      <c r="D233" s="203" t="s">
        <v>1656</v>
      </c>
      <c r="E233" s="203" t="s">
        <v>758</v>
      </c>
      <c r="F233" s="226" t="str">
        <f t="shared" si="4"/>
        <v>&lt;MailingAddressState&gt; &lt;/MailingAddressState&gt;</v>
      </c>
      <c r="G233" s="203" t="s">
        <v>3241</v>
      </c>
      <c r="H233" s="226" t="s">
        <v>368</v>
      </c>
      <c r="I233" s="226" t="s">
        <v>3156</v>
      </c>
      <c r="J233" s="203"/>
      <c r="K233" s="203"/>
      <c r="L233" s="203"/>
      <c r="M233" s="203"/>
      <c r="N233" s="225"/>
    </row>
    <row r="234" spans="1:14" ht="30" hidden="1" x14ac:dyDescent="0.25">
      <c r="A234" s="224" t="s">
        <v>2864</v>
      </c>
      <c r="B234" s="202" t="s">
        <v>126</v>
      </c>
      <c r="C234" s="207" t="s">
        <v>2038</v>
      </c>
      <c r="D234" s="202" t="s">
        <v>1657</v>
      </c>
      <c r="E234" s="202" t="s">
        <v>758</v>
      </c>
      <c r="F234" s="207" t="str">
        <f t="shared" si="4"/>
        <v>&lt;MailingAddressZip&gt; &lt;/MailingAddressZip&gt;</v>
      </c>
      <c r="G234" s="202" t="s">
        <v>3242</v>
      </c>
      <c r="H234" s="226" t="s">
        <v>366</v>
      </c>
      <c r="I234" s="226" t="s">
        <v>3157</v>
      </c>
      <c r="J234" s="202"/>
      <c r="K234" s="202"/>
      <c r="L234" s="202"/>
      <c r="M234" s="202"/>
      <c r="N234" s="224"/>
    </row>
    <row r="235" spans="1:14" ht="30" hidden="1" x14ac:dyDescent="0.25">
      <c r="A235" s="225" t="s">
        <v>2864</v>
      </c>
      <c r="B235" s="203" t="s">
        <v>2020</v>
      </c>
      <c r="C235" s="226" t="s">
        <v>2021</v>
      </c>
      <c r="D235" s="203" t="s">
        <v>2022</v>
      </c>
      <c r="E235" s="203" t="s">
        <v>758</v>
      </c>
      <c r="F235" s="226" t="str">
        <f t="shared" si="4"/>
        <v>&lt;LicenseAddressStreetA&gt; &lt;/LicenseAddressStreetA&gt;</v>
      </c>
      <c r="G235" s="203" t="s">
        <v>3243</v>
      </c>
      <c r="H235" s="226" t="s">
        <v>365</v>
      </c>
      <c r="I235" s="226" t="s">
        <v>3158</v>
      </c>
      <c r="J235" s="203"/>
      <c r="K235" s="203"/>
      <c r="L235" s="203"/>
      <c r="M235" s="203"/>
      <c r="N235" s="225"/>
    </row>
    <row r="236" spans="1:14" ht="30" hidden="1" x14ac:dyDescent="0.25">
      <c r="A236" s="224" t="s">
        <v>2864</v>
      </c>
      <c r="B236" s="202" t="s">
        <v>2023</v>
      </c>
      <c r="C236" s="207" t="s">
        <v>2024</v>
      </c>
      <c r="D236" s="202" t="s">
        <v>2025</v>
      </c>
      <c r="E236" s="202" t="s">
        <v>758</v>
      </c>
      <c r="F236" s="207" t="str">
        <f t="shared" si="4"/>
        <v>&lt;LicenseAddressStrretB&gt; &lt;/LicenseAddressStrretB&gt;</v>
      </c>
      <c r="G236" s="202" t="s">
        <v>3244</v>
      </c>
      <c r="H236" s="226" t="s">
        <v>2034</v>
      </c>
      <c r="I236" s="226" t="s">
        <v>3159</v>
      </c>
      <c r="J236" s="202"/>
      <c r="K236" s="202"/>
      <c r="L236" s="202"/>
      <c r="M236" s="202"/>
      <c r="N236" s="224"/>
    </row>
    <row r="237" spans="1:14" ht="30" hidden="1" x14ac:dyDescent="0.25">
      <c r="A237" s="225" t="s">
        <v>2864</v>
      </c>
      <c r="B237" s="203" t="s">
        <v>809</v>
      </c>
      <c r="C237" s="226" t="s">
        <v>2026</v>
      </c>
      <c r="D237" s="203" t="s">
        <v>2027</v>
      </c>
      <c r="E237" s="203" t="s">
        <v>758</v>
      </c>
      <c r="F237" s="226" t="str">
        <f t="shared" si="4"/>
        <v>&lt;LicenseAddressCity&gt; &lt;/LicenseAddressCity&gt;</v>
      </c>
      <c r="G237" s="203" t="s">
        <v>3245</v>
      </c>
      <c r="H237" s="226" t="s">
        <v>367</v>
      </c>
      <c r="I237" s="226" t="s">
        <v>3160</v>
      </c>
      <c r="J237" s="203"/>
      <c r="K237" s="203"/>
      <c r="L237" s="203"/>
      <c r="M237" s="203"/>
      <c r="N237" s="225"/>
    </row>
    <row r="238" spans="1:14" ht="30" hidden="1" x14ac:dyDescent="0.25">
      <c r="A238" s="224" t="s">
        <v>2864</v>
      </c>
      <c r="B238" s="202" t="s">
        <v>810</v>
      </c>
      <c r="C238" s="207" t="s">
        <v>2028</v>
      </c>
      <c r="D238" s="202" t="s">
        <v>2029</v>
      </c>
      <c r="E238" s="202" t="s">
        <v>758</v>
      </c>
      <c r="F238" s="207" t="str">
        <f t="shared" si="4"/>
        <v>&lt;LicenseAddressState&gt; &lt;/LicenseAddressState&gt;</v>
      </c>
      <c r="G238" s="202" t="s">
        <v>3246</v>
      </c>
      <c r="H238" s="226" t="s">
        <v>368</v>
      </c>
      <c r="I238" s="226" t="s">
        <v>3161</v>
      </c>
      <c r="J238" s="202"/>
      <c r="K238" s="202"/>
      <c r="L238" s="202"/>
      <c r="M238" s="202"/>
      <c r="N238" s="224"/>
    </row>
    <row r="239" spans="1:14" ht="30" hidden="1" x14ac:dyDescent="0.25">
      <c r="A239" s="225" t="s">
        <v>2864</v>
      </c>
      <c r="B239" s="203" t="s">
        <v>126</v>
      </c>
      <c r="C239" s="226" t="s">
        <v>2030</v>
      </c>
      <c r="D239" s="203" t="s">
        <v>1657</v>
      </c>
      <c r="E239" s="203" t="s">
        <v>758</v>
      </c>
      <c r="F239" s="226" t="str">
        <f t="shared" si="4"/>
        <v>&lt;LicenseAddressZip&gt; &lt;/LicenseAddressZip&gt;</v>
      </c>
      <c r="G239" s="203" t="s">
        <v>3247</v>
      </c>
      <c r="H239" s="207" t="s">
        <v>366</v>
      </c>
      <c r="I239" s="207" t="s">
        <v>3162</v>
      </c>
      <c r="J239" s="203"/>
      <c r="K239" s="203"/>
      <c r="L239" s="203"/>
      <c r="M239" s="203"/>
      <c r="N239" s="225"/>
    </row>
    <row r="240" spans="1:14" ht="30" hidden="1" x14ac:dyDescent="0.25">
      <c r="A240" s="224" t="s">
        <v>2789</v>
      </c>
      <c r="B240" s="224" t="s">
        <v>3149</v>
      </c>
      <c r="C240" s="235"/>
      <c r="D240" s="224"/>
      <c r="E240" s="224" t="s">
        <v>758</v>
      </c>
      <c r="F240" s="235"/>
      <c r="G240" s="235" t="s">
        <v>3150</v>
      </c>
      <c r="H240" s="235" t="s">
        <v>3151</v>
      </c>
      <c r="I240" s="235" t="s">
        <v>3152</v>
      </c>
      <c r="J240" s="224"/>
      <c r="K240" s="224"/>
      <c r="L240" s="224"/>
      <c r="M240" s="224"/>
      <c r="N240" s="224"/>
    </row>
    <row r="241" spans="1:14" x14ac:dyDescent="0.25">
      <c r="A241" s="225"/>
      <c r="B241" s="225"/>
      <c r="C241" s="234"/>
      <c r="D241" s="225"/>
      <c r="E241" s="225"/>
      <c r="F241" s="234"/>
      <c r="G241" s="234"/>
      <c r="H241" s="234"/>
      <c r="I241" s="234"/>
      <c r="J241" s="225"/>
      <c r="K241" s="225"/>
      <c r="L241" s="225"/>
      <c r="M241" s="225"/>
      <c r="N241" s="225"/>
    </row>
    <row r="242" spans="1:14" x14ac:dyDescent="0.25">
      <c r="A242" s="224"/>
      <c r="B242" s="224"/>
      <c r="C242" s="235"/>
      <c r="D242" s="224"/>
      <c r="E242" s="224"/>
      <c r="F242" s="235"/>
      <c r="G242" s="235"/>
      <c r="H242" s="235"/>
      <c r="I242" s="235"/>
      <c r="J242" s="224"/>
      <c r="K242" s="224"/>
      <c r="L242" s="224"/>
      <c r="M242" s="224"/>
      <c r="N242" s="224"/>
    </row>
    <row r="243" spans="1:14" x14ac:dyDescent="0.25">
      <c r="A243" s="225"/>
      <c r="B243" s="225"/>
      <c r="C243" s="234"/>
      <c r="D243" s="225"/>
      <c r="E243" s="225"/>
      <c r="F243" s="234"/>
      <c r="G243" s="234"/>
      <c r="H243" s="234"/>
      <c r="I243" s="234"/>
      <c r="J243" s="225"/>
      <c r="K243" s="225"/>
      <c r="L243" s="225"/>
      <c r="M243" s="225"/>
      <c r="N243" s="225"/>
    </row>
    <row r="244" spans="1:14" x14ac:dyDescent="0.25">
      <c r="A244" s="224"/>
      <c r="B244" s="224"/>
      <c r="C244" s="235"/>
      <c r="D244" s="224"/>
      <c r="E244" s="224"/>
      <c r="F244" s="235"/>
      <c r="G244" s="235"/>
      <c r="H244" s="235"/>
      <c r="I244" s="235"/>
      <c r="J244" s="224"/>
      <c r="K244" s="224"/>
      <c r="L244" s="224"/>
      <c r="M244" s="224"/>
      <c r="N244" s="224"/>
    </row>
  </sheetData>
  <autoFilter ref="A1:O240">
    <filterColumn colId="0">
      <filters>
        <filter val="11LP, 2000"/>
        <filter val="2000"/>
        <filter val="2000, CN00"/>
        <filter val="LS00, 2000, DL00, CN00"/>
        <filter val="LS00, RU01, 2000, CN00"/>
        <filter val="LS00, RU01, 2000, CN00, DL00"/>
        <filter val="LS00, RU01, 2000, CN00, DLO"/>
        <filter val="LS00,2000"/>
        <filter val="LS00,RU01, 11LP, 2000, DL00, CN00"/>
        <filter val="RU01, 2000, CN00, DL00"/>
      </filters>
    </filterColumn>
  </autoFilter>
  <conditionalFormatting sqref="G38">
    <cfRule type="duplicateValues" dxfId="64" priority="14"/>
  </conditionalFormatting>
  <conditionalFormatting sqref="G52">
    <cfRule type="duplicateValues" dxfId="63" priority="13"/>
  </conditionalFormatting>
  <conditionalFormatting sqref="G53">
    <cfRule type="duplicateValues" dxfId="62" priority="12"/>
  </conditionalFormatting>
  <conditionalFormatting sqref="G60">
    <cfRule type="duplicateValues" dxfId="61" priority="11"/>
  </conditionalFormatting>
  <conditionalFormatting sqref="G61">
    <cfRule type="duplicateValues" dxfId="60" priority="10"/>
  </conditionalFormatting>
  <conditionalFormatting sqref="G62">
    <cfRule type="duplicateValues" dxfId="59" priority="9"/>
  </conditionalFormatting>
  <conditionalFormatting sqref="G11 G13">
    <cfRule type="duplicateValues" dxfId="58" priority="102"/>
  </conditionalFormatting>
  <conditionalFormatting sqref="G12">
    <cfRule type="duplicateValues" dxfId="57" priority="7"/>
  </conditionalFormatting>
  <conditionalFormatting sqref="G33">
    <cfRule type="duplicateValues" dxfId="56" priority="6"/>
  </conditionalFormatting>
  <conditionalFormatting sqref="G29">
    <cfRule type="duplicateValues" dxfId="55" priority="5"/>
  </conditionalFormatting>
  <conditionalFormatting sqref="G15:G16">
    <cfRule type="duplicateValues" dxfId="54" priority="4"/>
  </conditionalFormatting>
  <conditionalFormatting sqref="G14">
    <cfRule type="duplicateValues" dxfId="53" priority="3"/>
  </conditionalFormatting>
  <conditionalFormatting sqref="G9">
    <cfRule type="duplicateValues" dxfId="52" priority="2"/>
  </conditionalFormatting>
  <conditionalFormatting sqref="G205">
    <cfRule type="duplicateValues" dxfId="51" priority="1"/>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57"/>
  <sheetViews>
    <sheetView topLeftCell="A7" workbookViewId="0">
      <selection activeCell="G16" sqref="G16"/>
    </sheetView>
  </sheetViews>
  <sheetFormatPr defaultRowHeight="15" x14ac:dyDescent="0.25"/>
  <cols>
    <col min="4" max="4" width="24.5703125" customWidth="1"/>
    <col min="8" max="8" width="32" bestFit="1" customWidth="1"/>
  </cols>
  <sheetData>
    <row r="4" spans="4:10" x14ac:dyDescent="0.25">
      <c r="D4" s="145"/>
      <c r="E4" s="145"/>
      <c r="F4" s="145"/>
    </row>
    <row r="5" spans="4:10" ht="26.25" x14ac:dyDescent="0.4">
      <c r="D5" s="90" t="s">
        <v>1126</v>
      </c>
      <c r="E5" s="250" t="s">
        <v>941</v>
      </c>
      <c r="F5" s="250"/>
      <c r="H5" s="90" t="s">
        <v>1140</v>
      </c>
      <c r="I5" s="250" t="s">
        <v>941</v>
      </c>
      <c r="J5" s="250"/>
    </row>
    <row r="6" spans="4:10" x14ac:dyDescent="0.25">
      <c r="D6" s="152" t="s">
        <v>731</v>
      </c>
      <c r="E6" s="152" t="s">
        <v>729</v>
      </c>
      <c r="F6" s="152" t="s">
        <v>730</v>
      </c>
      <c r="H6" s="152" t="s">
        <v>731</v>
      </c>
      <c r="I6" s="152" t="s">
        <v>729</v>
      </c>
      <c r="J6" s="152" t="s">
        <v>730</v>
      </c>
    </row>
    <row r="7" spans="4:10" x14ac:dyDescent="0.25">
      <c r="D7" s="111" t="s">
        <v>1094</v>
      </c>
      <c r="E7" s="112">
        <v>1</v>
      </c>
      <c r="F7" s="112">
        <v>2</v>
      </c>
      <c r="H7" s="111" t="s">
        <v>1094</v>
      </c>
      <c r="I7" s="112">
        <v>1</v>
      </c>
      <c r="J7" s="112">
        <v>2</v>
      </c>
    </row>
    <row r="8" spans="4:10" x14ac:dyDescent="0.25">
      <c r="D8" s="113" t="s">
        <v>1119</v>
      </c>
      <c r="E8" s="112">
        <v>4</v>
      </c>
      <c r="F8" s="112">
        <v>7</v>
      </c>
      <c r="H8" s="113" t="s">
        <v>17</v>
      </c>
      <c r="I8" s="112">
        <v>4</v>
      </c>
      <c r="J8" s="112">
        <v>17</v>
      </c>
    </row>
    <row r="9" spans="4:10" x14ac:dyDescent="0.25">
      <c r="D9" s="113" t="s">
        <v>1127</v>
      </c>
      <c r="E9" s="112">
        <v>12</v>
      </c>
      <c r="F9" s="112">
        <v>2</v>
      </c>
    </row>
    <row r="13" spans="4:10" ht="32.25" x14ac:dyDescent="0.4">
      <c r="D13" s="90" t="s">
        <v>1140</v>
      </c>
      <c r="E13" s="250" t="s">
        <v>941</v>
      </c>
      <c r="F13" s="250"/>
      <c r="H13" s="156" t="s">
        <v>1333</v>
      </c>
      <c r="I13" s="250" t="s">
        <v>941</v>
      </c>
      <c r="J13" s="250"/>
    </row>
    <row r="14" spans="4:10" x14ac:dyDescent="0.25">
      <c r="D14" s="152" t="s">
        <v>731</v>
      </c>
      <c r="E14" s="152" t="s">
        <v>729</v>
      </c>
      <c r="F14" s="152" t="s">
        <v>730</v>
      </c>
      <c r="H14" s="152" t="s">
        <v>731</v>
      </c>
      <c r="I14" s="152" t="s">
        <v>729</v>
      </c>
      <c r="J14" s="152" t="s">
        <v>730</v>
      </c>
    </row>
    <row r="15" spans="4:10" x14ac:dyDescent="0.25">
      <c r="D15" s="111" t="s">
        <v>1094</v>
      </c>
      <c r="E15" s="153">
        <v>1</v>
      </c>
      <c r="F15" s="153">
        <v>2</v>
      </c>
      <c r="H15" s="111" t="s">
        <v>1094</v>
      </c>
      <c r="I15" s="57">
        <v>1</v>
      </c>
      <c r="J15" s="57">
        <v>4</v>
      </c>
    </row>
    <row r="16" spans="4:10" x14ac:dyDescent="0.25">
      <c r="D16" s="154" t="s">
        <v>17</v>
      </c>
      <c r="E16" s="153">
        <v>4</v>
      </c>
      <c r="F16" s="153">
        <v>17</v>
      </c>
      <c r="H16" s="111" t="s">
        <v>1026</v>
      </c>
      <c r="I16" s="57">
        <v>6</v>
      </c>
      <c r="J16" s="57">
        <v>1</v>
      </c>
    </row>
    <row r="17" spans="3:10" x14ac:dyDescent="0.25">
      <c r="H17" s="111" t="s">
        <v>1098</v>
      </c>
      <c r="I17" s="57">
        <v>8</v>
      </c>
      <c r="J17" s="57">
        <v>4</v>
      </c>
    </row>
    <row r="18" spans="3:10" x14ac:dyDescent="0.25">
      <c r="H18" s="111" t="s">
        <v>1030</v>
      </c>
    </row>
    <row r="19" spans="3:10" x14ac:dyDescent="0.25">
      <c r="H19" s="111" t="s">
        <v>1100</v>
      </c>
    </row>
    <row r="20" spans="3:10" ht="26.25" x14ac:dyDescent="0.4">
      <c r="C20" t="s">
        <v>1266</v>
      </c>
      <c r="D20" s="57" t="s">
        <v>1332</v>
      </c>
      <c r="E20" s="250" t="s">
        <v>941</v>
      </c>
      <c r="F20" s="250"/>
      <c r="H20" s="111" t="s">
        <v>1101</v>
      </c>
    </row>
    <row r="21" spans="3:10" x14ac:dyDescent="0.25">
      <c r="D21" s="152" t="s">
        <v>731</v>
      </c>
      <c r="E21" s="152" t="s">
        <v>729</v>
      </c>
      <c r="F21" s="152" t="s">
        <v>730</v>
      </c>
      <c r="H21" s="111" t="s">
        <v>809</v>
      </c>
    </row>
    <row r="22" spans="3:10" x14ac:dyDescent="0.25">
      <c r="D22" s="111" t="s">
        <v>1094</v>
      </c>
      <c r="E22" s="57">
        <v>1</v>
      </c>
      <c r="F22" s="57">
        <v>4</v>
      </c>
      <c r="H22" s="111" t="s">
        <v>810</v>
      </c>
    </row>
    <row r="23" spans="3:10" x14ac:dyDescent="0.25">
      <c r="D23" s="111" t="s">
        <v>1026</v>
      </c>
      <c r="E23" s="57">
        <v>6</v>
      </c>
      <c r="F23" s="57">
        <v>1</v>
      </c>
      <c r="H23" s="111" t="s">
        <v>1102</v>
      </c>
    </row>
    <row r="24" spans="3:10" x14ac:dyDescent="0.25">
      <c r="D24" s="111" t="s">
        <v>1098</v>
      </c>
      <c r="E24" s="57">
        <v>8</v>
      </c>
      <c r="F24" s="57">
        <v>4</v>
      </c>
      <c r="H24" s="111" t="s">
        <v>1038</v>
      </c>
    </row>
    <row r="25" spans="3:10" x14ac:dyDescent="0.25">
      <c r="H25" s="111" t="s">
        <v>1041</v>
      </c>
    </row>
    <row r="26" spans="3:10" x14ac:dyDescent="0.25">
      <c r="H26" s="111" t="s">
        <v>1042</v>
      </c>
    </row>
    <row r="27" spans="3:10" ht="26.25" x14ac:dyDescent="0.4">
      <c r="D27" s="57" t="s">
        <v>1077</v>
      </c>
      <c r="E27" s="250" t="s">
        <v>941</v>
      </c>
      <c r="F27" s="250"/>
      <c r="H27" s="157" t="s">
        <v>1071</v>
      </c>
    </row>
    <row r="28" spans="3:10" x14ac:dyDescent="0.25">
      <c r="D28" s="152" t="s">
        <v>731</v>
      </c>
      <c r="E28" s="152" t="s">
        <v>729</v>
      </c>
      <c r="F28" s="152" t="s">
        <v>730</v>
      </c>
    </row>
    <row r="29" spans="3:10" x14ac:dyDescent="0.25">
      <c r="D29" s="111" t="s">
        <v>1094</v>
      </c>
      <c r="E29" s="57">
        <v>1</v>
      </c>
      <c r="F29" s="57">
        <v>4</v>
      </c>
    </row>
    <row r="30" spans="3:10" x14ac:dyDescent="0.25">
      <c r="D30" s="111" t="s">
        <v>524</v>
      </c>
      <c r="E30" s="57">
        <v>6</v>
      </c>
      <c r="F30" s="57">
        <v>6</v>
      </c>
    </row>
    <row r="31" spans="3:10" x14ac:dyDescent="0.25">
      <c r="D31" s="111" t="s">
        <v>1071</v>
      </c>
      <c r="E31" s="57">
        <v>13</v>
      </c>
      <c r="F31" s="57">
        <v>3</v>
      </c>
    </row>
    <row r="32" spans="3:10" x14ac:dyDescent="0.25">
      <c r="D32" s="111" t="s">
        <v>592</v>
      </c>
      <c r="E32" s="57">
        <v>17</v>
      </c>
      <c r="F32" s="57">
        <v>2</v>
      </c>
    </row>
    <row r="35" spans="4:6" ht="26.25" x14ac:dyDescent="0.4">
      <c r="D35" s="111" t="s">
        <v>1149</v>
      </c>
      <c r="E35" s="250" t="s">
        <v>941</v>
      </c>
      <c r="F35" s="250"/>
    </row>
    <row r="36" spans="4:6" x14ac:dyDescent="0.25">
      <c r="D36" s="152" t="s">
        <v>731</v>
      </c>
      <c r="E36" s="152" t="s">
        <v>729</v>
      </c>
      <c r="F36" s="152" t="s">
        <v>730</v>
      </c>
    </row>
    <row r="37" spans="4:6" x14ac:dyDescent="0.25">
      <c r="D37" s="111" t="s">
        <v>1094</v>
      </c>
      <c r="E37" s="57">
        <v>1</v>
      </c>
      <c r="F37" s="57">
        <v>6</v>
      </c>
    </row>
    <row r="38" spans="4:6" x14ac:dyDescent="0.25">
      <c r="D38" s="90" t="s">
        <v>140</v>
      </c>
      <c r="E38" s="57">
        <v>8</v>
      </c>
      <c r="F38" s="57">
        <v>3</v>
      </c>
    </row>
    <row r="41" spans="4:6" ht="45" x14ac:dyDescent="0.4">
      <c r="D41" s="155" t="s">
        <v>1267</v>
      </c>
      <c r="E41" s="250" t="s">
        <v>941</v>
      </c>
      <c r="F41" s="250"/>
    </row>
    <row r="42" spans="4:6" x14ac:dyDescent="0.25">
      <c r="D42" s="152" t="s">
        <v>731</v>
      </c>
      <c r="E42" s="152" t="s">
        <v>729</v>
      </c>
      <c r="F42" s="152" t="s">
        <v>730</v>
      </c>
    </row>
    <row r="43" spans="4:6" x14ac:dyDescent="0.25">
      <c r="D43" s="111" t="s">
        <v>1094</v>
      </c>
      <c r="E43" s="57">
        <v>1</v>
      </c>
      <c r="F43" s="57">
        <v>1</v>
      </c>
    </row>
    <row r="44" spans="4:6" x14ac:dyDescent="0.25">
      <c r="D44" s="111" t="s">
        <v>745</v>
      </c>
      <c r="E44" s="57">
        <v>3</v>
      </c>
      <c r="F44" s="57">
        <v>10</v>
      </c>
    </row>
    <row r="45" spans="4:6" x14ac:dyDescent="0.25">
      <c r="D45" s="111"/>
    </row>
    <row r="47" spans="4:6" ht="30" x14ac:dyDescent="0.4">
      <c r="D47" s="155" t="s">
        <v>1268</v>
      </c>
      <c r="E47" s="250" t="s">
        <v>941</v>
      </c>
      <c r="F47" s="250"/>
    </row>
    <row r="48" spans="4:6" x14ac:dyDescent="0.25">
      <c r="D48" s="152" t="s">
        <v>731</v>
      </c>
      <c r="E48" s="152" t="s">
        <v>729</v>
      </c>
      <c r="F48" s="152" t="s">
        <v>730</v>
      </c>
    </row>
    <row r="49" spans="4:6" x14ac:dyDescent="0.25">
      <c r="D49" s="111" t="s">
        <v>1094</v>
      </c>
      <c r="E49" s="57">
        <v>1</v>
      </c>
      <c r="F49" s="57">
        <v>2</v>
      </c>
    </row>
    <row r="50" spans="4:6" x14ac:dyDescent="0.25">
      <c r="D50" s="111" t="s">
        <v>745</v>
      </c>
      <c r="E50" s="57">
        <v>4</v>
      </c>
      <c r="F50" s="57">
        <v>10</v>
      </c>
    </row>
    <row r="53" spans="4:6" ht="26.25" x14ac:dyDescent="0.4">
      <c r="D53" s="155" t="s">
        <v>1269</v>
      </c>
      <c r="E53" s="250" t="s">
        <v>941</v>
      </c>
      <c r="F53" s="250"/>
    </row>
    <row r="54" spans="4:6" x14ac:dyDescent="0.25">
      <c r="D54" s="152" t="s">
        <v>731</v>
      </c>
      <c r="E54" s="152" t="s">
        <v>729</v>
      </c>
      <c r="F54" s="152" t="s">
        <v>730</v>
      </c>
    </row>
    <row r="55" spans="4:6" x14ac:dyDescent="0.25">
      <c r="D55" s="111" t="s">
        <v>1094</v>
      </c>
      <c r="E55" s="57">
        <v>1</v>
      </c>
      <c r="F55" s="57">
        <v>4</v>
      </c>
    </row>
    <row r="56" spans="4:6" x14ac:dyDescent="0.25">
      <c r="D56" s="113" t="s">
        <v>1119</v>
      </c>
      <c r="E56" s="112">
        <v>6</v>
      </c>
      <c r="F56" s="112">
        <v>7</v>
      </c>
    </row>
    <row r="57" spans="4:6" x14ac:dyDescent="0.25">
      <c r="D57" s="113" t="s">
        <v>1127</v>
      </c>
      <c r="E57" s="112">
        <v>14</v>
      </c>
      <c r="F57" s="112">
        <v>2</v>
      </c>
    </row>
  </sheetData>
  <mergeCells count="10">
    <mergeCell ref="E41:F41"/>
    <mergeCell ref="E47:F47"/>
    <mergeCell ref="E53:F53"/>
    <mergeCell ref="E5:F5"/>
    <mergeCell ref="E13:F13"/>
    <mergeCell ref="I5:J5"/>
    <mergeCell ref="E20:F20"/>
    <mergeCell ref="E27:F27"/>
    <mergeCell ref="I13:J13"/>
    <mergeCell ref="E35:F3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showGridLines="0" topLeftCell="A35" workbookViewId="0">
      <selection activeCell="D41" sqref="D41"/>
    </sheetView>
  </sheetViews>
  <sheetFormatPr defaultRowHeight="15" x14ac:dyDescent="0.25"/>
  <cols>
    <col min="1" max="1" width="37.42578125" customWidth="1"/>
    <col min="2" max="2" width="23.5703125" customWidth="1"/>
    <col min="3" max="3" width="32" style="90" bestFit="1" customWidth="1"/>
    <col min="4" max="4" width="8.28515625" style="90" bestFit="1" customWidth="1"/>
    <col min="5" max="5" width="6.5703125" style="90" bestFit="1" customWidth="1"/>
  </cols>
  <sheetData>
    <row r="1" spans="2:5" x14ac:dyDescent="0.25">
      <c r="C1" s="251" t="s">
        <v>1339</v>
      </c>
    </row>
    <row r="2" spans="2:5" x14ac:dyDescent="0.25">
      <c r="C2" s="251"/>
    </row>
    <row r="3" spans="2:5" x14ac:dyDescent="0.25">
      <c r="C3" s="152" t="s">
        <v>731</v>
      </c>
      <c r="D3" s="152" t="s">
        <v>729</v>
      </c>
      <c r="E3" s="152" t="s">
        <v>730</v>
      </c>
    </row>
    <row r="4" spans="2:5" x14ac:dyDescent="0.25">
      <c r="C4" s="162" t="s">
        <v>1335</v>
      </c>
      <c r="D4" s="90" t="s">
        <v>1273</v>
      </c>
      <c r="E4" s="90">
        <v>2</v>
      </c>
    </row>
    <row r="5" spans="2:5" x14ac:dyDescent="0.25">
      <c r="C5" s="161" t="s">
        <v>17</v>
      </c>
      <c r="D5" s="90" t="s">
        <v>1274</v>
      </c>
      <c r="E5" s="90">
        <v>17</v>
      </c>
    </row>
    <row r="6" spans="2:5" x14ac:dyDescent="0.25">
      <c r="C6" s="162" t="s">
        <v>748</v>
      </c>
      <c r="D6" s="90" t="s">
        <v>1275</v>
      </c>
      <c r="E6" s="90">
        <v>2</v>
      </c>
    </row>
    <row r="7" spans="2:5" x14ac:dyDescent="0.25">
      <c r="C7" s="161" t="s">
        <v>749</v>
      </c>
      <c r="D7" s="90" t="s">
        <v>1276</v>
      </c>
      <c r="E7" s="90">
        <v>2</v>
      </c>
    </row>
    <row r="8" spans="2:5" x14ac:dyDescent="0.25">
      <c r="C8" s="162" t="s">
        <v>750</v>
      </c>
      <c r="D8" s="90" t="s">
        <v>1277</v>
      </c>
      <c r="E8" s="90">
        <v>2</v>
      </c>
    </row>
    <row r="9" spans="2:5" x14ac:dyDescent="0.25">
      <c r="C9" s="161" t="s">
        <v>751</v>
      </c>
      <c r="D9" s="90">
        <v>96</v>
      </c>
      <c r="E9" s="90">
        <v>2</v>
      </c>
    </row>
    <row r="10" spans="2:5" x14ac:dyDescent="0.25">
      <c r="C10" s="162" t="s">
        <v>752</v>
      </c>
      <c r="D10" s="90">
        <v>99</v>
      </c>
      <c r="E10" s="90">
        <v>2</v>
      </c>
    </row>
    <row r="11" spans="2:5" x14ac:dyDescent="0.25">
      <c r="C11" s="161" t="s">
        <v>753</v>
      </c>
      <c r="D11" s="90">
        <v>102</v>
      </c>
      <c r="E11" s="90">
        <v>2</v>
      </c>
    </row>
    <row r="12" spans="2:5" x14ac:dyDescent="0.25">
      <c r="C12" s="162" t="s">
        <v>754</v>
      </c>
      <c r="D12" s="90">
        <v>105</v>
      </c>
      <c r="E12" s="90">
        <v>2</v>
      </c>
    </row>
    <row r="13" spans="2:5" x14ac:dyDescent="0.25">
      <c r="C13" s="161" t="s">
        <v>755</v>
      </c>
      <c r="D13" s="90">
        <v>108</v>
      </c>
      <c r="E13" s="90">
        <v>2</v>
      </c>
    </row>
    <row r="14" spans="2:5" x14ac:dyDescent="0.25">
      <c r="C14" s="162" t="s">
        <v>756</v>
      </c>
      <c r="D14" s="90">
        <v>111</v>
      </c>
      <c r="E14" s="90">
        <v>2</v>
      </c>
    </row>
    <row r="15" spans="2:5" x14ac:dyDescent="0.25">
      <c r="C15" s="161" t="s">
        <v>757</v>
      </c>
      <c r="D15" s="90">
        <v>114</v>
      </c>
      <c r="E15" s="90">
        <v>2</v>
      </c>
    </row>
    <row r="16" spans="2:5" x14ac:dyDescent="0.25">
      <c r="B16" s="114"/>
      <c r="C16" s="162" t="s">
        <v>726</v>
      </c>
      <c r="D16" s="90" t="s">
        <v>1278</v>
      </c>
      <c r="E16" s="90">
        <v>6</v>
      </c>
    </row>
    <row r="17" spans="3:5" x14ac:dyDescent="0.25">
      <c r="C17" s="161" t="s">
        <v>741</v>
      </c>
      <c r="D17" s="90" t="s">
        <v>1279</v>
      </c>
      <c r="E17" s="90">
        <v>6</v>
      </c>
    </row>
    <row r="18" spans="3:5" x14ac:dyDescent="0.25">
      <c r="C18" s="162" t="s">
        <v>742</v>
      </c>
      <c r="D18" s="90" t="s">
        <v>1280</v>
      </c>
      <c r="E18" s="90">
        <v>10</v>
      </c>
    </row>
    <row r="19" spans="3:5" x14ac:dyDescent="0.25">
      <c r="C19" s="161" t="s">
        <v>743</v>
      </c>
      <c r="D19" s="90" t="s">
        <v>1281</v>
      </c>
      <c r="E19" s="90">
        <v>5</v>
      </c>
    </row>
    <row r="20" spans="3:5" x14ac:dyDescent="0.25">
      <c r="C20" s="162" t="s">
        <v>644</v>
      </c>
      <c r="D20" s="90" t="s">
        <v>1282</v>
      </c>
      <c r="E20" s="90">
        <v>5</v>
      </c>
    </row>
    <row r="21" spans="3:5" x14ac:dyDescent="0.25">
      <c r="C21" s="161" t="s">
        <v>646</v>
      </c>
      <c r="D21" s="90" t="s">
        <v>1283</v>
      </c>
      <c r="E21" s="90">
        <v>7</v>
      </c>
    </row>
    <row r="22" spans="3:5" x14ac:dyDescent="0.25">
      <c r="C22" s="162" t="s">
        <v>1128</v>
      </c>
      <c r="D22" s="90" t="s">
        <v>1284</v>
      </c>
    </row>
    <row r="23" spans="3:5" x14ac:dyDescent="0.25">
      <c r="C23" s="161" t="s">
        <v>17</v>
      </c>
      <c r="D23" s="90" t="s">
        <v>1285</v>
      </c>
      <c r="E23" s="90">
        <v>17</v>
      </c>
    </row>
    <row r="24" spans="3:5" x14ac:dyDescent="0.25">
      <c r="C24" s="162" t="s">
        <v>113</v>
      </c>
      <c r="D24" s="90" t="s">
        <v>1286</v>
      </c>
      <c r="E24" s="90">
        <v>4</v>
      </c>
    </row>
    <row r="25" spans="3:5" x14ac:dyDescent="0.25">
      <c r="C25" s="161" t="s">
        <v>116</v>
      </c>
      <c r="D25" s="90" t="s">
        <v>1287</v>
      </c>
      <c r="E25" s="90">
        <v>8</v>
      </c>
    </row>
    <row r="26" spans="3:5" x14ac:dyDescent="0.25">
      <c r="C26" s="162" t="s">
        <v>887</v>
      </c>
      <c r="D26" s="90" t="s">
        <v>1288</v>
      </c>
      <c r="E26" s="90">
        <v>6</v>
      </c>
    </row>
    <row r="27" spans="3:5" x14ac:dyDescent="0.25">
      <c r="C27" s="161" t="s">
        <v>1129</v>
      </c>
      <c r="D27" s="90" t="s">
        <v>1289</v>
      </c>
    </row>
    <row r="28" spans="3:5" x14ac:dyDescent="0.25">
      <c r="C28" s="162" t="s">
        <v>114</v>
      </c>
      <c r="D28" s="90" t="s">
        <v>1290</v>
      </c>
      <c r="E28" s="90">
        <v>2</v>
      </c>
    </row>
    <row r="29" spans="3:5" x14ac:dyDescent="0.25">
      <c r="C29" s="161" t="s">
        <v>803</v>
      </c>
      <c r="D29" s="90" t="s">
        <v>1291</v>
      </c>
      <c r="E29" s="90">
        <v>3</v>
      </c>
    </row>
    <row r="30" spans="3:5" x14ac:dyDescent="0.25">
      <c r="C30" s="162" t="s">
        <v>804</v>
      </c>
      <c r="D30" s="90" t="s">
        <v>1292</v>
      </c>
      <c r="E30" s="90">
        <v>3</v>
      </c>
    </row>
    <row r="31" spans="3:5" x14ac:dyDescent="0.25">
      <c r="C31" s="161" t="s">
        <v>120</v>
      </c>
      <c r="D31" s="90" t="s">
        <v>1293</v>
      </c>
      <c r="E31" s="90">
        <v>4</v>
      </c>
    </row>
    <row r="32" spans="3:5" x14ac:dyDescent="0.25">
      <c r="C32" s="162" t="s">
        <v>121</v>
      </c>
      <c r="D32" s="90" t="s">
        <v>1294</v>
      </c>
      <c r="E32" s="90">
        <v>6</v>
      </c>
    </row>
    <row r="33" spans="2:5" x14ac:dyDescent="0.25">
      <c r="C33" s="161" t="s">
        <v>745</v>
      </c>
      <c r="D33" s="90" t="s">
        <v>1295</v>
      </c>
      <c r="E33" s="90">
        <v>7</v>
      </c>
    </row>
    <row r="34" spans="2:5" x14ac:dyDescent="0.25">
      <c r="C34" s="162" t="s">
        <v>122</v>
      </c>
      <c r="D34" s="90" t="s">
        <v>1296</v>
      </c>
      <c r="E34" s="90">
        <v>6</v>
      </c>
    </row>
    <row r="35" spans="2:5" x14ac:dyDescent="0.25">
      <c r="C35" s="161" t="s">
        <v>746</v>
      </c>
      <c r="D35" s="90" t="s">
        <v>1297</v>
      </c>
      <c r="E35" s="90">
        <v>9</v>
      </c>
    </row>
    <row r="36" spans="2:5" x14ac:dyDescent="0.25">
      <c r="B36" s="114"/>
      <c r="C36" s="162" t="s">
        <v>1337</v>
      </c>
      <c r="D36" s="90" t="s">
        <v>1298</v>
      </c>
      <c r="E36" s="90">
        <v>1</v>
      </c>
    </row>
    <row r="37" spans="2:5" x14ac:dyDescent="0.25">
      <c r="C37" s="161" t="s">
        <v>1338</v>
      </c>
      <c r="D37" s="90" t="s">
        <v>1299</v>
      </c>
      <c r="E37" s="90">
        <v>30</v>
      </c>
    </row>
    <row r="38" spans="2:5" x14ac:dyDescent="0.25">
      <c r="C38" s="162" t="s">
        <v>1096</v>
      </c>
      <c r="D38" s="90" t="s">
        <v>1300</v>
      </c>
      <c r="E38" s="90">
        <v>26</v>
      </c>
    </row>
    <row r="39" spans="2:5" x14ac:dyDescent="0.25">
      <c r="C39" s="161" t="s">
        <v>1159</v>
      </c>
      <c r="D39" s="90" t="s">
        <v>1301</v>
      </c>
      <c r="E39" s="90">
        <v>25</v>
      </c>
    </row>
    <row r="40" spans="2:5" x14ac:dyDescent="0.25">
      <c r="C40" s="162" t="s">
        <v>890</v>
      </c>
      <c r="D40" s="90" t="s">
        <v>1302</v>
      </c>
      <c r="E40" s="90">
        <v>17</v>
      </c>
    </row>
    <row r="41" spans="2:5" x14ac:dyDescent="0.25">
      <c r="C41" s="161" t="s">
        <v>891</v>
      </c>
      <c r="E41" s="90">
        <v>2</v>
      </c>
    </row>
    <row r="42" spans="2:5" x14ac:dyDescent="0.25">
      <c r="C42" s="162" t="s">
        <v>126</v>
      </c>
      <c r="D42" s="90" t="s">
        <v>1303</v>
      </c>
      <c r="E42" s="90">
        <v>5</v>
      </c>
    </row>
    <row r="43" spans="2:5" x14ac:dyDescent="0.25">
      <c r="C43" s="161" t="s">
        <v>811</v>
      </c>
      <c r="D43" s="90" t="s">
        <v>1304</v>
      </c>
      <c r="E43" s="90">
        <v>1</v>
      </c>
    </row>
    <row r="44" spans="2:5" x14ac:dyDescent="0.25">
      <c r="C44" s="162" t="s">
        <v>812</v>
      </c>
      <c r="D44" s="90" t="s">
        <v>1305</v>
      </c>
      <c r="E44" s="90">
        <v>30</v>
      </c>
    </row>
    <row r="45" spans="2:5" x14ac:dyDescent="0.25">
      <c r="C45" s="161" t="s">
        <v>130</v>
      </c>
      <c r="D45" s="90" t="s">
        <v>1306</v>
      </c>
      <c r="E45" s="90">
        <v>8</v>
      </c>
    </row>
    <row r="46" spans="2:5" x14ac:dyDescent="0.25">
      <c r="C46" s="162" t="s">
        <v>651</v>
      </c>
      <c r="D46" s="90" t="s">
        <v>1307</v>
      </c>
      <c r="E46" s="90">
        <v>8</v>
      </c>
    </row>
    <row r="47" spans="2:5" x14ac:dyDescent="0.25">
      <c r="C47" s="161" t="s">
        <v>132</v>
      </c>
      <c r="D47" s="90" t="s">
        <v>1308</v>
      </c>
      <c r="E47" s="90">
        <v>25</v>
      </c>
    </row>
    <row r="48" spans="2:5" x14ac:dyDescent="0.25">
      <c r="C48" s="162" t="s">
        <v>892</v>
      </c>
      <c r="D48" s="90" t="s">
        <v>1309</v>
      </c>
      <c r="E48" s="90">
        <v>17</v>
      </c>
    </row>
    <row r="49" spans="3:5" x14ac:dyDescent="0.25">
      <c r="C49" s="161" t="s">
        <v>893</v>
      </c>
      <c r="E49" s="90">
        <v>2</v>
      </c>
    </row>
    <row r="50" spans="3:5" x14ac:dyDescent="0.25">
      <c r="C50" s="162" t="s">
        <v>894</v>
      </c>
      <c r="D50" s="90" t="s">
        <v>1310</v>
      </c>
      <c r="E50" s="90">
        <v>5</v>
      </c>
    </row>
    <row r="51" spans="3:5" x14ac:dyDescent="0.25">
      <c r="C51" s="161" t="s">
        <v>133</v>
      </c>
      <c r="D51" s="90" t="s">
        <v>1311</v>
      </c>
      <c r="E51" s="90">
        <v>28</v>
      </c>
    </row>
    <row r="52" spans="3:5" x14ac:dyDescent="0.25">
      <c r="C52" s="162" t="s">
        <v>656</v>
      </c>
      <c r="D52" s="90" t="s">
        <v>1312</v>
      </c>
      <c r="E52" s="90">
        <v>12</v>
      </c>
    </row>
    <row r="53" spans="3:5" x14ac:dyDescent="0.25">
      <c r="C53" s="161" t="s">
        <v>1132</v>
      </c>
      <c r="D53" s="90" t="s">
        <v>1313</v>
      </c>
      <c r="E53" s="90">
        <v>6</v>
      </c>
    </row>
    <row r="54" spans="3:5" x14ac:dyDescent="0.25">
      <c r="C54" s="162" t="s">
        <v>895</v>
      </c>
      <c r="D54" s="90" t="s">
        <v>1314</v>
      </c>
      <c r="E54" s="90">
        <v>25</v>
      </c>
    </row>
    <row r="55" spans="3:5" x14ac:dyDescent="0.25">
      <c r="C55" s="161" t="s">
        <v>896</v>
      </c>
      <c r="D55" s="90" t="s">
        <v>1315</v>
      </c>
      <c r="E55" s="90">
        <v>16</v>
      </c>
    </row>
    <row r="56" spans="3:5" x14ac:dyDescent="0.25">
      <c r="C56" s="162" t="s">
        <v>897</v>
      </c>
      <c r="E56" s="90">
        <v>2</v>
      </c>
    </row>
    <row r="57" spans="3:5" x14ac:dyDescent="0.25">
      <c r="C57" s="161" t="s">
        <v>906</v>
      </c>
      <c r="D57" s="90" t="s">
        <v>1316</v>
      </c>
      <c r="E57" s="90">
        <v>5</v>
      </c>
    </row>
    <row r="58" spans="3:5" x14ac:dyDescent="0.25">
      <c r="C58" s="162" t="s">
        <v>530</v>
      </c>
      <c r="D58" s="90" t="s">
        <v>1317</v>
      </c>
    </row>
    <row r="59" spans="3:5" x14ac:dyDescent="0.25">
      <c r="C59" s="161" t="s">
        <v>134</v>
      </c>
      <c r="D59" s="90" t="s">
        <v>1318</v>
      </c>
      <c r="E59" s="90">
        <v>1</v>
      </c>
    </row>
    <row r="60" spans="3:5" x14ac:dyDescent="0.25">
      <c r="C60" s="162" t="s">
        <v>135</v>
      </c>
      <c r="D60" s="90" t="s">
        <v>1319</v>
      </c>
      <c r="E60" s="90">
        <v>6</v>
      </c>
    </row>
    <row r="61" spans="3:5" x14ac:dyDescent="0.25">
      <c r="C61" s="161" t="s">
        <v>136</v>
      </c>
      <c r="D61" s="90" t="s">
        <v>1320</v>
      </c>
      <c r="E61" s="90">
        <v>8</v>
      </c>
    </row>
    <row r="62" spans="3:5" x14ac:dyDescent="0.25">
      <c r="C62" s="162" t="s">
        <v>137</v>
      </c>
      <c r="D62" s="90" t="s">
        <v>1321</v>
      </c>
      <c r="E62" s="90">
        <v>2</v>
      </c>
    </row>
    <row r="63" spans="3:5" x14ac:dyDescent="0.25">
      <c r="C63" s="161" t="s">
        <v>538</v>
      </c>
      <c r="D63" s="90" t="s">
        <v>1322</v>
      </c>
      <c r="E63" s="90">
        <v>7</v>
      </c>
    </row>
    <row r="64" spans="3:5" x14ac:dyDescent="0.25">
      <c r="C64" s="162" t="s">
        <v>541</v>
      </c>
      <c r="D64" s="90" t="s">
        <v>1323</v>
      </c>
      <c r="E64" s="90">
        <v>4</v>
      </c>
    </row>
    <row r="65" spans="3:5" x14ac:dyDescent="0.25">
      <c r="C65" s="161" t="s">
        <v>210</v>
      </c>
      <c r="D65" s="90" t="s">
        <v>1324</v>
      </c>
      <c r="E65" s="90">
        <v>10</v>
      </c>
    </row>
    <row r="66" spans="3:5" x14ac:dyDescent="0.25">
      <c r="C66" s="162" t="s">
        <v>551</v>
      </c>
      <c r="D66" s="90" t="s">
        <v>1325</v>
      </c>
      <c r="E66" s="90">
        <v>2</v>
      </c>
    </row>
    <row r="67" spans="3:5" x14ac:dyDescent="0.25">
      <c r="C67" s="161" t="s">
        <v>1133</v>
      </c>
      <c r="D67" s="90" t="s">
        <v>1326</v>
      </c>
      <c r="E67" s="90">
        <v>6</v>
      </c>
    </row>
    <row r="68" spans="3:5" x14ac:dyDescent="0.25">
      <c r="C68" s="162" t="s">
        <v>556</v>
      </c>
      <c r="D68" s="90" t="s">
        <v>1327</v>
      </c>
      <c r="E68" s="90">
        <v>2</v>
      </c>
    </row>
    <row r="69" spans="3:5" x14ac:dyDescent="0.25">
      <c r="C69" s="161" t="s">
        <v>1134</v>
      </c>
      <c r="D69" s="90" t="s">
        <v>1328</v>
      </c>
      <c r="E69" s="90">
        <v>6</v>
      </c>
    </row>
    <row r="70" spans="3:5" x14ac:dyDescent="0.25">
      <c r="C70" s="162" t="s">
        <v>563</v>
      </c>
      <c r="D70" s="90" t="s">
        <v>1329</v>
      </c>
      <c r="E70" s="90">
        <v>10</v>
      </c>
    </row>
    <row r="71" spans="3:5" x14ac:dyDescent="0.25">
      <c r="C71" s="161" t="s">
        <v>613</v>
      </c>
      <c r="D71" s="90" t="s">
        <v>1330</v>
      </c>
      <c r="E71" s="90">
        <v>2</v>
      </c>
    </row>
    <row r="72" spans="3:5" x14ac:dyDescent="0.25">
      <c r="C72" s="162" t="s">
        <v>106</v>
      </c>
      <c r="D72" s="90" t="s">
        <v>1331</v>
      </c>
      <c r="E72" s="90">
        <v>4</v>
      </c>
    </row>
    <row r="73" spans="3:5" x14ac:dyDescent="0.25">
      <c r="C73"/>
      <c r="D73"/>
      <c r="E73"/>
    </row>
    <row r="74" spans="3:5" x14ac:dyDescent="0.25">
      <c r="C74"/>
      <c r="D74"/>
      <c r="E74"/>
    </row>
    <row r="75" spans="3:5" x14ac:dyDescent="0.25">
      <c r="C75"/>
      <c r="D75"/>
      <c r="E75"/>
    </row>
    <row r="76" spans="3:5" x14ac:dyDescent="0.25">
      <c r="C76"/>
      <c r="D76"/>
      <c r="E76"/>
    </row>
    <row r="77" spans="3:5" x14ac:dyDescent="0.25">
      <c r="C77"/>
      <c r="D77"/>
      <c r="E77"/>
    </row>
    <row r="78" spans="3:5" x14ac:dyDescent="0.25">
      <c r="C78"/>
      <c r="D78"/>
      <c r="E78"/>
    </row>
    <row r="79" spans="3:5" x14ac:dyDescent="0.25">
      <c r="C79"/>
      <c r="D79"/>
      <c r="E79"/>
    </row>
    <row r="80" spans="3:5" x14ac:dyDescent="0.25">
      <c r="C80"/>
      <c r="D80"/>
      <c r="E80"/>
    </row>
    <row r="81" spans="3:5" x14ac:dyDescent="0.25">
      <c r="C81"/>
      <c r="D81"/>
      <c r="E81"/>
    </row>
    <row r="82" spans="3:5" x14ac:dyDescent="0.25">
      <c r="C82"/>
      <c r="D82"/>
      <c r="E82"/>
    </row>
    <row r="83" spans="3:5" x14ac:dyDescent="0.25">
      <c r="C83"/>
      <c r="D83"/>
      <c r="E83"/>
    </row>
    <row r="84" spans="3:5" x14ac:dyDescent="0.25">
      <c r="C84"/>
      <c r="D84"/>
      <c r="E84"/>
    </row>
    <row r="85" spans="3:5" x14ac:dyDescent="0.25">
      <c r="C85"/>
      <c r="D85"/>
      <c r="E85"/>
    </row>
    <row r="86" spans="3:5" x14ac:dyDescent="0.25">
      <c r="C86"/>
      <c r="D86"/>
      <c r="E86"/>
    </row>
    <row r="87" spans="3:5" x14ac:dyDescent="0.25">
      <c r="C87"/>
      <c r="D87"/>
      <c r="E87"/>
    </row>
    <row r="88" spans="3:5" x14ac:dyDescent="0.25">
      <c r="C88"/>
      <c r="D88"/>
      <c r="E88"/>
    </row>
    <row r="89" spans="3:5" x14ac:dyDescent="0.25">
      <c r="C89"/>
      <c r="D89"/>
      <c r="E89"/>
    </row>
    <row r="90" spans="3:5" x14ac:dyDescent="0.25">
      <c r="C90"/>
      <c r="D90"/>
      <c r="E90"/>
    </row>
    <row r="91" spans="3:5" x14ac:dyDescent="0.25">
      <c r="C91"/>
      <c r="D91"/>
      <c r="E91"/>
    </row>
    <row r="92" spans="3:5" x14ac:dyDescent="0.25">
      <c r="C92"/>
      <c r="D92"/>
      <c r="E92"/>
    </row>
  </sheetData>
  <mergeCells count="1">
    <mergeCell ref="C1:C2"/>
  </mergeCells>
  <conditionalFormatting sqref="C5">
    <cfRule type="duplicateValues" dxfId="50" priority="52"/>
  </conditionalFormatting>
  <conditionalFormatting sqref="C5">
    <cfRule type="duplicateValues" dxfId="49" priority="51"/>
  </conditionalFormatting>
  <conditionalFormatting sqref="C4">
    <cfRule type="duplicateValues" dxfId="48" priority="50"/>
  </conditionalFormatting>
  <conditionalFormatting sqref="C4">
    <cfRule type="duplicateValues" dxfId="47" priority="49"/>
  </conditionalFormatting>
  <conditionalFormatting sqref="C4:C72">
    <cfRule type="duplicateValues" dxfId="46" priority="48"/>
  </conditionalFormatting>
  <conditionalFormatting sqref="C4:C72">
    <cfRule type="duplicateValues" dxfId="45" priority="47"/>
  </conditionalFormatting>
  <conditionalFormatting sqref="C16:C17">
    <cfRule type="duplicateValues" dxfId="44" priority="46"/>
  </conditionalFormatting>
  <conditionalFormatting sqref="C16:C17">
    <cfRule type="duplicateValues" dxfId="43" priority="45"/>
  </conditionalFormatting>
  <conditionalFormatting sqref="C23">
    <cfRule type="duplicateValues" dxfId="42" priority="42"/>
  </conditionalFormatting>
  <conditionalFormatting sqref="C23">
    <cfRule type="duplicateValues" dxfId="41" priority="41"/>
  </conditionalFormatting>
  <conditionalFormatting sqref="C24">
    <cfRule type="duplicateValues" dxfId="40" priority="40"/>
  </conditionalFormatting>
  <conditionalFormatting sqref="C24">
    <cfRule type="duplicateValues" dxfId="39" priority="39"/>
  </conditionalFormatting>
  <conditionalFormatting sqref="C26">
    <cfRule type="duplicateValues" dxfId="38" priority="38"/>
  </conditionalFormatting>
  <conditionalFormatting sqref="C26">
    <cfRule type="duplicateValues" dxfId="37" priority="37"/>
  </conditionalFormatting>
  <conditionalFormatting sqref="C27 C18:C22">
    <cfRule type="duplicateValues" dxfId="36" priority="53"/>
  </conditionalFormatting>
  <conditionalFormatting sqref="C28:C31">
    <cfRule type="duplicateValues" dxfId="35" priority="36"/>
  </conditionalFormatting>
  <conditionalFormatting sqref="C28:C31">
    <cfRule type="duplicateValues" dxfId="34" priority="35"/>
  </conditionalFormatting>
  <conditionalFormatting sqref="C32">
    <cfRule type="duplicateValues" dxfId="33" priority="34"/>
  </conditionalFormatting>
  <conditionalFormatting sqref="C32">
    <cfRule type="duplicateValues" dxfId="32" priority="33"/>
  </conditionalFormatting>
  <conditionalFormatting sqref="C33">
    <cfRule type="duplicateValues" dxfId="31" priority="32"/>
  </conditionalFormatting>
  <conditionalFormatting sqref="C33">
    <cfRule type="duplicateValues" dxfId="30" priority="31"/>
  </conditionalFormatting>
  <conditionalFormatting sqref="C34">
    <cfRule type="duplicateValues" dxfId="29" priority="30"/>
  </conditionalFormatting>
  <conditionalFormatting sqref="C34">
    <cfRule type="duplicateValues" dxfId="28" priority="29"/>
  </conditionalFormatting>
  <conditionalFormatting sqref="C35">
    <cfRule type="duplicateValues" dxfId="27" priority="28"/>
  </conditionalFormatting>
  <conditionalFormatting sqref="C35">
    <cfRule type="duplicateValues" dxfId="26" priority="27"/>
  </conditionalFormatting>
  <conditionalFormatting sqref="C36:C37">
    <cfRule type="duplicateValues" dxfId="25" priority="26"/>
  </conditionalFormatting>
  <conditionalFormatting sqref="C36:C37">
    <cfRule type="duplicateValues" dxfId="24" priority="25"/>
  </conditionalFormatting>
  <conditionalFormatting sqref="C39">
    <cfRule type="duplicateValues" dxfId="23" priority="24"/>
  </conditionalFormatting>
  <conditionalFormatting sqref="C39">
    <cfRule type="duplicateValues" dxfId="22" priority="23"/>
  </conditionalFormatting>
  <conditionalFormatting sqref="C40:C42">
    <cfRule type="duplicateValues" dxfId="21" priority="22"/>
  </conditionalFormatting>
  <conditionalFormatting sqref="C40:C42">
    <cfRule type="duplicateValues" dxfId="20" priority="21"/>
  </conditionalFormatting>
  <conditionalFormatting sqref="C43:C44">
    <cfRule type="duplicateValues" dxfId="19" priority="20"/>
  </conditionalFormatting>
  <conditionalFormatting sqref="C43:C44">
    <cfRule type="duplicateValues" dxfId="18" priority="19"/>
  </conditionalFormatting>
  <conditionalFormatting sqref="C45:C47">
    <cfRule type="duplicateValues" dxfId="17" priority="18"/>
  </conditionalFormatting>
  <conditionalFormatting sqref="C45:C47">
    <cfRule type="duplicateValues" dxfId="16" priority="17"/>
  </conditionalFormatting>
  <conditionalFormatting sqref="C48:C50">
    <cfRule type="duplicateValues" dxfId="15" priority="16"/>
  </conditionalFormatting>
  <conditionalFormatting sqref="C48:C50">
    <cfRule type="duplicateValues" dxfId="14" priority="15"/>
  </conditionalFormatting>
  <conditionalFormatting sqref="C51">
    <cfRule type="duplicateValues" dxfId="13" priority="14"/>
  </conditionalFormatting>
  <conditionalFormatting sqref="C51">
    <cfRule type="duplicateValues" dxfId="12" priority="13"/>
  </conditionalFormatting>
  <conditionalFormatting sqref="C52:C57">
    <cfRule type="duplicateValues" dxfId="11" priority="12"/>
  </conditionalFormatting>
  <conditionalFormatting sqref="C52:C57">
    <cfRule type="duplicateValues" dxfId="10" priority="11"/>
  </conditionalFormatting>
  <conditionalFormatting sqref="C58:C69">
    <cfRule type="duplicateValues" dxfId="9" priority="10"/>
  </conditionalFormatting>
  <conditionalFormatting sqref="C58:C69">
    <cfRule type="duplicateValues" dxfId="8" priority="9"/>
  </conditionalFormatting>
  <conditionalFormatting sqref="C70">
    <cfRule type="duplicateValues" dxfId="7" priority="8"/>
  </conditionalFormatting>
  <conditionalFormatting sqref="C70">
    <cfRule type="duplicateValues" dxfId="6" priority="7"/>
  </conditionalFormatting>
  <conditionalFormatting sqref="C71:C72">
    <cfRule type="duplicateValues" dxfId="5" priority="6"/>
  </conditionalFormatting>
  <conditionalFormatting sqref="C71:C72">
    <cfRule type="duplicateValues" dxfId="4" priority="5"/>
  </conditionalFormatting>
  <conditionalFormatting sqref="C25">
    <cfRule type="duplicateValues" dxfId="3" priority="4"/>
  </conditionalFormatting>
  <conditionalFormatting sqref="C25">
    <cfRule type="duplicateValues" dxfId="2" priority="3"/>
  </conditionalFormatting>
  <conditionalFormatting sqref="C38">
    <cfRule type="duplicateValues" dxfId="1" priority="2"/>
  </conditionalFormatting>
  <conditionalFormatting sqref="C38">
    <cfRule type="duplicateValues" dxfId="0" priority="1"/>
  </conditionalFormatting>
  <pageMargins left="0.7" right="0.7" top="0.75" bottom="0.75" header="0.3" footer="0.3"/>
  <ignoredErrors>
    <ignoredError sqref="D4:D5 D6:D8 D16:D22 D23:D72"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2"/>
  <sheetViews>
    <sheetView showGridLines="0" workbookViewId="0">
      <selection activeCell="F83" sqref="F83:G83"/>
    </sheetView>
  </sheetViews>
  <sheetFormatPr defaultRowHeight="15" x14ac:dyDescent="0.25"/>
  <cols>
    <col min="3" max="3" width="22.85546875" style="160" customWidth="1"/>
    <col min="4" max="4" width="23" style="160" customWidth="1"/>
    <col min="5" max="5" width="11.140625" style="160" customWidth="1"/>
    <col min="6" max="6" width="12.85546875" style="160" customWidth="1"/>
    <col min="7" max="7" width="15.28515625" style="160" customWidth="1"/>
    <col min="8" max="8" width="12.85546875" style="160" customWidth="1"/>
    <col min="9" max="9" width="15.28515625" style="160" customWidth="1"/>
    <col min="10" max="10" width="12.85546875" style="59" customWidth="1"/>
    <col min="11" max="11" width="15.28515625" style="59" customWidth="1"/>
  </cols>
  <sheetData>
    <row r="1" spans="3:11" ht="26.25" x14ac:dyDescent="0.4">
      <c r="D1" s="257" t="s">
        <v>941</v>
      </c>
      <c r="E1" s="257"/>
      <c r="F1" s="257"/>
      <c r="G1" s="257"/>
      <c r="H1" s="257"/>
      <c r="I1" s="257"/>
      <c r="J1" s="257"/>
      <c r="K1" s="257"/>
    </row>
    <row r="2" spans="3:11" ht="107.25" customHeight="1" x14ac:dyDescent="0.25">
      <c r="C2" s="158"/>
      <c r="D2" s="170" t="s">
        <v>942</v>
      </c>
      <c r="E2" s="159"/>
      <c r="F2" s="159" t="s">
        <v>908</v>
      </c>
      <c r="G2" s="159"/>
      <c r="H2" s="159" t="s">
        <v>878</v>
      </c>
      <c r="I2" s="159"/>
      <c r="J2" s="159" t="s">
        <v>879</v>
      </c>
      <c r="K2" s="159"/>
    </row>
    <row r="3" spans="3:11" x14ac:dyDescent="0.25">
      <c r="C3" s="158" t="s">
        <v>731</v>
      </c>
      <c r="D3" s="158" t="s">
        <v>729</v>
      </c>
      <c r="E3" s="158" t="s">
        <v>730</v>
      </c>
      <c r="F3" s="171" t="s">
        <v>729</v>
      </c>
      <c r="G3" s="171" t="s">
        <v>730</v>
      </c>
      <c r="H3" s="171" t="s">
        <v>729</v>
      </c>
      <c r="I3" s="171" t="s">
        <v>730</v>
      </c>
      <c r="J3" s="173" t="s">
        <v>729</v>
      </c>
      <c r="K3" s="173" t="s">
        <v>730</v>
      </c>
    </row>
    <row r="4" spans="3:11" x14ac:dyDescent="0.25">
      <c r="C4" s="158" t="s">
        <v>955</v>
      </c>
      <c r="D4" s="158">
        <v>1</v>
      </c>
      <c r="E4" s="158">
        <v>4</v>
      </c>
      <c r="F4" s="172">
        <v>1</v>
      </c>
      <c r="G4" s="172">
        <v>4</v>
      </c>
      <c r="H4" s="172">
        <v>1</v>
      </c>
      <c r="I4" s="172">
        <v>4</v>
      </c>
      <c r="J4" s="172">
        <v>1</v>
      </c>
      <c r="K4" s="172">
        <v>4</v>
      </c>
    </row>
    <row r="5" spans="3:11" x14ac:dyDescent="0.25">
      <c r="C5" s="158" t="s">
        <v>1169</v>
      </c>
      <c r="D5" s="158">
        <v>7</v>
      </c>
      <c r="E5" s="158">
        <v>17</v>
      </c>
      <c r="F5" s="159">
        <v>7</v>
      </c>
      <c r="G5" s="159">
        <v>17</v>
      </c>
      <c r="H5" s="159">
        <v>7</v>
      </c>
      <c r="I5" s="159">
        <v>17</v>
      </c>
      <c r="J5" s="159">
        <v>7</v>
      </c>
      <c r="K5" s="159">
        <v>17</v>
      </c>
    </row>
    <row r="6" spans="3:11" x14ac:dyDescent="0.25">
      <c r="C6" s="158" t="s">
        <v>1170</v>
      </c>
      <c r="D6" s="158">
        <v>24</v>
      </c>
      <c r="E6" s="158">
        <v>4</v>
      </c>
      <c r="F6" s="172">
        <v>24</v>
      </c>
      <c r="G6" s="172">
        <v>4</v>
      </c>
      <c r="H6" s="172">
        <v>24</v>
      </c>
      <c r="I6" s="172">
        <v>4</v>
      </c>
      <c r="J6" s="172">
        <v>24</v>
      </c>
      <c r="K6" s="172">
        <v>4</v>
      </c>
    </row>
    <row r="7" spans="3:11" x14ac:dyDescent="0.25">
      <c r="C7" s="158" t="s">
        <v>1171</v>
      </c>
      <c r="D7" s="158">
        <v>29</v>
      </c>
      <c r="E7" s="158">
        <v>4</v>
      </c>
      <c r="F7" s="255" t="s">
        <v>1172</v>
      </c>
      <c r="G7" s="256"/>
      <c r="H7" s="255" t="s">
        <v>1172</v>
      </c>
      <c r="I7" s="256"/>
      <c r="J7" s="255" t="s">
        <v>1172</v>
      </c>
      <c r="K7" s="256"/>
    </row>
    <row r="8" spans="3:11" x14ac:dyDescent="0.25">
      <c r="C8" s="158" t="s">
        <v>1173</v>
      </c>
      <c r="D8" s="158">
        <v>34</v>
      </c>
      <c r="E8" s="158">
        <v>4</v>
      </c>
      <c r="F8" s="253" t="s">
        <v>1172</v>
      </c>
      <c r="G8" s="254"/>
      <c r="H8" s="253" t="s">
        <v>1172</v>
      </c>
      <c r="I8" s="254"/>
      <c r="J8" s="253" t="s">
        <v>1172</v>
      </c>
      <c r="K8" s="254"/>
    </row>
    <row r="9" spans="3:11" x14ac:dyDescent="0.25">
      <c r="C9" s="158" t="s">
        <v>1174</v>
      </c>
      <c r="D9" s="158">
        <v>39</v>
      </c>
      <c r="E9" s="158">
        <v>2</v>
      </c>
      <c r="F9" s="255" t="s">
        <v>1172</v>
      </c>
      <c r="G9" s="256"/>
      <c r="H9" s="159">
        <v>29</v>
      </c>
      <c r="I9" s="159">
        <v>4</v>
      </c>
      <c r="J9" s="159">
        <v>29</v>
      </c>
      <c r="K9" s="159">
        <v>4</v>
      </c>
    </row>
    <row r="10" spans="3:11" x14ac:dyDescent="0.25">
      <c r="C10" s="158" t="s">
        <v>748</v>
      </c>
      <c r="D10" s="158">
        <v>87</v>
      </c>
      <c r="E10" s="158">
        <v>2</v>
      </c>
      <c r="F10" s="172">
        <v>87</v>
      </c>
      <c r="G10" s="172">
        <v>2</v>
      </c>
      <c r="H10" s="172">
        <v>87</v>
      </c>
      <c r="I10" s="172">
        <v>2</v>
      </c>
      <c r="J10" s="172">
        <v>87</v>
      </c>
      <c r="K10" s="172">
        <v>2</v>
      </c>
    </row>
    <row r="11" spans="3:11" x14ac:dyDescent="0.25">
      <c r="C11" s="158" t="s">
        <v>749</v>
      </c>
      <c r="D11" s="158">
        <v>90</v>
      </c>
      <c r="E11" s="158">
        <v>2</v>
      </c>
      <c r="F11" s="159">
        <v>90</v>
      </c>
      <c r="G11" s="159">
        <v>2</v>
      </c>
      <c r="H11" s="159">
        <v>90</v>
      </c>
      <c r="I11" s="159">
        <v>2</v>
      </c>
      <c r="J11" s="159">
        <v>90</v>
      </c>
      <c r="K11" s="159">
        <v>2</v>
      </c>
    </row>
    <row r="12" spans="3:11" x14ac:dyDescent="0.25">
      <c r="C12" s="158" t="s">
        <v>750</v>
      </c>
      <c r="D12" s="158">
        <v>93</v>
      </c>
      <c r="E12" s="158">
        <v>2</v>
      </c>
      <c r="F12" s="172">
        <v>93</v>
      </c>
      <c r="G12" s="172">
        <v>2</v>
      </c>
      <c r="H12" s="172">
        <v>93</v>
      </c>
      <c r="I12" s="172">
        <v>2</v>
      </c>
      <c r="J12" s="172">
        <v>93</v>
      </c>
      <c r="K12" s="172">
        <v>2</v>
      </c>
    </row>
    <row r="13" spans="3:11" x14ac:dyDescent="0.25">
      <c r="C13" s="158" t="s">
        <v>751</v>
      </c>
      <c r="D13" s="158">
        <v>96</v>
      </c>
      <c r="E13" s="158">
        <v>2</v>
      </c>
      <c r="F13" s="159">
        <v>96</v>
      </c>
      <c r="G13" s="159">
        <v>2</v>
      </c>
      <c r="H13" s="159">
        <v>96</v>
      </c>
      <c r="I13" s="159">
        <v>2</v>
      </c>
      <c r="J13" s="159">
        <v>96</v>
      </c>
      <c r="K13" s="159">
        <v>2</v>
      </c>
    </row>
    <row r="14" spans="3:11" x14ac:dyDescent="0.25">
      <c r="C14" s="158" t="s">
        <v>752</v>
      </c>
      <c r="D14" s="158">
        <v>99</v>
      </c>
      <c r="E14" s="158">
        <v>2</v>
      </c>
      <c r="F14" s="172">
        <v>99</v>
      </c>
      <c r="G14" s="172">
        <v>2</v>
      </c>
      <c r="H14" s="172">
        <v>99</v>
      </c>
      <c r="I14" s="172">
        <v>2</v>
      </c>
      <c r="J14" s="172">
        <v>99</v>
      </c>
      <c r="K14" s="172">
        <v>2</v>
      </c>
    </row>
    <row r="15" spans="3:11" x14ac:dyDescent="0.25">
      <c r="C15" s="158" t="s">
        <v>753</v>
      </c>
      <c r="D15" s="158">
        <v>102</v>
      </c>
      <c r="E15" s="158">
        <v>2</v>
      </c>
      <c r="F15" s="159">
        <v>102</v>
      </c>
      <c r="G15" s="159">
        <v>2</v>
      </c>
      <c r="H15" s="159">
        <v>102</v>
      </c>
      <c r="I15" s="159">
        <v>2</v>
      </c>
      <c r="J15" s="159">
        <v>102</v>
      </c>
      <c r="K15" s="159">
        <v>2</v>
      </c>
    </row>
    <row r="16" spans="3:11" x14ac:dyDescent="0.25">
      <c r="C16" s="158" t="s">
        <v>754</v>
      </c>
      <c r="D16" s="158">
        <v>105</v>
      </c>
      <c r="E16" s="158">
        <v>2</v>
      </c>
      <c r="F16" s="172">
        <v>105</v>
      </c>
      <c r="G16" s="172">
        <v>2</v>
      </c>
      <c r="H16" s="172">
        <v>105</v>
      </c>
      <c r="I16" s="172">
        <v>2</v>
      </c>
      <c r="J16" s="172">
        <v>105</v>
      </c>
      <c r="K16" s="172">
        <v>2</v>
      </c>
    </row>
    <row r="17" spans="3:11" x14ac:dyDescent="0.25">
      <c r="C17" s="158" t="s">
        <v>755</v>
      </c>
      <c r="D17" s="158">
        <v>108</v>
      </c>
      <c r="E17" s="158">
        <v>2</v>
      </c>
      <c r="F17" s="159">
        <v>108</v>
      </c>
      <c r="G17" s="159">
        <v>2</v>
      </c>
      <c r="H17" s="159">
        <v>108</v>
      </c>
      <c r="I17" s="159">
        <v>2</v>
      </c>
      <c r="J17" s="159">
        <v>108</v>
      </c>
      <c r="K17" s="159">
        <v>2</v>
      </c>
    </row>
    <row r="18" spans="3:11" x14ac:dyDescent="0.25">
      <c r="C18" s="158" t="s">
        <v>756</v>
      </c>
      <c r="D18" s="158">
        <v>111</v>
      </c>
      <c r="E18" s="158">
        <v>2</v>
      </c>
      <c r="F18" s="172">
        <v>111</v>
      </c>
      <c r="G18" s="172">
        <v>2</v>
      </c>
      <c r="H18" s="172">
        <v>111</v>
      </c>
      <c r="I18" s="172">
        <v>2</v>
      </c>
      <c r="J18" s="172">
        <v>111</v>
      </c>
      <c r="K18" s="172">
        <v>2</v>
      </c>
    </row>
    <row r="19" spans="3:11" x14ac:dyDescent="0.25">
      <c r="C19" s="158" t="s">
        <v>757</v>
      </c>
      <c r="D19" s="158">
        <v>114</v>
      </c>
      <c r="E19" s="158">
        <v>2</v>
      </c>
      <c r="F19" s="159">
        <v>114</v>
      </c>
      <c r="G19" s="159">
        <v>2</v>
      </c>
      <c r="H19" s="159">
        <v>114</v>
      </c>
      <c r="I19" s="159">
        <v>2</v>
      </c>
      <c r="J19" s="159">
        <v>114</v>
      </c>
      <c r="K19" s="159">
        <v>2</v>
      </c>
    </row>
    <row r="20" spans="3:11" x14ac:dyDescent="0.25">
      <c r="C20" s="158" t="s">
        <v>726</v>
      </c>
      <c r="D20" s="158">
        <v>124</v>
      </c>
      <c r="E20" s="158">
        <v>6</v>
      </c>
      <c r="F20" s="172">
        <v>124</v>
      </c>
      <c r="G20" s="172">
        <v>6</v>
      </c>
      <c r="H20" s="172">
        <v>124</v>
      </c>
      <c r="I20" s="172">
        <v>6</v>
      </c>
      <c r="J20" s="172">
        <v>124</v>
      </c>
      <c r="K20" s="172">
        <v>6</v>
      </c>
    </row>
    <row r="21" spans="3:11" x14ac:dyDescent="0.25">
      <c r="C21" s="158" t="s">
        <v>741</v>
      </c>
      <c r="D21" s="158">
        <v>138</v>
      </c>
      <c r="E21" s="158">
        <v>6</v>
      </c>
      <c r="F21" s="159">
        <v>138</v>
      </c>
      <c r="G21" s="159">
        <v>6</v>
      </c>
      <c r="H21" s="159">
        <v>138</v>
      </c>
      <c r="I21" s="159">
        <v>6</v>
      </c>
      <c r="J21" s="159">
        <v>138</v>
      </c>
      <c r="K21" s="159">
        <v>6</v>
      </c>
    </row>
    <row r="22" spans="3:11" x14ac:dyDescent="0.25">
      <c r="C22" s="158" t="s">
        <v>742</v>
      </c>
      <c r="D22" s="158">
        <v>173</v>
      </c>
      <c r="E22" s="158">
        <v>10</v>
      </c>
      <c r="F22" s="172">
        <v>173</v>
      </c>
      <c r="G22" s="172">
        <v>10</v>
      </c>
      <c r="H22" s="172">
        <v>173</v>
      </c>
      <c r="I22" s="172">
        <v>10</v>
      </c>
      <c r="J22" s="172">
        <v>173</v>
      </c>
      <c r="K22" s="172">
        <v>10</v>
      </c>
    </row>
    <row r="23" spans="3:11" x14ac:dyDescent="0.25">
      <c r="C23" s="158" t="s">
        <v>743</v>
      </c>
      <c r="D23" s="158">
        <v>191</v>
      </c>
      <c r="E23" s="158">
        <v>5</v>
      </c>
      <c r="F23" s="159">
        <v>191</v>
      </c>
      <c r="G23" s="159">
        <v>5</v>
      </c>
      <c r="H23" s="159">
        <v>191</v>
      </c>
      <c r="I23" s="159">
        <v>5</v>
      </c>
      <c r="J23" s="159">
        <v>191</v>
      </c>
      <c r="K23" s="159">
        <v>5</v>
      </c>
    </row>
    <row r="24" spans="3:11" x14ac:dyDescent="0.25">
      <c r="C24" s="158" t="s">
        <v>644</v>
      </c>
      <c r="D24" s="158">
        <v>203</v>
      </c>
      <c r="E24" s="158">
        <v>5</v>
      </c>
      <c r="F24" s="172">
        <v>203</v>
      </c>
      <c r="G24" s="172">
        <v>5</v>
      </c>
      <c r="H24" s="172">
        <v>203</v>
      </c>
      <c r="I24" s="172">
        <v>5</v>
      </c>
      <c r="J24" s="172">
        <v>203</v>
      </c>
      <c r="K24" s="172">
        <v>5</v>
      </c>
    </row>
    <row r="25" spans="3:11" x14ac:dyDescent="0.25">
      <c r="C25" s="158" t="s">
        <v>744</v>
      </c>
      <c r="D25" s="158">
        <v>215</v>
      </c>
      <c r="E25" s="158">
        <v>7</v>
      </c>
      <c r="F25" s="159">
        <v>215</v>
      </c>
      <c r="G25" s="159">
        <v>7</v>
      </c>
      <c r="H25" s="159">
        <v>215</v>
      </c>
      <c r="I25" s="159">
        <v>7</v>
      </c>
      <c r="J25" s="159">
        <v>215</v>
      </c>
      <c r="K25" s="159">
        <v>7</v>
      </c>
    </row>
    <row r="26" spans="3:11" x14ac:dyDescent="0.25">
      <c r="C26" s="158" t="s">
        <v>17</v>
      </c>
      <c r="D26" s="158">
        <v>245</v>
      </c>
      <c r="E26" s="158">
        <v>17</v>
      </c>
      <c r="F26" s="172">
        <v>245</v>
      </c>
      <c r="G26" s="172">
        <v>17</v>
      </c>
      <c r="H26" s="172">
        <v>245</v>
      </c>
      <c r="I26" s="172">
        <v>17</v>
      </c>
      <c r="J26" s="172">
        <v>245</v>
      </c>
      <c r="K26" s="172">
        <v>17</v>
      </c>
    </row>
    <row r="27" spans="3:11" x14ac:dyDescent="0.25">
      <c r="C27" s="158" t="s">
        <v>113</v>
      </c>
      <c r="D27" s="158">
        <v>271</v>
      </c>
      <c r="E27" s="158">
        <v>4</v>
      </c>
      <c r="F27" s="159">
        <v>271</v>
      </c>
      <c r="G27" s="159">
        <v>4</v>
      </c>
      <c r="H27" s="159">
        <v>271</v>
      </c>
      <c r="I27" s="159">
        <v>4</v>
      </c>
      <c r="J27" s="159">
        <v>271</v>
      </c>
      <c r="K27" s="159">
        <v>4</v>
      </c>
    </row>
    <row r="28" spans="3:11" x14ac:dyDescent="0.25">
      <c r="C28" s="158" t="s">
        <v>116</v>
      </c>
      <c r="D28" s="158">
        <v>280</v>
      </c>
      <c r="E28" s="158">
        <v>8</v>
      </c>
      <c r="F28" s="172">
        <v>280</v>
      </c>
      <c r="G28" s="172">
        <v>8</v>
      </c>
      <c r="H28" s="172">
        <v>280</v>
      </c>
      <c r="I28" s="172">
        <v>8</v>
      </c>
      <c r="J28" s="172">
        <v>280</v>
      </c>
      <c r="K28" s="172">
        <v>8</v>
      </c>
    </row>
    <row r="29" spans="3:11" x14ac:dyDescent="0.25">
      <c r="C29" s="158" t="s">
        <v>158</v>
      </c>
      <c r="D29" s="158">
        <v>300</v>
      </c>
      <c r="E29" s="158">
        <v>6</v>
      </c>
      <c r="F29" s="159">
        <v>300</v>
      </c>
      <c r="G29" s="159">
        <v>6</v>
      </c>
      <c r="H29" s="159">
        <v>300</v>
      </c>
      <c r="I29" s="159">
        <v>6</v>
      </c>
      <c r="J29" s="159">
        <v>300</v>
      </c>
      <c r="K29" s="159">
        <v>6</v>
      </c>
    </row>
    <row r="30" spans="3:11" x14ac:dyDescent="0.25">
      <c r="C30" s="158" t="s">
        <v>114</v>
      </c>
      <c r="D30" s="158">
        <v>324</v>
      </c>
      <c r="E30" s="158">
        <v>2</v>
      </c>
      <c r="F30" s="172">
        <v>324</v>
      </c>
      <c r="G30" s="172">
        <v>2</v>
      </c>
      <c r="H30" s="172">
        <v>324</v>
      </c>
      <c r="I30" s="172">
        <v>2</v>
      </c>
      <c r="J30" s="172">
        <v>324</v>
      </c>
      <c r="K30" s="172">
        <v>2</v>
      </c>
    </row>
    <row r="31" spans="3:11" x14ac:dyDescent="0.25">
      <c r="C31" s="158" t="s">
        <v>803</v>
      </c>
      <c r="D31" s="158">
        <v>331</v>
      </c>
      <c r="E31" s="158">
        <v>3</v>
      </c>
      <c r="F31" s="159">
        <v>331</v>
      </c>
      <c r="G31" s="159">
        <v>3</v>
      </c>
      <c r="H31" s="174">
        <v>330</v>
      </c>
      <c r="I31" s="159">
        <v>3</v>
      </c>
      <c r="J31" s="174">
        <v>330</v>
      </c>
      <c r="K31" s="159">
        <v>3</v>
      </c>
    </row>
    <row r="32" spans="3:11" x14ac:dyDescent="0.25">
      <c r="C32" s="158" t="s">
        <v>804</v>
      </c>
      <c r="D32" s="158">
        <v>335</v>
      </c>
      <c r="E32" s="158">
        <v>3</v>
      </c>
      <c r="F32" s="172">
        <v>335</v>
      </c>
      <c r="G32" s="172">
        <v>3</v>
      </c>
      <c r="H32" s="172">
        <v>335</v>
      </c>
      <c r="I32" s="172">
        <v>3</v>
      </c>
      <c r="J32" s="172">
        <v>335</v>
      </c>
      <c r="K32" s="172">
        <v>3</v>
      </c>
    </row>
    <row r="33" spans="2:11" x14ac:dyDescent="0.25">
      <c r="C33" s="158" t="s">
        <v>120</v>
      </c>
      <c r="D33" s="158">
        <v>342</v>
      </c>
      <c r="E33" s="158">
        <v>4</v>
      </c>
      <c r="F33" s="159">
        <v>342</v>
      </c>
      <c r="G33" s="159">
        <v>4</v>
      </c>
      <c r="H33" s="159">
        <v>342</v>
      </c>
      <c r="I33" s="159">
        <v>4</v>
      </c>
      <c r="J33" s="159">
        <v>342</v>
      </c>
      <c r="K33" s="159">
        <v>4</v>
      </c>
    </row>
    <row r="34" spans="2:11" x14ac:dyDescent="0.25">
      <c r="C34" s="158" t="s">
        <v>121</v>
      </c>
      <c r="D34" s="158">
        <v>350</v>
      </c>
      <c r="E34" s="158">
        <v>6</v>
      </c>
      <c r="F34" s="172">
        <v>350</v>
      </c>
      <c r="G34" s="172">
        <v>6</v>
      </c>
      <c r="H34" s="172">
        <v>350</v>
      </c>
      <c r="I34" s="172">
        <v>6</v>
      </c>
      <c r="J34" s="172">
        <v>350</v>
      </c>
      <c r="K34" s="172">
        <v>6</v>
      </c>
    </row>
    <row r="35" spans="2:11" ht="30" x14ac:dyDescent="0.25">
      <c r="C35" s="169" t="s">
        <v>1175</v>
      </c>
      <c r="D35" s="158">
        <v>360</v>
      </c>
      <c r="E35" s="158">
        <v>7</v>
      </c>
      <c r="F35" s="159">
        <v>360</v>
      </c>
      <c r="G35" s="159">
        <v>7</v>
      </c>
      <c r="H35" s="159">
        <v>360</v>
      </c>
      <c r="I35" s="159">
        <v>7</v>
      </c>
      <c r="J35" s="159">
        <v>360</v>
      </c>
      <c r="K35" s="159">
        <v>7</v>
      </c>
    </row>
    <row r="36" spans="2:11" x14ac:dyDescent="0.25">
      <c r="C36" s="158" t="s">
        <v>122</v>
      </c>
      <c r="D36" s="158">
        <v>371</v>
      </c>
      <c r="E36" s="158">
        <v>6</v>
      </c>
      <c r="F36" s="172">
        <v>371</v>
      </c>
      <c r="G36" s="172">
        <v>6</v>
      </c>
      <c r="H36" s="172">
        <v>371</v>
      </c>
      <c r="I36" s="172">
        <v>6</v>
      </c>
      <c r="J36" s="172">
        <v>371</v>
      </c>
      <c r="K36" s="172">
        <v>6</v>
      </c>
    </row>
    <row r="37" spans="2:11" ht="30" x14ac:dyDescent="0.25">
      <c r="C37" s="170" t="s">
        <v>1176</v>
      </c>
      <c r="D37" s="158">
        <v>382</v>
      </c>
      <c r="E37" s="158">
        <v>9</v>
      </c>
      <c r="F37" s="159">
        <v>382</v>
      </c>
      <c r="G37" s="159">
        <v>9</v>
      </c>
      <c r="H37" s="159">
        <v>382</v>
      </c>
      <c r="I37" s="159">
        <v>9</v>
      </c>
      <c r="J37" s="159">
        <v>382</v>
      </c>
      <c r="K37" s="159">
        <v>9</v>
      </c>
    </row>
    <row r="38" spans="2:11" x14ac:dyDescent="0.25">
      <c r="B38" s="252" t="s">
        <v>123</v>
      </c>
      <c r="C38" s="158" t="s">
        <v>805</v>
      </c>
      <c r="D38" s="158">
        <v>405</v>
      </c>
      <c r="E38" s="158">
        <v>1</v>
      </c>
      <c r="F38" s="172">
        <v>405</v>
      </c>
      <c r="G38" s="172">
        <v>1</v>
      </c>
      <c r="H38" s="172">
        <v>405</v>
      </c>
      <c r="I38" s="172">
        <v>1</v>
      </c>
      <c r="J38" s="172">
        <v>405</v>
      </c>
      <c r="K38" s="172">
        <v>1</v>
      </c>
    </row>
    <row r="39" spans="2:11" x14ac:dyDescent="0.25">
      <c r="B39" s="252"/>
      <c r="C39" s="158" t="s">
        <v>806</v>
      </c>
      <c r="D39" s="158">
        <v>407</v>
      </c>
      <c r="E39" s="158">
        <v>30</v>
      </c>
      <c r="F39" s="159">
        <v>407</v>
      </c>
      <c r="G39" s="159">
        <v>30</v>
      </c>
      <c r="H39" s="159">
        <v>407</v>
      </c>
      <c r="I39" s="159">
        <v>30</v>
      </c>
      <c r="J39" s="159">
        <v>407</v>
      </c>
      <c r="K39" s="159">
        <v>30</v>
      </c>
    </row>
    <row r="40" spans="2:11" x14ac:dyDescent="0.25">
      <c r="B40" s="252"/>
      <c r="C40" s="158" t="s">
        <v>807</v>
      </c>
      <c r="D40" s="158">
        <v>438</v>
      </c>
      <c r="E40" s="158">
        <v>26</v>
      </c>
      <c r="F40" s="172">
        <v>438</v>
      </c>
      <c r="G40" s="172">
        <v>26</v>
      </c>
      <c r="H40" s="172">
        <v>438</v>
      </c>
      <c r="I40" s="172">
        <v>26</v>
      </c>
      <c r="J40" s="172">
        <v>438</v>
      </c>
      <c r="K40" s="172">
        <v>26</v>
      </c>
    </row>
    <row r="41" spans="2:11" x14ac:dyDescent="0.25">
      <c r="C41" s="158" t="s">
        <v>125</v>
      </c>
      <c r="D41" s="158">
        <v>485</v>
      </c>
      <c r="E41" s="158">
        <v>25</v>
      </c>
      <c r="F41" s="159">
        <v>485</v>
      </c>
      <c r="G41" s="159">
        <v>25</v>
      </c>
      <c r="H41" s="159">
        <v>485</v>
      </c>
      <c r="I41" s="159">
        <v>25</v>
      </c>
      <c r="J41" s="159">
        <v>485</v>
      </c>
      <c r="K41" s="159">
        <v>25</v>
      </c>
    </row>
    <row r="42" spans="2:11" x14ac:dyDescent="0.25">
      <c r="B42" s="252" t="s">
        <v>808</v>
      </c>
      <c r="C42" s="158" t="s">
        <v>809</v>
      </c>
      <c r="D42" s="158">
        <v>514</v>
      </c>
      <c r="E42" s="158">
        <v>17</v>
      </c>
      <c r="F42" s="172">
        <v>514</v>
      </c>
      <c r="G42" s="172">
        <v>17</v>
      </c>
      <c r="H42" s="172">
        <v>514</v>
      </c>
      <c r="I42" s="172">
        <v>17</v>
      </c>
      <c r="J42" s="172">
        <v>514</v>
      </c>
      <c r="K42" s="172">
        <v>17</v>
      </c>
    </row>
    <row r="43" spans="2:11" x14ac:dyDescent="0.25">
      <c r="B43" s="252"/>
      <c r="C43" s="158" t="s">
        <v>810</v>
      </c>
      <c r="D43" s="158">
        <v>532</v>
      </c>
      <c r="E43" s="158">
        <v>2</v>
      </c>
      <c r="F43" s="159">
        <v>532</v>
      </c>
      <c r="G43" s="159">
        <v>2</v>
      </c>
      <c r="H43" s="159">
        <v>532</v>
      </c>
      <c r="I43" s="159">
        <v>2</v>
      </c>
      <c r="J43" s="159">
        <v>532</v>
      </c>
      <c r="K43" s="159">
        <v>2</v>
      </c>
    </row>
    <row r="44" spans="2:11" x14ac:dyDescent="0.25">
      <c r="C44" s="158" t="s">
        <v>126</v>
      </c>
      <c r="D44" s="158">
        <v>539</v>
      </c>
      <c r="E44" s="158">
        <v>5</v>
      </c>
      <c r="F44" s="172">
        <v>539</v>
      </c>
      <c r="G44" s="172">
        <v>5</v>
      </c>
      <c r="H44" s="172">
        <v>539</v>
      </c>
      <c r="I44" s="172">
        <v>5</v>
      </c>
      <c r="J44" s="172">
        <v>539</v>
      </c>
      <c r="K44" s="172">
        <v>5</v>
      </c>
    </row>
    <row r="45" spans="2:11" x14ac:dyDescent="0.25">
      <c r="B45" s="252" t="s">
        <v>127</v>
      </c>
      <c r="C45" s="158" t="s">
        <v>811</v>
      </c>
      <c r="D45" s="158">
        <v>565</v>
      </c>
      <c r="E45" s="158">
        <v>1</v>
      </c>
      <c r="F45" s="159">
        <v>565</v>
      </c>
      <c r="G45" s="159">
        <v>1</v>
      </c>
      <c r="H45" s="159">
        <v>565</v>
      </c>
      <c r="I45" s="159">
        <v>1</v>
      </c>
      <c r="J45" s="159">
        <v>565</v>
      </c>
      <c r="K45" s="159">
        <v>1</v>
      </c>
    </row>
    <row r="46" spans="2:11" x14ac:dyDescent="0.25">
      <c r="B46" s="252"/>
      <c r="C46" s="158" t="s">
        <v>812</v>
      </c>
      <c r="D46" s="158">
        <v>567</v>
      </c>
      <c r="E46" s="158">
        <v>30</v>
      </c>
      <c r="F46" s="172">
        <v>567</v>
      </c>
      <c r="G46" s="172">
        <v>30</v>
      </c>
      <c r="H46" s="172">
        <v>567</v>
      </c>
      <c r="I46" s="172">
        <v>30</v>
      </c>
      <c r="J46" s="172">
        <v>567</v>
      </c>
      <c r="K46" s="172">
        <v>30</v>
      </c>
    </row>
    <row r="47" spans="2:11" x14ac:dyDescent="0.25">
      <c r="C47" s="158" t="s">
        <v>130</v>
      </c>
      <c r="D47" s="158">
        <v>603</v>
      </c>
      <c r="E47" s="158">
        <v>8</v>
      </c>
      <c r="F47" s="159">
        <v>603</v>
      </c>
      <c r="G47" s="159">
        <v>8</v>
      </c>
      <c r="H47" s="159">
        <v>603</v>
      </c>
      <c r="I47" s="159">
        <v>8</v>
      </c>
      <c r="J47" s="159">
        <v>603</v>
      </c>
      <c r="K47" s="159">
        <v>8</v>
      </c>
    </row>
    <row r="48" spans="2:11" x14ac:dyDescent="0.25">
      <c r="C48" s="158" t="s">
        <v>651</v>
      </c>
      <c r="D48" s="158">
        <v>616</v>
      </c>
      <c r="E48" s="158">
        <v>8</v>
      </c>
      <c r="F48" s="172">
        <v>616</v>
      </c>
      <c r="G48" s="172">
        <v>8</v>
      </c>
      <c r="H48" s="172">
        <v>616</v>
      </c>
      <c r="I48" s="172">
        <v>8</v>
      </c>
      <c r="J48" s="172">
        <v>616</v>
      </c>
      <c r="K48" s="172">
        <v>8</v>
      </c>
    </row>
    <row r="49" spans="2:11" x14ac:dyDescent="0.25">
      <c r="C49" s="158" t="s">
        <v>131</v>
      </c>
      <c r="D49" s="158">
        <v>629</v>
      </c>
      <c r="E49" s="158">
        <v>1</v>
      </c>
      <c r="F49" s="255" t="s">
        <v>944</v>
      </c>
      <c r="G49" s="256"/>
      <c r="H49" s="174">
        <v>630</v>
      </c>
      <c r="I49" s="159">
        <v>1</v>
      </c>
      <c r="J49" s="174">
        <v>630</v>
      </c>
      <c r="K49" s="159">
        <v>1</v>
      </c>
    </row>
    <row r="50" spans="2:11" x14ac:dyDescent="0.25">
      <c r="C50" s="158" t="s">
        <v>132</v>
      </c>
      <c r="D50" s="158">
        <v>645</v>
      </c>
      <c r="E50" s="158">
        <v>25</v>
      </c>
      <c r="F50" s="172">
        <v>645</v>
      </c>
      <c r="G50" s="172">
        <v>25</v>
      </c>
      <c r="H50" s="172">
        <v>645</v>
      </c>
      <c r="I50" s="172">
        <v>25</v>
      </c>
      <c r="J50" s="172">
        <v>645</v>
      </c>
      <c r="K50" s="172">
        <v>25</v>
      </c>
    </row>
    <row r="51" spans="2:11" x14ac:dyDescent="0.25">
      <c r="B51" s="252" t="s">
        <v>808</v>
      </c>
      <c r="C51" s="158" t="s">
        <v>809</v>
      </c>
      <c r="D51" s="158">
        <v>674</v>
      </c>
      <c r="E51" s="158">
        <v>17</v>
      </c>
      <c r="F51" s="159">
        <v>674</v>
      </c>
      <c r="G51" s="159">
        <v>17</v>
      </c>
      <c r="H51" s="159">
        <v>674</v>
      </c>
      <c r="I51" s="159">
        <v>17</v>
      </c>
      <c r="J51" s="159">
        <v>674</v>
      </c>
      <c r="K51" s="159">
        <v>17</v>
      </c>
    </row>
    <row r="52" spans="2:11" x14ac:dyDescent="0.25">
      <c r="B52" s="252"/>
      <c r="C52" s="158" t="s">
        <v>810</v>
      </c>
      <c r="D52" s="158">
        <v>692</v>
      </c>
      <c r="E52" s="158">
        <v>2</v>
      </c>
      <c r="F52" s="172">
        <v>692</v>
      </c>
      <c r="G52" s="172">
        <v>2</v>
      </c>
      <c r="H52" s="172">
        <v>692</v>
      </c>
      <c r="I52" s="172">
        <v>2</v>
      </c>
      <c r="J52" s="172">
        <v>692</v>
      </c>
      <c r="K52" s="172">
        <v>2</v>
      </c>
    </row>
    <row r="53" spans="2:11" x14ac:dyDescent="0.25">
      <c r="C53" s="158" t="s">
        <v>126</v>
      </c>
      <c r="D53" s="158">
        <v>699</v>
      </c>
      <c r="E53" s="158">
        <v>5</v>
      </c>
      <c r="F53" s="159">
        <v>699</v>
      </c>
      <c r="G53" s="159">
        <v>5</v>
      </c>
      <c r="H53" s="159">
        <v>699</v>
      </c>
      <c r="I53" s="159">
        <v>5</v>
      </c>
      <c r="J53" s="159">
        <v>699</v>
      </c>
      <c r="K53" s="159">
        <v>5</v>
      </c>
    </row>
    <row r="54" spans="2:11" x14ac:dyDescent="0.25">
      <c r="C54" s="158" t="s">
        <v>548</v>
      </c>
      <c r="D54" s="158">
        <v>709</v>
      </c>
      <c r="E54" s="158"/>
      <c r="F54" s="253" t="s">
        <v>944</v>
      </c>
      <c r="G54" s="254"/>
      <c r="H54" s="172">
        <v>709</v>
      </c>
      <c r="I54" s="172"/>
      <c r="J54" s="172">
        <v>709</v>
      </c>
      <c r="K54" s="172"/>
    </row>
    <row r="55" spans="2:11" x14ac:dyDescent="0.25">
      <c r="C55" s="158" t="s">
        <v>133</v>
      </c>
      <c r="D55" s="158">
        <v>727</v>
      </c>
      <c r="E55" s="158">
        <v>28</v>
      </c>
      <c r="F55" s="159">
        <v>727</v>
      </c>
      <c r="G55" s="159">
        <v>29</v>
      </c>
      <c r="H55" s="159">
        <v>727</v>
      </c>
      <c r="I55" s="174">
        <v>29</v>
      </c>
      <c r="J55" s="159">
        <v>727</v>
      </c>
      <c r="K55" s="174">
        <v>29</v>
      </c>
    </row>
    <row r="56" spans="2:11" x14ac:dyDescent="0.25">
      <c r="C56" s="158" t="s">
        <v>656</v>
      </c>
      <c r="D56" s="158">
        <v>760</v>
      </c>
      <c r="E56" s="158">
        <v>12</v>
      </c>
      <c r="F56" s="172">
        <v>760</v>
      </c>
      <c r="G56" s="172">
        <v>12</v>
      </c>
      <c r="H56" s="172">
        <v>760</v>
      </c>
      <c r="I56" s="172">
        <v>12</v>
      </c>
      <c r="J56" s="172">
        <v>760</v>
      </c>
      <c r="K56" s="172">
        <v>12</v>
      </c>
    </row>
    <row r="57" spans="2:11" x14ac:dyDescent="0.25">
      <c r="C57" s="158" t="s">
        <v>524</v>
      </c>
      <c r="D57" s="158">
        <v>778</v>
      </c>
      <c r="E57" s="158">
        <v>6</v>
      </c>
      <c r="F57" s="159">
        <v>778</v>
      </c>
      <c r="G57" s="159">
        <v>6</v>
      </c>
      <c r="H57" s="159">
        <v>778</v>
      </c>
      <c r="I57" s="159">
        <v>6</v>
      </c>
      <c r="J57" s="159">
        <v>778</v>
      </c>
      <c r="K57" s="159">
        <v>6</v>
      </c>
    </row>
    <row r="58" spans="2:11" x14ac:dyDescent="0.25">
      <c r="C58" s="158" t="s">
        <v>138</v>
      </c>
      <c r="D58" s="158">
        <v>789</v>
      </c>
      <c r="E58" s="158"/>
      <c r="F58" s="253" t="s">
        <v>944</v>
      </c>
      <c r="G58" s="254"/>
      <c r="H58" s="172">
        <v>789</v>
      </c>
      <c r="I58" s="172"/>
      <c r="J58" s="175"/>
      <c r="K58" s="172"/>
    </row>
    <row r="59" spans="2:11" x14ac:dyDescent="0.25">
      <c r="C59" s="158" t="s">
        <v>125</v>
      </c>
      <c r="D59" s="158">
        <v>805</v>
      </c>
      <c r="E59" s="158">
        <v>25</v>
      </c>
      <c r="F59" s="159">
        <v>805</v>
      </c>
      <c r="G59" s="159">
        <v>25</v>
      </c>
      <c r="H59" s="159">
        <v>805</v>
      </c>
      <c r="I59" s="159">
        <v>25</v>
      </c>
      <c r="J59" s="159">
        <v>805</v>
      </c>
      <c r="K59" s="159">
        <v>25</v>
      </c>
    </row>
    <row r="60" spans="2:11" x14ac:dyDescent="0.25">
      <c r="B60" s="252" t="s">
        <v>813</v>
      </c>
      <c r="C60" s="158" t="s">
        <v>809</v>
      </c>
      <c r="D60" s="158">
        <v>834</v>
      </c>
      <c r="E60" s="158">
        <v>16</v>
      </c>
      <c r="F60" s="172">
        <v>834</v>
      </c>
      <c r="G60" s="172">
        <v>16</v>
      </c>
      <c r="H60" s="172">
        <v>834</v>
      </c>
      <c r="I60" s="172">
        <v>16</v>
      </c>
      <c r="J60" s="172">
        <v>834</v>
      </c>
      <c r="K60" s="172">
        <v>16</v>
      </c>
    </row>
    <row r="61" spans="2:11" x14ac:dyDescent="0.25">
      <c r="B61" s="252"/>
      <c r="C61" s="158" t="s">
        <v>810</v>
      </c>
      <c r="D61" s="158">
        <v>851</v>
      </c>
      <c r="E61" s="158">
        <v>2</v>
      </c>
      <c r="F61" s="159">
        <v>851</v>
      </c>
      <c r="G61" s="159">
        <v>2</v>
      </c>
      <c r="H61" s="159">
        <v>851</v>
      </c>
      <c r="I61" s="159">
        <v>2</v>
      </c>
      <c r="J61" s="159">
        <v>851</v>
      </c>
      <c r="K61" s="159">
        <v>2</v>
      </c>
    </row>
    <row r="62" spans="2:11" x14ac:dyDescent="0.25">
      <c r="C62" s="158" t="s">
        <v>126</v>
      </c>
      <c r="D62" s="158">
        <v>859</v>
      </c>
      <c r="E62" s="158">
        <v>5</v>
      </c>
      <c r="F62" s="172">
        <v>859</v>
      </c>
      <c r="G62" s="172">
        <v>5</v>
      </c>
      <c r="H62" s="172">
        <v>859</v>
      </c>
      <c r="I62" s="172">
        <v>5</v>
      </c>
      <c r="J62" s="172">
        <v>859</v>
      </c>
      <c r="K62" s="172">
        <v>5</v>
      </c>
    </row>
    <row r="63" spans="2:11" x14ac:dyDescent="0.25">
      <c r="C63" s="158" t="s">
        <v>530</v>
      </c>
      <c r="D63" s="158">
        <v>870</v>
      </c>
      <c r="E63" s="158">
        <v>3</v>
      </c>
      <c r="F63" s="255" t="s">
        <v>944</v>
      </c>
      <c r="G63" s="256"/>
      <c r="H63" s="159">
        <v>870</v>
      </c>
      <c r="I63" s="159">
        <v>3</v>
      </c>
      <c r="J63" s="159">
        <v>870</v>
      </c>
      <c r="K63" s="159">
        <v>3</v>
      </c>
    </row>
    <row r="64" spans="2:11" x14ac:dyDescent="0.25">
      <c r="C64" s="158" t="s">
        <v>134</v>
      </c>
      <c r="D64" s="158">
        <v>885</v>
      </c>
      <c r="E64" s="158">
        <v>3</v>
      </c>
      <c r="F64" s="172">
        <v>885</v>
      </c>
      <c r="G64" s="172">
        <v>3</v>
      </c>
      <c r="H64" s="172">
        <v>885</v>
      </c>
      <c r="I64" s="172">
        <v>3</v>
      </c>
      <c r="J64" s="172">
        <v>885</v>
      </c>
      <c r="K64" s="172">
        <v>3</v>
      </c>
    </row>
    <row r="65" spans="3:11" x14ac:dyDescent="0.25">
      <c r="C65" s="158" t="s">
        <v>135</v>
      </c>
      <c r="D65" s="158">
        <v>891</v>
      </c>
      <c r="E65" s="158">
        <v>6</v>
      </c>
      <c r="F65" s="159">
        <v>891</v>
      </c>
      <c r="G65" s="159">
        <v>6</v>
      </c>
      <c r="H65" s="159">
        <v>891</v>
      </c>
      <c r="I65" s="159">
        <v>6</v>
      </c>
      <c r="J65" s="159">
        <v>891</v>
      </c>
      <c r="K65" s="159">
        <v>6</v>
      </c>
    </row>
    <row r="66" spans="3:11" x14ac:dyDescent="0.25">
      <c r="C66" s="158" t="s">
        <v>136</v>
      </c>
      <c r="D66" s="158">
        <v>902</v>
      </c>
      <c r="E66" s="158">
        <v>8</v>
      </c>
      <c r="F66" s="172">
        <v>902</v>
      </c>
      <c r="G66" s="172">
        <v>8</v>
      </c>
      <c r="H66" s="172">
        <v>902</v>
      </c>
      <c r="I66" s="172">
        <v>8</v>
      </c>
      <c r="J66" s="172">
        <v>902</v>
      </c>
      <c r="K66" s="172">
        <v>8</v>
      </c>
    </row>
    <row r="67" spans="3:11" x14ac:dyDescent="0.25">
      <c r="C67" s="158" t="s">
        <v>137</v>
      </c>
      <c r="D67" s="158">
        <v>915</v>
      </c>
      <c r="E67" s="158">
        <v>2</v>
      </c>
      <c r="F67" s="159">
        <v>915</v>
      </c>
      <c r="G67" s="159">
        <v>2</v>
      </c>
      <c r="H67" s="159">
        <v>915</v>
      </c>
      <c r="I67" s="159">
        <v>2</v>
      </c>
      <c r="J67" s="159">
        <v>915</v>
      </c>
      <c r="K67" s="159">
        <v>2</v>
      </c>
    </row>
    <row r="68" spans="3:11" x14ac:dyDescent="0.25">
      <c r="C68" s="158" t="s">
        <v>538</v>
      </c>
      <c r="D68" s="158">
        <v>922</v>
      </c>
      <c r="E68" s="158">
        <v>7</v>
      </c>
      <c r="F68" s="172">
        <v>922</v>
      </c>
      <c r="G68" s="172">
        <v>7</v>
      </c>
      <c r="H68" s="172">
        <v>922</v>
      </c>
      <c r="I68" s="172">
        <v>7</v>
      </c>
      <c r="J68" s="172">
        <v>922</v>
      </c>
      <c r="K68" s="172">
        <v>7</v>
      </c>
    </row>
    <row r="69" spans="3:11" x14ac:dyDescent="0.25">
      <c r="C69" s="158" t="s">
        <v>541</v>
      </c>
      <c r="D69" s="158">
        <v>939</v>
      </c>
      <c r="E69" s="158">
        <v>4</v>
      </c>
      <c r="F69" s="159">
        <v>939</v>
      </c>
      <c r="G69" s="159">
        <v>4</v>
      </c>
      <c r="H69" s="159">
        <v>939</v>
      </c>
      <c r="I69" s="159">
        <v>4</v>
      </c>
      <c r="J69" s="159">
        <v>939</v>
      </c>
      <c r="K69" s="159">
        <v>4</v>
      </c>
    </row>
    <row r="70" spans="3:11" x14ac:dyDescent="0.25">
      <c r="C70" s="158" t="s">
        <v>544</v>
      </c>
      <c r="D70" s="158">
        <v>949</v>
      </c>
      <c r="E70" s="158">
        <v>10</v>
      </c>
      <c r="F70" s="253" t="s">
        <v>944</v>
      </c>
      <c r="G70" s="254"/>
      <c r="H70" s="172">
        <v>949</v>
      </c>
      <c r="I70" s="172">
        <v>10</v>
      </c>
      <c r="J70" s="172">
        <v>949</v>
      </c>
      <c r="K70" s="172">
        <v>10</v>
      </c>
    </row>
    <row r="71" spans="3:11" x14ac:dyDescent="0.25">
      <c r="C71" s="158" t="s">
        <v>551</v>
      </c>
      <c r="D71" s="159">
        <v>965</v>
      </c>
      <c r="E71" s="159">
        <v>2</v>
      </c>
      <c r="F71" s="159">
        <v>965</v>
      </c>
      <c r="G71" s="159">
        <v>2</v>
      </c>
      <c r="H71" s="159">
        <v>965</v>
      </c>
      <c r="I71" s="159">
        <v>2</v>
      </c>
      <c r="J71" s="159">
        <v>965</v>
      </c>
      <c r="K71" s="159">
        <v>2</v>
      </c>
    </row>
    <row r="72" spans="3:11" x14ac:dyDescent="0.25">
      <c r="C72" s="158" t="s">
        <v>554</v>
      </c>
      <c r="D72" s="172">
        <v>973</v>
      </c>
      <c r="E72" s="172">
        <v>6</v>
      </c>
      <c r="F72" s="172">
        <v>973</v>
      </c>
      <c r="G72" s="172">
        <v>6</v>
      </c>
      <c r="H72" s="172">
        <v>973</v>
      </c>
      <c r="I72" s="172">
        <v>6</v>
      </c>
      <c r="J72" s="172">
        <v>973</v>
      </c>
      <c r="K72" s="172">
        <v>6</v>
      </c>
    </row>
    <row r="73" spans="3:11" x14ac:dyDescent="0.25">
      <c r="C73" s="158" t="s">
        <v>556</v>
      </c>
      <c r="D73" s="159">
        <v>984</v>
      </c>
      <c r="E73" s="159">
        <v>2</v>
      </c>
      <c r="F73" s="159">
        <v>984</v>
      </c>
      <c r="G73" s="159">
        <v>2</v>
      </c>
      <c r="H73" s="159">
        <v>984</v>
      </c>
      <c r="I73" s="159">
        <v>2</v>
      </c>
      <c r="J73" s="159">
        <v>984</v>
      </c>
      <c r="K73" s="159">
        <v>2</v>
      </c>
    </row>
    <row r="74" spans="3:11" x14ac:dyDescent="0.25">
      <c r="C74" s="158" t="s">
        <v>560</v>
      </c>
      <c r="D74" s="172">
        <v>992</v>
      </c>
      <c r="E74" s="172">
        <v>6</v>
      </c>
      <c r="F74" s="172">
        <v>992</v>
      </c>
      <c r="G74" s="172">
        <v>6</v>
      </c>
      <c r="H74" s="172">
        <v>992</v>
      </c>
      <c r="I74" s="172">
        <v>6</v>
      </c>
      <c r="J74" s="172">
        <v>992</v>
      </c>
      <c r="K74" s="172">
        <v>6</v>
      </c>
    </row>
    <row r="75" spans="3:11" x14ac:dyDescent="0.25">
      <c r="C75" s="158" t="s">
        <v>563</v>
      </c>
      <c r="D75" s="159">
        <v>1002</v>
      </c>
      <c r="E75" s="159">
        <v>10</v>
      </c>
      <c r="F75" s="159">
        <v>1002</v>
      </c>
      <c r="G75" s="159">
        <v>10</v>
      </c>
      <c r="H75" s="159">
        <v>1002</v>
      </c>
      <c r="I75" s="159">
        <v>10</v>
      </c>
      <c r="J75" s="159">
        <v>1002</v>
      </c>
      <c r="K75" s="159">
        <v>10</v>
      </c>
    </row>
    <row r="76" spans="3:11" x14ac:dyDescent="0.25">
      <c r="C76" s="158" t="s">
        <v>566</v>
      </c>
      <c r="D76" s="158">
        <v>1012</v>
      </c>
      <c r="E76" s="158">
        <v>1</v>
      </c>
      <c r="F76" s="253" t="s">
        <v>944</v>
      </c>
      <c r="G76" s="254"/>
      <c r="H76" s="172">
        <v>1012</v>
      </c>
      <c r="I76" s="172">
        <v>1</v>
      </c>
      <c r="J76" s="172">
        <v>1012</v>
      </c>
      <c r="K76" s="172">
        <v>1</v>
      </c>
    </row>
    <row r="77" spans="3:11" x14ac:dyDescent="0.25">
      <c r="C77" s="158" t="s">
        <v>210</v>
      </c>
      <c r="D77" s="158">
        <v>1020</v>
      </c>
      <c r="E77" s="158">
        <v>10</v>
      </c>
      <c r="F77" s="159">
        <v>1020</v>
      </c>
      <c r="G77" s="159">
        <v>10</v>
      </c>
      <c r="H77" s="159">
        <v>1020</v>
      </c>
      <c r="I77" s="159">
        <v>10</v>
      </c>
      <c r="J77" s="159">
        <v>1020</v>
      </c>
      <c r="K77" s="159">
        <v>10</v>
      </c>
    </row>
    <row r="78" spans="3:11" x14ac:dyDescent="0.25">
      <c r="C78" s="158" t="s">
        <v>571</v>
      </c>
      <c r="D78" s="158">
        <v>1043</v>
      </c>
      <c r="E78" s="158">
        <v>4</v>
      </c>
      <c r="F78" s="176">
        <v>1048</v>
      </c>
      <c r="G78" s="172">
        <v>4</v>
      </c>
      <c r="H78" s="172">
        <v>1043</v>
      </c>
      <c r="I78" s="172">
        <v>4</v>
      </c>
      <c r="J78" s="172">
        <v>1043</v>
      </c>
      <c r="K78" s="172">
        <v>4</v>
      </c>
    </row>
    <row r="79" spans="3:11" x14ac:dyDescent="0.25">
      <c r="C79" s="158" t="s">
        <v>139</v>
      </c>
      <c r="D79" s="158">
        <v>1052</v>
      </c>
      <c r="E79" s="158">
        <v>6</v>
      </c>
      <c r="F79" s="255" t="s">
        <v>944</v>
      </c>
      <c r="G79" s="256"/>
      <c r="H79" s="159">
        <v>1052</v>
      </c>
      <c r="I79" s="159">
        <v>6</v>
      </c>
      <c r="J79" s="159">
        <v>1052</v>
      </c>
      <c r="K79" s="159">
        <v>6</v>
      </c>
    </row>
    <row r="80" spans="3:11" x14ac:dyDescent="0.25">
      <c r="C80" s="158" t="s">
        <v>576</v>
      </c>
      <c r="D80" s="158">
        <v>1064</v>
      </c>
      <c r="E80" s="158">
        <v>6</v>
      </c>
      <c r="F80" s="253" t="s">
        <v>944</v>
      </c>
      <c r="G80" s="254"/>
      <c r="H80" s="172">
        <v>1064</v>
      </c>
      <c r="I80" s="172">
        <v>6</v>
      </c>
      <c r="J80" s="172">
        <v>1064</v>
      </c>
      <c r="K80" s="172">
        <v>6</v>
      </c>
    </row>
    <row r="81" spans="3:11" x14ac:dyDescent="0.25">
      <c r="C81" s="158" t="s">
        <v>579</v>
      </c>
      <c r="D81" s="158">
        <v>1075</v>
      </c>
      <c r="E81" s="158">
        <v>9</v>
      </c>
      <c r="F81" s="255" t="s">
        <v>944</v>
      </c>
      <c r="G81" s="256"/>
      <c r="H81" s="159">
        <v>1075</v>
      </c>
      <c r="I81" s="159">
        <v>9</v>
      </c>
      <c r="J81" s="159">
        <v>1075</v>
      </c>
      <c r="K81" s="159">
        <v>9</v>
      </c>
    </row>
    <row r="82" spans="3:11" x14ac:dyDescent="0.25">
      <c r="C82" s="158" t="s">
        <v>107</v>
      </c>
      <c r="D82" s="158">
        <v>1090</v>
      </c>
      <c r="E82" s="158">
        <v>1</v>
      </c>
      <c r="F82" s="253" t="s">
        <v>944</v>
      </c>
      <c r="G82" s="254"/>
      <c r="H82" s="172">
        <v>1090</v>
      </c>
      <c r="I82" s="172">
        <v>1</v>
      </c>
      <c r="J82" s="172">
        <v>1090</v>
      </c>
      <c r="K82" s="172">
        <v>1</v>
      </c>
    </row>
    <row r="83" spans="3:11" x14ac:dyDescent="0.25">
      <c r="C83" s="158" t="s">
        <v>223</v>
      </c>
      <c r="D83" s="158">
        <v>1094</v>
      </c>
      <c r="E83" s="158">
        <v>1</v>
      </c>
      <c r="F83" s="255" t="s">
        <v>944</v>
      </c>
      <c r="G83" s="256"/>
      <c r="H83" s="159">
        <v>1094</v>
      </c>
      <c r="I83" s="159">
        <v>1</v>
      </c>
      <c r="J83" s="159">
        <v>1094</v>
      </c>
      <c r="K83" s="159">
        <v>1</v>
      </c>
    </row>
    <row r="84" spans="3:11" x14ac:dyDescent="0.25">
      <c r="C84" s="158" t="s">
        <v>586</v>
      </c>
      <c r="D84" s="158">
        <v>1100</v>
      </c>
      <c r="E84" s="158">
        <v>1</v>
      </c>
      <c r="F84" s="253" t="s">
        <v>944</v>
      </c>
      <c r="G84" s="254"/>
      <c r="H84" s="172">
        <v>1100</v>
      </c>
      <c r="I84" s="172">
        <v>1</v>
      </c>
      <c r="J84" s="172">
        <v>1100</v>
      </c>
      <c r="K84" s="172">
        <v>1</v>
      </c>
    </row>
    <row r="85" spans="3:11" x14ac:dyDescent="0.25">
      <c r="C85" s="158" t="s">
        <v>165</v>
      </c>
      <c r="D85" s="158">
        <v>1107</v>
      </c>
      <c r="E85" s="158">
        <v>10</v>
      </c>
      <c r="F85" s="255" t="s">
        <v>944</v>
      </c>
      <c r="G85" s="256"/>
      <c r="H85" s="159">
        <v>1107</v>
      </c>
      <c r="I85" s="159">
        <v>10</v>
      </c>
      <c r="J85" s="159">
        <v>1107</v>
      </c>
      <c r="K85" s="159">
        <v>10</v>
      </c>
    </row>
    <row r="86" spans="3:11" x14ac:dyDescent="0.25">
      <c r="C86" s="158" t="s">
        <v>171</v>
      </c>
      <c r="D86" s="158">
        <v>1124</v>
      </c>
      <c r="E86" s="158">
        <v>1</v>
      </c>
      <c r="F86" s="253" t="s">
        <v>944</v>
      </c>
      <c r="G86" s="254"/>
      <c r="H86" s="172">
        <v>1124</v>
      </c>
      <c r="I86" s="172">
        <v>1</v>
      </c>
      <c r="J86" s="172">
        <v>1124</v>
      </c>
      <c r="K86" s="172">
        <v>1</v>
      </c>
    </row>
    <row r="87" spans="3:11" x14ac:dyDescent="0.25">
      <c r="C87" s="158" t="s">
        <v>592</v>
      </c>
      <c r="D87" s="158">
        <v>1130</v>
      </c>
      <c r="E87" s="158">
        <v>1</v>
      </c>
      <c r="F87" s="255" t="s">
        <v>944</v>
      </c>
      <c r="G87" s="256"/>
      <c r="H87" s="159">
        <v>1130</v>
      </c>
      <c r="I87" s="159">
        <v>1</v>
      </c>
      <c r="J87" s="159">
        <v>1130</v>
      </c>
      <c r="K87" s="159">
        <v>1</v>
      </c>
    </row>
    <row r="88" spans="3:11" x14ac:dyDescent="0.25">
      <c r="C88" s="158" t="s">
        <v>595</v>
      </c>
      <c r="D88" s="158">
        <v>1138</v>
      </c>
      <c r="E88" s="158">
        <v>8</v>
      </c>
      <c r="F88" s="253" t="s">
        <v>944</v>
      </c>
      <c r="G88" s="254"/>
      <c r="H88" s="172">
        <v>1138</v>
      </c>
      <c r="I88" s="172">
        <v>8</v>
      </c>
      <c r="J88" s="172">
        <v>1138</v>
      </c>
      <c r="K88" s="172">
        <v>8</v>
      </c>
    </row>
    <row r="89" spans="3:11" x14ac:dyDescent="0.25">
      <c r="C89" s="158" t="s">
        <v>597</v>
      </c>
      <c r="D89" s="159">
        <v>1154</v>
      </c>
      <c r="E89" s="159">
        <v>4</v>
      </c>
      <c r="F89" s="255" t="s">
        <v>944</v>
      </c>
      <c r="G89" s="256"/>
      <c r="H89" s="159">
        <v>1154</v>
      </c>
      <c r="I89" s="159">
        <v>4</v>
      </c>
      <c r="J89" s="159">
        <v>1154</v>
      </c>
      <c r="K89" s="159">
        <v>4</v>
      </c>
    </row>
    <row r="90" spans="3:11" x14ac:dyDescent="0.25">
      <c r="C90" s="158" t="s">
        <v>600</v>
      </c>
      <c r="D90" s="158">
        <v>1163</v>
      </c>
      <c r="E90" s="158">
        <v>6</v>
      </c>
      <c r="F90" s="253" t="s">
        <v>944</v>
      </c>
      <c r="G90" s="254"/>
      <c r="H90" s="172">
        <v>1163</v>
      </c>
      <c r="I90" s="172">
        <v>6</v>
      </c>
      <c r="J90" s="172">
        <v>1163</v>
      </c>
      <c r="K90" s="172">
        <v>6</v>
      </c>
    </row>
    <row r="91" spans="3:11" x14ac:dyDescent="0.25">
      <c r="C91" s="158" t="s">
        <v>602</v>
      </c>
      <c r="D91" s="158">
        <v>1180</v>
      </c>
      <c r="E91" s="158">
        <v>1</v>
      </c>
      <c r="F91" s="255" t="s">
        <v>944</v>
      </c>
      <c r="G91" s="256"/>
      <c r="H91" s="159">
        <v>1180</v>
      </c>
      <c r="I91" s="159">
        <v>1</v>
      </c>
      <c r="J91" s="159">
        <v>1180</v>
      </c>
      <c r="K91" s="159">
        <v>1</v>
      </c>
    </row>
    <row r="92" spans="3:11" x14ac:dyDescent="0.25">
      <c r="C92" s="158" t="s">
        <v>167</v>
      </c>
      <c r="D92" s="158">
        <v>1190</v>
      </c>
      <c r="E92" s="158">
        <v>9</v>
      </c>
      <c r="F92" s="253" t="s">
        <v>944</v>
      </c>
      <c r="G92" s="254"/>
      <c r="H92" s="172">
        <v>1190</v>
      </c>
      <c r="I92" s="172">
        <v>9</v>
      </c>
      <c r="J92" s="172">
        <v>1190</v>
      </c>
      <c r="K92" s="172">
        <v>9</v>
      </c>
    </row>
    <row r="93" spans="3:11" x14ac:dyDescent="0.25">
      <c r="C93" s="158" t="s">
        <v>607</v>
      </c>
      <c r="D93" s="158">
        <v>1206</v>
      </c>
      <c r="E93" s="158">
        <v>7</v>
      </c>
      <c r="F93" s="255" t="s">
        <v>944</v>
      </c>
      <c r="G93" s="256"/>
      <c r="H93" s="159">
        <v>1206</v>
      </c>
      <c r="I93" s="159">
        <v>7</v>
      </c>
      <c r="J93" s="159">
        <v>1206</v>
      </c>
      <c r="K93" s="159">
        <v>7</v>
      </c>
    </row>
    <row r="94" spans="3:11" x14ac:dyDescent="0.25">
      <c r="C94" s="158" t="s">
        <v>170</v>
      </c>
      <c r="D94" s="158">
        <v>1219</v>
      </c>
      <c r="E94" s="158">
        <v>7</v>
      </c>
      <c r="F94" s="253" t="s">
        <v>944</v>
      </c>
      <c r="G94" s="254"/>
      <c r="H94" s="172">
        <v>1219</v>
      </c>
      <c r="I94" s="172">
        <v>7</v>
      </c>
      <c r="J94" s="172">
        <v>1219</v>
      </c>
      <c r="K94" s="172">
        <v>7</v>
      </c>
    </row>
    <row r="95" spans="3:11" x14ac:dyDescent="0.25">
      <c r="C95" s="158" t="s">
        <v>169</v>
      </c>
      <c r="D95" s="159">
        <v>1232</v>
      </c>
      <c r="E95" s="159">
        <v>7</v>
      </c>
      <c r="F95" s="255" t="s">
        <v>944</v>
      </c>
      <c r="G95" s="256"/>
      <c r="H95" s="159">
        <v>1232</v>
      </c>
      <c r="I95" s="159">
        <v>7</v>
      </c>
      <c r="J95" s="159">
        <v>1232</v>
      </c>
      <c r="K95" s="159">
        <v>7</v>
      </c>
    </row>
    <row r="96" spans="3:11" x14ac:dyDescent="0.25">
      <c r="C96" s="158" t="s">
        <v>613</v>
      </c>
      <c r="D96" s="158">
        <v>1243</v>
      </c>
      <c r="E96" s="158">
        <v>2</v>
      </c>
      <c r="F96" s="172">
        <v>1057</v>
      </c>
      <c r="G96" s="172">
        <v>2</v>
      </c>
      <c r="H96" s="172">
        <v>1243</v>
      </c>
      <c r="I96" s="172">
        <v>2</v>
      </c>
      <c r="J96" s="172">
        <v>1243</v>
      </c>
      <c r="K96" s="172">
        <v>2</v>
      </c>
    </row>
    <row r="97" spans="3:11" x14ac:dyDescent="0.25">
      <c r="C97" s="158" t="s">
        <v>188</v>
      </c>
      <c r="D97" s="158">
        <v>1250</v>
      </c>
      <c r="E97" s="158">
        <v>3</v>
      </c>
      <c r="F97" s="255" t="s">
        <v>944</v>
      </c>
      <c r="G97" s="256"/>
      <c r="H97" s="159">
        <v>1250</v>
      </c>
      <c r="I97" s="159">
        <v>3</v>
      </c>
      <c r="J97" s="159">
        <v>1250</v>
      </c>
      <c r="K97" s="159">
        <v>3</v>
      </c>
    </row>
    <row r="98" spans="3:11" x14ac:dyDescent="0.25">
      <c r="C98" s="158" t="s">
        <v>615</v>
      </c>
      <c r="D98" s="158">
        <v>1261</v>
      </c>
      <c r="E98" s="158">
        <v>2</v>
      </c>
      <c r="F98" s="253" t="s">
        <v>944</v>
      </c>
      <c r="G98" s="254"/>
      <c r="H98" s="172">
        <v>1261</v>
      </c>
      <c r="I98" s="172">
        <v>2</v>
      </c>
      <c r="J98" s="172">
        <v>1261</v>
      </c>
      <c r="K98" s="172">
        <v>2</v>
      </c>
    </row>
    <row r="99" spans="3:11" x14ac:dyDescent="0.25">
      <c r="C99" s="158" t="s">
        <v>618</v>
      </c>
      <c r="D99" s="158">
        <v>1270</v>
      </c>
      <c r="E99" s="158">
        <v>9</v>
      </c>
      <c r="F99" s="255" t="s">
        <v>944</v>
      </c>
      <c r="G99" s="256"/>
      <c r="H99" s="159">
        <v>1270</v>
      </c>
      <c r="I99" s="159">
        <v>9</v>
      </c>
      <c r="J99" s="159">
        <v>1270</v>
      </c>
      <c r="K99" s="159">
        <v>9</v>
      </c>
    </row>
    <row r="100" spans="3:11" x14ac:dyDescent="0.25">
      <c r="C100" s="158" t="s">
        <v>216</v>
      </c>
      <c r="D100" s="158">
        <v>1286</v>
      </c>
      <c r="E100" s="158">
        <v>2</v>
      </c>
      <c r="F100" s="253" t="s">
        <v>944</v>
      </c>
      <c r="G100" s="254"/>
      <c r="H100" s="172">
        <v>1286</v>
      </c>
      <c r="I100" s="172">
        <v>2</v>
      </c>
      <c r="J100" s="172">
        <v>1286</v>
      </c>
      <c r="K100" s="172">
        <v>2</v>
      </c>
    </row>
    <row r="101" spans="3:11" x14ac:dyDescent="0.25">
      <c r="C101" s="158" t="s">
        <v>622</v>
      </c>
      <c r="D101" s="158">
        <v>1297</v>
      </c>
      <c r="E101" s="158">
        <v>6</v>
      </c>
      <c r="F101" s="255" t="s">
        <v>944</v>
      </c>
      <c r="G101" s="256"/>
      <c r="H101" s="159">
        <v>1297</v>
      </c>
      <c r="I101" s="159">
        <v>6</v>
      </c>
      <c r="J101" s="159">
        <v>1297</v>
      </c>
      <c r="K101" s="159">
        <v>6</v>
      </c>
    </row>
    <row r="102" spans="3:11" x14ac:dyDescent="0.25">
      <c r="C102" s="158" t="s">
        <v>140</v>
      </c>
      <c r="D102" s="158">
        <v>1308</v>
      </c>
      <c r="E102" s="158">
        <v>4</v>
      </c>
      <c r="F102" s="255" t="s">
        <v>944</v>
      </c>
      <c r="G102" s="256"/>
      <c r="H102" s="172">
        <v>1308</v>
      </c>
      <c r="I102" s="172">
        <v>4</v>
      </c>
      <c r="J102" s="172">
        <v>1308</v>
      </c>
      <c r="K102" s="172">
        <v>4</v>
      </c>
    </row>
    <row r="103" spans="3:11" x14ac:dyDescent="0.25">
      <c r="C103" s="158" t="s">
        <v>626</v>
      </c>
      <c r="D103" s="158">
        <v>1329</v>
      </c>
      <c r="E103" s="158">
        <v>1</v>
      </c>
      <c r="F103" s="253" t="s">
        <v>944</v>
      </c>
      <c r="G103" s="254"/>
      <c r="H103" s="159">
        <v>1329</v>
      </c>
      <c r="I103" s="159">
        <v>1</v>
      </c>
      <c r="J103" s="159">
        <v>1329</v>
      </c>
      <c r="K103" s="159">
        <v>1</v>
      </c>
    </row>
    <row r="104" spans="3:11" x14ac:dyDescent="0.25">
      <c r="C104" s="158" t="s">
        <v>106</v>
      </c>
      <c r="D104" s="158">
        <v>1334</v>
      </c>
      <c r="E104" s="158">
        <v>4</v>
      </c>
      <c r="F104" s="172">
        <v>1075</v>
      </c>
      <c r="G104" s="172">
        <v>4</v>
      </c>
      <c r="H104" s="172">
        <v>1334</v>
      </c>
      <c r="I104" s="172">
        <v>4</v>
      </c>
      <c r="J104" s="172">
        <v>1334</v>
      </c>
      <c r="K104" s="172">
        <v>4</v>
      </c>
    </row>
    <row r="105" spans="3:11" x14ac:dyDescent="0.25">
      <c r="C105" s="158" t="s">
        <v>1177</v>
      </c>
      <c r="D105" s="158">
        <v>1139</v>
      </c>
      <c r="E105" s="158">
        <v>3</v>
      </c>
      <c r="F105" s="159">
        <v>1139</v>
      </c>
      <c r="G105" s="159">
        <v>3</v>
      </c>
      <c r="H105" s="159">
        <v>1139</v>
      </c>
      <c r="I105" s="159">
        <v>3</v>
      </c>
      <c r="J105" s="159">
        <v>1139</v>
      </c>
      <c r="K105" s="159">
        <v>3</v>
      </c>
    </row>
    <row r="106" spans="3:11" x14ac:dyDescent="0.25">
      <c r="C106" s="158" t="s">
        <v>1178</v>
      </c>
      <c r="D106" s="158">
        <v>1143</v>
      </c>
      <c r="E106" s="158">
        <v>4</v>
      </c>
      <c r="F106" s="172">
        <v>1143</v>
      </c>
      <c r="G106" s="172">
        <v>4</v>
      </c>
      <c r="H106" s="172">
        <v>1143</v>
      </c>
      <c r="I106" s="172">
        <v>4</v>
      </c>
      <c r="J106" s="172">
        <v>1143</v>
      </c>
      <c r="K106" s="172">
        <v>4</v>
      </c>
    </row>
    <row r="107" spans="3:11" x14ac:dyDescent="0.25">
      <c r="C107" s="158" t="s">
        <v>747</v>
      </c>
      <c r="D107" s="158">
        <v>1454</v>
      </c>
      <c r="E107" s="158">
        <v>1</v>
      </c>
      <c r="F107" s="255" t="s">
        <v>944</v>
      </c>
      <c r="G107" s="256"/>
      <c r="H107" s="159">
        <v>1454</v>
      </c>
      <c r="I107" s="159">
        <v>1</v>
      </c>
      <c r="J107" s="159">
        <v>1454</v>
      </c>
      <c r="K107" s="159">
        <v>1</v>
      </c>
    </row>
    <row r="108" spans="3:11" x14ac:dyDescent="0.25">
      <c r="C108" s="158" t="s">
        <v>175</v>
      </c>
      <c r="D108" s="159">
        <v>1466</v>
      </c>
      <c r="E108" s="159">
        <v>1</v>
      </c>
      <c r="F108" s="253" t="s">
        <v>944</v>
      </c>
      <c r="G108" s="254"/>
      <c r="H108" s="172">
        <v>1466</v>
      </c>
      <c r="I108" s="172">
        <v>1</v>
      </c>
      <c r="J108" s="172">
        <v>1466</v>
      </c>
      <c r="K108" s="172">
        <v>1</v>
      </c>
    </row>
    <row r="109" spans="3:11" x14ac:dyDescent="0.25">
      <c r="C109" s="158" t="s">
        <v>174</v>
      </c>
      <c r="D109" s="177">
        <v>1175</v>
      </c>
      <c r="E109" s="158">
        <v>2</v>
      </c>
      <c r="F109" s="255" t="s">
        <v>944</v>
      </c>
      <c r="G109" s="256"/>
      <c r="H109" s="177">
        <v>1175</v>
      </c>
      <c r="I109" s="159">
        <v>2</v>
      </c>
      <c r="J109" s="177">
        <v>1175</v>
      </c>
      <c r="K109" s="159">
        <v>2</v>
      </c>
    </row>
    <row r="110" spans="3:11" x14ac:dyDescent="0.25">
      <c r="C110" s="158" t="s">
        <v>635</v>
      </c>
      <c r="D110" s="158">
        <v>1186</v>
      </c>
      <c r="E110" s="159" t="s">
        <v>943</v>
      </c>
      <c r="F110" s="253" t="s">
        <v>944</v>
      </c>
      <c r="G110" s="254"/>
      <c r="H110" s="172">
        <v>1186</v>
      </c>
      <c r="I110" s="172" t="s">
        <v>943</v>
      </c>
      <c r="J110" s="172">
        <v>1186</v>
      </c>
      <c r="K110" s="172" t="s">
        <v>943</v>
      </c>
    </row>
    <row r="111" spans="3:11" x14ac:dyDescent="0.25">
      <c r="C111" s="158" t="s">
        <v>1003</v>
      </c>
      <c r="D111" s="158">
        <v>1615</v>
      </c>
      <c r="E111" s="158">
        <v>7</v>
      </c>
      <c r="F111" s="255" t="s">
        <v>944</v>
      </c>
      <c r="G111" s="256"/>
      <c r="H111" s="159">
        <v>1615</v>
      </c>
      <c r="I111" s="159">
        <v>7</v>
      </c>
      <c r="J111" s="159">
        <v>1615</v>
      </c>
      <c r="K111" s="159">
        <v>7</v>
      </c>
    </row>
    <row r="112" spans="3:11" x14ac:dyDescent="0.25">
      <c r="C112" s="158" t="s">
        <v>1004</v>
      </c>
      <c r="D112" s="158">
        <v>1695</v>
      </c>
      <c r="E112" s="158">
        <v>9</v>
      </c>
      <c r="F112" s="255" t="s">
        <v>944</v>
      </c>
      <c r="G112" s="256"/>
      <c r="H112" s="172">
        <v>1695</v>
      </c>
      <c r="I112" s="172">
        <v>9</v>
      </c>
      <c r="J112" s="172">
        <v>1695</v>
      </c>
      <c r="K112" s="172">
        <v>9</v>
      </c>
    </row>
  </sheetData>
  <mergeCells count="49">
    <mergeCell ref="B60:B61"/>
    <mergeCell ref="F110:G110"/>
    <mergeCell ref="F111:G111"/>
    <mergeCell ref="F112:G112"/>
    <mergeCell ref="J7:K7"/>
    <mergeCell ref="J8:K8"/>
    <mergeCell ref="F90:G90"/>
    <mergeCell ref="F98:G98"/>
    <mergeCell ref="F107:G107"/>
    <mergeCell ref="F108:G108"/>
    <mergeCell ref="F109:G109"/>
    <mergeCell ref="F102:G102"/>
    <mergeCell ref="F103:G103"/>
    <mergeCell ref="F97:G97"/>
    <mergeCell ref="F99:G99"/>
    <mergeCell ref="F100:G100"/>
    <mergeCell ref="F101:G101"/>
    <mergeCell ref="F91:G91"/>
    <mergeCell ref="F92:G92"/>
    <mergeCell ref="F93:G93"/>
    <mergeCell ref="F94:G94"/>
    <mergeCell ref="F95:G95"/>
    <mergeCell ref="F85:G85"/>
    <mergeCell ref="F86:G86"/>
    <mergeCell ref="F87:G87"/>
    <mergeCell ref="F88:G88"/>
    <mergeCell ref="F89:G89"/>
    <mergeCell ref="F80:G80"/>
    <mergeCell ref="F81:G81"/>
    <mergeCell ref="F82:G82"/>
    <mergeCell ref="F83:G83"/>
    <mergeCell ref="F84:G84"/>
    <mergeCell ref="F76:G76"/>
    <mergeCell ref="F79:G79"/>
    <mergeCell ref="F70:G70"/>
    <mergeCell ref="F58:G58"/>
    <mergeCell ref="F63:G63"/>
    <mergeCell ref="F9:G9"/>
    <mergeCell ref="F49:G49"/>
    <mergeCell ref="D1:K1"/>
    <mergeCell ref="F7:G7"/>
    <mergeCell ref="H7:I7"/>
    <mergeCell ref="F8:G8"/>
    <mergeCell ref="H8:I8"/>
    <mergeCell ref="B45:B46"/>
    <mergeCell ref="F54:G54"/>
    <mergeCell ref="B38:B40"/>
    <mergeCell ref="B42:B43"/>
    <mergeCell ref="B51:B52"/>
  </mergeCell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
  <sheetViews>
    <sheetView zoomScaleNormal="100" workbookViewId="0">
      <selection activeCell="B2" sqref="B2:D14"/>
    </sheetView>
  </sheetViews>
  <sheetFormatPr defaultRowHeight="15" x14ac:dyDescent="0.25"/>
  <cols>
    <col min="1" max="1" width="16.28515625" customWidth="1"/>
    <col min="2" max="2" width="40.140625" style="145" bestFit="1" customWidth="1"/>
    <col min="3" max="3" width="12.85546875" style="145" customWidth="1"/>
    <col min="4" max="4" width="11.140625" style="145" customWidth="1"/>
    <col min="6" max="6" width="36" bestFit="1" customWidth="1"/>
    <col min="7" max="7" width="12.85546875" bestFit="1" customWidth="1"/>
    <col min="8" max="8" width="11.140625" bestFit="1" customWidth="1"/>
  </cols>
  <sheetData>
    <row r="2" spans="2:8" ht="31.5" x14ac:dyDescent="0.5">
      <c r="B2" s="168" t="s">
        <v>1270</v>
      </c>
      <c r="C2" s="250" t="s">
        <v>941</v>
      </c>
      <c r="D2" s="250"/>
      <c r="F2" s="168" t="s">
        <v>1271</v>
      </c>
      <c r="G2" s="250" t="s">
        <v>941</v>
      </c>
      <c r="H2" s="250"/>
    </row>
    <row r="3" spans="2:8" x14ac:dyDescent="0.25">
      <c r="B3" s="90" t="s">
        <v>731</v>
      </c>
      <c r="C3" s="90" t="s">
        <v>729</v>
      </c>
      <c r="D3" s="90" t="s">
        <v>730</v>
      </c>
      <c r="F3" s="90" t="s">
        <v>731</v>
      </c>
      <c r="G3" s="90" t="s">
        <v>729</v>
      </c>
      <c r="H3" s="90" t="s">
        <v>730</v>
      </c>
    </row>
    <row r="4" spans="2:8" x14ac:dyDescent="0.25">
      <c r="B4" s="101" t="s">
        <v>955</v>
      </c>
      <c r="C4" s="163">
        <v>1</v>
      </c>
      <c r="D4" s="163">
        <v>4</v>
      </c>
      <c r="F4" s="101" t="s">
        <v>955</v>
      </c>
      <c r="G4" s="163">
        <v>1</v>
      </c>
      <c r="H4" s="163">
        <v>4</v>
      </c>
    </row>
    <row r="5" spans="2:8" x14ac:dyDescent="0.25">
      <c r="B5" s="62" t="s">
        <v>1259</v>
      </c>
      <c r="C5" s="164">
        <v>183</v>
      </c>
      <c r="D5" s="165">
        <v>17</v>
      </c>
      <c r="F5" s="62" t="s">
        <v>1259</v>
      </c>
      <c r="G5" s="164">
        <v>183</v>
      </c>
      <c r="H5" s="165">
        <v>7</v>
      </c>
    </row>
    <row r="6" spans="2:8" x14ac:dyDescent="0.25">
      <c r="B6" s="101" t="s">
        <v>1260</v>
      </c>
      <c r="C6" s="163">
        <v>227</v>
      </c>
      <c r="D6" s="163">
        <v>2</v>
      </c>
      <c r="F6" s="101" t="s">
        <v>1260</v>
      </c>
      <c r="G6" s="163">
        <v>227</v>
      </c>
      <c r="H6" s="163"/>
    </row>
    <row r="7" spans="2:8" x14ac:dyDescent="0.25">
      <c r="B7" s="62" t="s">
        <v>901</v>
      </c>
      <c r="C7" s="164">
        <v>335</v>
      </c>
      <c r="D7" s="164">
        <v>4</v>
      </c>
      <c r="F7" s="62" t="s">
        <v>901</v>
      </c>
      <c r="G7" s="164">
        <v>335</v>
      </c>
      <c r="H7" s="164">
        <v>4</v>
      </c>
    </row>
    <row r="8" spans="2:8" x14ac:dyDescent="0.25">
      <c r="B8" s="101" t="s">
        <v>1272</v>
      </c>
      <c r="C8" s="163">
        <v>356</v>
      </c>
      <c r="D8" s="163">
        <v>1</v>
      </c>
      <c r="F8" s="101" t="s">
        <v>1272</v>
      </c>
      <c r="G8" s="163">
        <v>356</v>
      </c>
      <c r="H8" s="163">
        <v>1</v>
      </c>
    </row>
    <row r="9" spans="2:8" x14ac:dyDescent="0.25">
      <c r="B9" s="62" t="s">
        <v>592</v>
      </c>
      <c r="C9" s="164">
        <v>366</v>
      </c>
      <c r="D9" s="164">
        <v>1</v>
      </c>
      <c r="F9" s="62" t="s">
        <v>592</v>
      </c>
      <c r="G9" s="164">
        <v>366</v>
      </c>
      <c r="H9" s="164">
        <v>1</v>
      </c>
    </row>
    <row r="10" spans="2:8" x14ac:dyDescent="0.25">
      <c r="B10" s="101" t="s">
        <v>571</v>
      </c>
      <c r="C10" s="163">
        <v>385</v>
      </c>
      <c r="D10" s="163">
        <v>4</v>
      </c>
      <c r="F10" s="101" t="s">
        <v>571</v>
      </c>
      <c r="G10" s="163">
        <v>385</v>
      </c>
      <c r="H10" s="163">
        <v>4</v>
      </c>
    </row>
    <row r="11" spans="2:8" x14ac:dyDescent="0.25">
      <c r="B11" s="101" t="s">
        <v>188</v>
      </c>
      <c r="C11" s="163">
        <v>490</v>
      </c>
      <c r="D11" s="163">
        <v>2</v>
      </c>
      <c r="F11" s="101" t="s">
        <v>188</v>
      </c>
      <c r="G11" s="163">
        <v>490</v>
      </c>
      <c r="H11" s="163">
        <v>2</v>
      </c>
    </row>
    <row r="12" spans="2:8" x14ac:dyDescent="0.25">
      <c r="B12" s="101" t="s">
        <v>742</v>
      </c>
      <c r="C12" s="163">
        <v>524</v>
      </c>
      <c r="D12" s="163">
        <v>10</v>
      </c>
      <c r="F12" s="101" t="s">
        <v>742</v>
      </c>
      <c r="G12" s="163">
        <v>524</v>
      </c>
      <c r="H12" s="163">
        <v>10</v>
      </c>
    </row>
    <row r="13" spans="2:8" x14ac:dyDescent="0.25">
      <c r="B13" s="62" t="s">
        <v>743</v>
      </c>
      <c r="C13" s="164">
        <v>538</v>
      </c>
      <c r="D13" s="164">
        <v>5</v>
      </c>
      <c r="F13" s="62" t="s">
        <v>743</v>
      </c>
      <c r="G13" s="164">
        <v>538</v>
      </c>
      <c r="H13" s="164">
        <v>5</v>
      </c>
    </row>
    <row r="14" spans="2:8" x14ac:dyDescent="0.25">
      <c r="B14" s="62" t="s">
        <v>1250</v>
      </c>
      <c r="C14" s="164">
        <v>782</v>
      </c>
      <c r="D14" s="164"/>
      <c r="F14" s="62" t="s">
        <v>1250</v>
      </c>
      <c r="G14" s="164">
        <v>782</v>
      </c>
      <c r="H14" s="164"/>
    </row>
  </sheetData>
  <mergeCells count="2">
    <mergeCell ref="G2:H2"/>
    <mergeCell ref="C2:D2"/>
  </mergeCells>
  <pageMargins left="0.7" right="0.7" top="0.75" bottom="0.75" header="0.3" footer="0.3"/>
  <pageSetup orientation="portrait" r:id="rId1"/>
  <tableParts count="2">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0"/>
  <sheetViews>
    <sheetView showGridLines="0" workbookViewId="0">
      <selection activeCell="B81" sqref="B81"/>
    </sheetView>
  </sheetViews>
  <sheetFormatPr defaultRowHeight="15" x14ac:dyDescent="0.25"/>
  <cols>
    <col min="1" max="1" width="16.28515625" bestFit="1" customWidth="1"/>
    <col min="2" max="2" width="22.85546875" style="58" customWidth="1"/>
    <col min="3" max="3" width="12.85546875" style="58" customWidth="1"/>
    <col min="4" max="4" width="11.140625" style="58" customWidth="1"/>
  </cols>
  <sheetData>
    <row r="2" spans="2:4" ht="26.25" x14ac:dyDescent="0.4">
      <c r="B2" s="90" t="s">
        <v>945</v>
      </c>
      <c r="C2" s="250" t="s">
        <v>941</v>
      </c>
      <c r="D2" s="250"/>
    </row>
    <row r="3" spans="2:4" x14ac:dyDescent="0.25">
      <c r="B3" s="90" t="s">
        <v>731</v>
      </c>
      <c r="C3" s="90" t="s">
        <v>729</v>
      </c>
      <c r="D3" s="90" t="s">
        <v>730</v>
      </c>
    </row>
    <row r="4" spans="2:4" x14ac:dyDescent="0.25">
      <c r="B4" s="42" t="s">
        <v>955</v>
      </c>
      <c r="C4" s="90">
        <v>1</v>
      </c>
      <c r="D4" s="90">
        <v>4</v>
      </c>
    </row>
    <row r="5" spans="2:4" x14ac:dyDescent="0.25">
      <c r="B5" s="42" t="s">
        <v>1169</v>
      </c>
      <c r="C5" s="90">
        <v>7</v>
      </c>
      <c r="D5" s="90">
        <v>17</v>
      </c>
    </row>
    <row r="6" spans="2:4" x14ac:dyDescent="0.25">
      <c r="B6" s="42" t="s">
        <v>1170</v>
      </c>
      <c r="C6" s="90">
        <v>24</v>
      </c>
      <c r="D6" s="90">
        <v>4</v>
      </c>
    </row>
    <row r="7" spans="2:4" x14ac:dyDescent="0.25">
      <c r="B7" s="42" t="s">
        <v>748</v>
      </c>
      <c r="C7" s="90">
        <v>87</v>
      </c>
      <c r="D7" s="90">
        <v>2</v>
      </c>
    </row>
    <row r="8" spans="2:4" x14ac:dyDescent="0.25">
      <c r="B8" s="42" t="s">
        <v>749</v>
      </c>
      <c r="C8" s="90">
        <v>90</v>
      </c>
      <c r="D8" s="90">
        <v>2</v>
      </c>
    </row>
    <row r="9" spans="2:4" x14ac:dyDescent="0.25">
      <c r="B9" s="42" t="s">
        <v>750</v>
      </c>
      <c r="C9" s="90">
        <v>93</v>
      </c>
      <c r="D9" s="90">
        <v>2</v>
      </c>
    </row>
    <row r="10" spans="2:4" x14ac:dyDescent="0.25">
      <c r="B10" s="42" t="s">
        <v>751</v>
      </c>
      <c r="C10" s="90">
        <v>96</v>
      </c>
      <c r="D10" s="90">
        <v>2</v>
      </c>
    </row>
    <row r="11" spans="2:4" x14ac:dyDescent="0.25">
      <c r="B11" s="42" t="s">
        <v>752</v>
      </c>
      <c r="C11" s="90">
        <v>99</v>
      </c>
      <c r="D11" s="90">
        <v>2</v>
      </c>
    </row>
    <row r="12" spans="2:4" x14ac:dyDescent="0.25">
      <c r="B12" s="42" t="s">
        <v>753</v>
      </c>
      <c r="C12" s="90">
        <v>102</v>
      </c>
      <c r="D12" s="90">
        <v>2</v>
      </c>
    </row>
    <row r="13" spans="2:4" x14ac:dyDescent="0.25">
      <c r="B13" s="42" t="s">
        <v>754</v>
      </c>
      <c r="C13" s="90">
        <v>105</v>
      </c>
      <c r="D13" s="90">
        <v>2</v>
      </c>
    </row>
    <row r="14" spans="2:4" x14ac:dyDescent="0.25">
      <c r="B14" s="42" t="s">
        <v>755</v>
      </c>
      <c r="C14" s="90">
        <v>108</v>
      </c>
      <c r="D14" s="90">
        <v>2</v>
      </c>
    </row>
    <row r="15" spans="2:4" x14ac:dyDescent="0.25">
      <c r="B15" s="42" t="s">
        <v>756</v>
      </c>
      <c r="C15" s="90">
        <v>111</v>
      </c>
      <c r="D15" s="90">
        <v>2</v>
      </c>
    </row>
    <row r="16" spans="2:4" x14ac:dyDescent="0.25">
      <c r="B16" s="42" t="s">
        <v>757</v>
      </c>
      <c r="C16" s="90">
        <v>114</v>
      </c>
      <c r="D16" s="90">
        <v>2</v>
      </c>
    </row>
    <row r="17" spans="2:4" x14ac:dyDescent="0.25">
      <c r="B17" s="42" t="s">
        <v>726</v>
      </c>
      <c r="C17" s="90">
        <v>124</v>
      </c>
      <c r="D17" s="90">
        <v>6</v>
      </c>
    </row>
    <row r="18" spans="2:4" x14ac:dyDescent="0.25">
      <c r="B18" s="42" t="s">
        <v>741</v>
      </c>
      <c r="C18" s="90">
        <v>138</v>
      </c>
      <c r="D18" s="90">
        <v>6</v>
      </c>
    </row>
    <row r="19" spans="2:4" x14ac:dyDescent="0.25">
      <c r="B19" s="42" t="s">
        <v>742</v>
      </c>
      <c r="C19" s="90">
        <v>173</v>
      </c>
      <c r="D19" s="90">
        <v>10</v>
      </c>
    </row>
    <row r="20" spans="2:4" x14ac:dyDescent="0.25">
      <c r="B20" s="42" t="s">
        <v>743</v>
      </c>
      <c r="C20" s="90">
        <v>191</v>
      </c>
      <c r="D20" s="90">
        <v>5</v>
      </c>
    </row>
    <row r="21" spans="2:4" x14ac:dyDescent="0.25">
      <c r="B21" s="42" t="s">
        <v>644</v>
      </c>
      <c r="C21" s="90">
        <v>203</v>
      </c>
      <c r="D21" s="90">
        <v>5</v>
      </c>
    </row>
    <row r="22" spans="2:4" x14ac:dyDescent="0.25">
      <c r="B22" s="42" t="s">
        <v>744</v>
      </c>
      <c r="C22" s="90">
        <v>215</v>
      </c>
      <c r="D22" s="90">
        <v>7</v>
      </c>
    </row>
    <row r="23" spans="2:4" x14ac:dyDescent="0.25">
      <c r="B23" s="42" t="s">
        <v>17</v>
      </c>
      <c r="C23" s="90">
        <v>250</v>
      </c>
      <c r="D23" s="90">
        <v>17</v>
      </c>
    </row>
    <row r="24" spans="2:4" x14ac:dyDescent="0.25">
      <c r="B24" s="42" t="s">
        <v>113</v>
      </c>
      <c r="C24" s="90">
        <v>271</v>
      </c>
      <c r="D24" s="90">
        <v>4</v>
      </c>
    </row>
    <row r="25" spans="2:4" x14ac:dyDescent="0.25">
      <c r="B25" s="42" t="s">
        <v>116</v>
      </c>
      <c r="C25" s="90">
        <v>280</v>
      </c>
      <c r="D25" s="90">
        <v>8</v>
      </c>
    </row>
    <row r="26" spans="2:4" x14ac:dyDescent="0.25">
      <c r="B26" s="42" t="s">
        <v>158</v>
      </c>
      <c r="C26" s="90">
        <v>300</v>
      </c>
      <c r="D26" s="90">
        <v>6</v>
      </c>
    </row>
    <row r="27" spans="2:4" x14ac:dyDescent="0.25">
      <c r="B27" s="42" t="s">
        <v>114</v>
      </c>
      <c r="C27" s="90">
        <v>322</v>
      </c>
      <c r="D27" s="90">
        <v>2</v>
      </c>
    </row>
    <row r="28" spans="2:4" x14ac:dyDescent="0.25">
      <c r="B28" s="42" t="s">
        <v>803</v>
      </c>
      <c r="C28" s="90">
        <v>331</v>
      </c>
      <c r="D28" s="90">
        <v>3</v>
      </c>
    </row>
    <row r="29" spans="2:4" x14ac:dyDescent="0.25">
      <c r="B29" s="42" t="s">
        <v>804</v>
      </c>
      <c r="C29" s="90">
        <v>335</v>
      </c>
      <c r="D29" s="90">
        <v>3</v>
      </c>
    </row>
    <row r="30" spans="2:4" x14ac:dyDescent="0.25">
      <c r="B30" s="42" t="s">
        <v>120</v>
      </c>
      <c r="C30" s="90">
        <v>342</v>
      </c>
      <c r="D30" s="90">
        <v>4</v>
      </c>
    </row>
    <row r="31" spans="2:4" x14ac:dyDescent="0.25">
      <c r="B31" s="42" t="s">
        <v>121</v>
      </c>
      <c r="C31" s="90">
        <v>350</v>
      </c>
      <c r="D31" s="90">
        <v>6</v>
      </c>
    </row>
    <row r="32" spans="2:4" x14ac:dyDescent="0.25">
      <c r="B32" s="42" t="s">
        <v>745</v>
      </c>
      <c r="C32" s="90">
        <v>360</v>
      </c>
      <c r="D32" s="90">
        <v>7</v>
      </c>
    </row>
    <row r="33" spans="1:4" x14ac:dyDescent="0.25">
      <c r="B33" s="42" t="s">
        <v>122</v>
      </c>
      <c r="C33" s="90">
        <v>371</v>
      </c>
      <c r="D33" s="90">
        <v>6</v>
      </c>
    </row>
    <row r="34" spans="1:4" x14ac:dyDescent="0.25">
      <c r="B34" s="42" t="s">
        <v>746</v>
      </c>
      <c r="C34" s="90">
        <v>382</v>
      </c>
      <c r="D34" s="90">
        <v>9</v>
      </c>
    </row>
    <row r="35" spans="1:4" x14ac:dyDescent="0.25">
      <c r="A35" s="252" t="s">
        <v>123</v>
      </c>
      <c r="B35" s="42" t="s">
        <v>805</v>
      </c>
      <c r="C35" s="90">
        <v>405</v>
      </c>
      <c r="D35" s="42">
        <v>1</v>
      </c>
    </row>
    <row r="36" spans="1:4" x14ac:dyDescent="0.25">
      <c r="A36" s="252"/>
      <c r="B36" s="42" t="s">
        <v>806</v>
      </c>
      <c r="C36" s="90">
        <v>407</v>
      </c>
      <c r="D36" s="42">
        <v>30</v>
      </c>
    </row>
    <row r="37" spans="1:4" x14ac:dyDescent="0.25">
      <c r="A37" s="252"/>
      <c r="B37" s="42" t="s">
        <v>807</v>
      </c>
      <c r="C37" s="90">
        <v>438</v>
      </c>
      <c r="D37" s="42">
        <v>26</v>
      </c>
    </row>
    <row r="38" spans="1:4" x14ac:dyDescent="0.25">
      <c r="B38" s="42" t="s">
        <v>125</v>
      </c>
      <c r="C38" s="90">
        <v>485</v>
      </c>
      <c r="D38" s="42">
        <v>25</v>
      </c>
    </row>
    <row r="39" spans="1:4" x14ac:dyDescent="0.25">
      <c r="A39" s="252" t="s">
        <v>808</v>
      </c>
      <c r="B39" s="42" t="s">
        <v>809</v>
      </c>
      <c r="C39" s="90">
        <v>514</v>
      </c>
      <c r="D39" s="42">
        <v>17</v>
      </c>
    </row>
    <row r="40" spans="1:4" x14ac:dyDescent="0.25">
      <c r="A40" s="252"/>
      <c r="B40" s="42" t="s">
        <v>810</v>
      </c>
      <c r="C40" s="90">
        <v>532</v>
      </c>
      <c r="D40" s="42">
        <v>2</v>
      </c>
    </row>
    <row r="41" spans="1:4" x14ac:dyDescent="0.25">
      <c r="B41" s="42" t="s">
        <v>126</v>
      </c>
      <c r="C41" s="90">
        <v>539</v>
      </c>
      <c r="D41" s="42">
        <v>5</v>
      </c>
    </row>
    <row r="42" spans="1:4" x14ac:dyDescent="0.25">
      <c r="A42" s="252" t="s">
        <v>127</v>
      </c>
      <c r="B42" s="42" t="s">
        <v>811</v>
      </c>
      <c r="C42" s="90">
        <v>565</v>
      </c>
      <c r="D42" s="42">
        <v>1</v>
      </c>
    </row>
    <row r="43" spans="1:4" x14ac:dyDescent="0.25">
      <c r="A43" s="252"/>
      <c r="B43" s="42" t="s">
        <v>812</v>
      </c>
      <c r="C43" s="90">
        <v>567</v>
      </c>
      <c r="D43" s="42">
        <v>30</v>
      </c>
    </row>
    <row r="44" spans="1:4" x14ac:dyDescent="0.25">
      <c r="B44" s="42" t="s">
        <v>130</v>
      </c>
      <c r="C44" s="90">
        <v>603</v>
      </c>
      <c r="D44" s="42">
        <v>8</v>
      </c>
    </row>
    <row r="45" spans="1:4" x14ac:dyDescent="0.25">
      <c r="B45" s="42" t="s">
        <v>651</v>
      </c>
      <c r="C45" s="90">
        <v>616</v>
      </c>
      <c r="D45" s="42">
        <v>8</v>
      </c>
    </row>
    <row r="46" spans="1:4" x14ac:dyDescent="0.25">
      <c r="B46" s="42" t="s">
        <v>131</v>
      </c>
      <c r="C46" s="90">
        <v>629</v>
      </c>
      <c r="D46" s="42">
        <v>1</v>
      </c>
    </row>
    <row r="47" spans="1:4" x14ac:dyDescent="0.25">
      <c r="B47" s="42" t="s">
        <v>132</v>
      </c>
      <c r="C47" s="90">
        <v>645</v>
      </c>
      <c r="D47" s="42">
        <v>25</v>
      </c>
    </row>
    <row r="48" spans="1:4" x14ac:dyDescent="0.25">
      <c r="A48" s="252" t="s">
        <v>808</v>
      </c>
      <c r="B48" s="42" t="s">
        <v>809</v>
      </c>
      <c r="C48" s="90">
        <v>674</v>
      </c>
      <c r="D48" s="42">
        <v>17</v>
      </c>
    </row>
    <row r="49" spans="1:4" x14ac:dyDescent="0.25">
      <c r="A49" s="252"/>
      <c r="B49" s="42" t="s">
        <v>810</v>
      </c>
      <c r="C49" s="90">
        <v>692</v>
      </c>
      <c r="D49" s="42">
        <v>2</v>
      </c>
    </row>
    <row r="50" spans="1:4" x14ac:dyDescent="0.25">
      <c r="B50" s="42" t="s">
        <v>126</v>
      </c>
      <c r="C50" s="90">
        <v>699</v>
      </c>
      <c r="D50" s="42">
        <v>5</v>
      </c>
    </row>
    <row r="51" spans="1:4" x14ac:dyDescent="0.25">
      <c r="B51" s="42" t="s">
        <v>133</v>
      </c>
      <c r="C51" s="90">
        <v>727</v>
      </c>
      <c r="D51" s="42">
        <v>28</v>
      </c>
    </row>
    <row r="52" spans="1:4" x14ac:dyDescent="0.25">
      <c r="B52" s="42" t="s">
        <v>656</v>
      </c>
      <c r="C52" s="90">
        <v>760</v>
      </c>
      <c r="D52" s="42">
        <v>12</v>
      </c>
    </row>
    <row r="53" spans="1:4" x14ac:dyDescent="0.25">
      <c r="B53" s="42" t="s">
        <v>524</v>
      </c>
      <c r="C53" s="90">
        <v>778</v>
      </c>
      <c r="D53" s="42">
        <v>6</v>
      </c>
    </row>
    <row r="54" spans="1:4" x14ac:dyDescent="0.25">
      <c r="B54" s="42" t="s">
        <v>125</v>
      </c>
      <c r="C54" s="90">
        <v>805</v>
      </c>
      <c r="D54" s="42">
        <v>25</v>
      </c>
    </row>
    <row r="55" spans="1:4" x14ac:dyDescent="0.25">
      <c r="A55" s="252" t="s">
        <v>813</v>
      </c>
      <c r="B55" s="42" t="s">
        <v>809</v>
      </c>
      <c r="C55" s="90">
        <v>834</v>
      </c>
      <c r="D55" s="42">
        <v>16</v>
      </c>
    </row>
    <row r="56" spans="1:4" x14ac:dyDescent="0.25">
      <c r="A56" s="252"/>
      <c r="B56" s="42" t="s">
        <v>810</v>
      </c>
      <c r="C56" s="90">
        <v>851</v>
      </c>
      <c r="D56" s="42">
        <v>2</v>
      </c>
    </row>
    <row r="57" spans="1:4" x14ac:dyDescent="0.25">
      <c r="B57" s="42" t="s">
        <v>126</v>
      </c>
      <c r="C57" s="90">
        <v>859</v>
      </c>
      <c r="D57" s="42">
        <v>5</v>
      </c>
    </row>
    <row r="58" spans="1:4" x14ac:dyDescent="0.25">
      <c r="B58" s="42" t="s">
        <v>530</v>
      </c>
      <c r="C58" s="90">
        <v>870</v>
      </c>
      <c r="D58" s="42">
        <v>3</v>
      </c>
    </row>
    <row r="59" spans="1:4" x14ac:dyDescent="0.25">
      <c r="B59" s="42" t="s">
        <v>134</v>
      </c>
      <c r="C59" s="90">
        <v>885</v>
      </c>
      <c r="D59" s="42">
        <v>3</v>
      </c>
    </row>
    <row r="60" spans="1:4" x14ac:dyDescent="0.25">
      <c r="B60" s="42" t="s">
        <v>135</v>
      </c>
      <c r="C60" s="90">
        <v>891</v>
      </c>
      <c r="D60" s="42">
        <v>6</v>
      </c>
    </row>
    <row r="61" spans="1:4" x14ac:dyDescent="0.25">
      <c r="B61" s="42" t="s">
        <v>136</v>
      </c>
      <c r="C61" s="90">
        <v>902</v>
      </c>
      <c r="D61" s="42">
        <v>8</v>
      </c>
    </row>
    <row r="62" spans="1:4" x14ac:dyDescent="0.25">
      <c r="B62" s="42" t="s">
        <v>137</v>
      </c>
      <c r="C62" s="90">
        <v>915</v>
      </c>
      <c r="D62" s="42">
        <v>2</v>
      </c>
    </row>
    <row r="63" spans="1:4" x14ac:dyDescent="0.25">
      <c r="B63" s="42" t="s">
        <v>538</v>
      </c>
      <c r="C63" s="90">
        <v>922</v>
      </c>
      <c r="D63" s="42">
        <v>7</v>
      </c>
    </row>
    <row r="64" spans="1:4" x14ac:dyDescent="0.25">
      <c r="B64" s="42" t="s">
        <v>541</v>
      </c>
      <c r="C64" s="90">
        <v>939</v>
      </c>
      <c r="D64" s="42">
        <v>4</v>
      </c>
    </row>
    <row r="65" spans="2:4" x14ac:dyDescent="0.25">
      <c r="B65" s="42" t="s">
        <v>551</v>
      </c>
      <c r="C65" s="90">
        <v>965</v>
      </c>
      <c r="D65" s="42">
        <v>2</v>
      </c>
    </row>
    <row r="66" spans="2:4" x14ac:dyDescent="0.25">
      <c r="B66" s="42" t="s">
        <v>554</v>
      </c>
      <c r="C66" s="90">
        <v>974</v>
      </c>
      <c r="D66" s="42">
        <v>6</v>
      </c>
    </row>
    <row r="67" spans="2:4" x14ac:dyDescent="0.25">
      <c r="B67" s="42" t="s">
        <v>556</v>
      </c>
      <c r="C67" s="90">
        <v>986</v>
      </c>
      <c r="D67" s="42">
        <v>2</v>
      </c>
    </row>
    <row r="68" spans="2:4" x14ac:dyDescent="0.25">
      <c r="B68" s="42" t="s">
        <v>560</v>
      </c>
      <c r="C68" s="90">
        <v>995</v>
      </c>
      <c r="D68" s="42">
        <v>6</v>
      </c>
    </row>
    <row r="69" spans="2:4" x14ac:dyDescent="0.25">
      <c r="B69" s="42" t="s">
        <v>563</v>
      </c>
      <c r="C69" s="90">
        <v>1003</v>
      </c>
      <c r="D69" s="42">
        <v>10</v>
      </c>
    </row>
    <row r="70" spans="2:4" x14ac:dyDescent="0.25">
      <c r="B70" s="42" t="s">
        <v>210</v>
      </c>
      <c r="C70" s="90">
        <v>1020</v>
      </c>
      <c r="D70" s="42">
        <v>10</v>
      </c>
    </row>
    <row r="71" spans="2:4" x14ac:dyDescent="0.25">
      <c r="B71" s="42" t="s">
        <v>571</v>
      </c>
      <c r="C71" s="90">
        <v>1043</v>
      </c>
      <c r="D71" s="42">
        <v>4</v>
      </c>
    </row>
    <row r="72" spans="2:4" x14ac:dyDescent="0.25">
      <c r="B72" s="42" t="s">
        <v>613</v>
      </c>
      <c r="C72" s="90">
        <v>1051</v>
      </c>
      <c r="D72" s="42"/>
    </row>
    <row r="73" spans="2:4" x14ac:dyDescent="0.25">
      <c r="B73" s="42" t="s">
        <v>106</v>
      </c>
      <c r="C73" s="90">
        <v>1067</v>
      </c>
      <c r="D73" s="42">
        <v>4</v>
      </c>
    </row>
    <row r="74" spans="2:4" x14ac:dyDescent="0.25">
      <c r="B74" s="42" t="s">
        <v>639</v>
      </c>
      <c r="C74" s="90">
        <v>1107</v>
      </c>
      <c r="D74" s="42">
        <v>1</v>
      </c>
    </row>
    <row r="75" spans="2:4" x14ac:dyDescent="0.25">
      <c r="B75" s="42" t="s">
        <v>640</v>
      </c>
      <c r="C75" s="90">
        <v>1211</v>
      </c>
      <c r="D75" s="42" t="s">
        <v>943</v>
      </c>
    </row>
    <row r="76" spans="2:4" x14ac:dyDescent="0.25">
      <c r="B76" s="42" t="s">
        <v>642</v>
      </c>
      <c r="C76" s="90">
        <v>1456</v>
      </c>
      <c r="D76" s="42" t="s">
        <v>943</v>
      </c>
    </row>
    <row r="77" spans="2:4" x14ac:dyDescent="0.25">
      <c r="B77" s="42" t="s">
        <v>643</v>
      </c>
      <c r="C77" s="90">
        <v>1472</v>
      </c>
      <c r="D77" s="42" t="s">
        <v>943</v>
      </c>
    </row>
    <row r="78" spans="2:4" x14ac:dyDescent="0.25">
      <c r="B78" s="42" t="s">
        <v>1003</v>
      </c>
      <c r="C78" s="90">
        <v>1606</v>
      </c>
      <c r="D78" s="42">
        <v>10</v>
      </c>
    </row>
    <row r="79" spans="2:4" x14ac:dyDescent="0.25">
      <c r="B79" s="42" t="s">
        <v>1017</v>
      </c>
      <c r="C79" s="90">
        <v>1617</v>
      </c>
      <c r="D79" s="42">
        <v>22</v>
      </c>
    </row>
    <row r="80" spans="2:4" x14ac:dyDescent="0.25">
      <c r="B80" s="42" t="s">
        <v>1004</v>
      </c>
      <c r="C80" s="90">
        <v>1686</v>
      </c>
      <c r="D80" s="42">
        <v>9</v>
      </c>
    </row>
  </sheetData>
  <mergeCells count="6">
    <mergeCell ref="A55:A56"/>
    <mergeCell ref="C2:D2"/>
    <mergeCell ref="A35:A37"/>
    <mergeCell ref="A39:A40"/>
    <mergeCell ref="A42:A43"/>
    <mergeCell ref="A48:A49"/>
  </mergeCell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2"/>
  <sheetViews>
    <sheetView showGridLines="0" workbookViewId="0">
      <selection activeCell="F9" sqref="F9"/>
    </sheetView>
  </sheetViews>
  <sheetFormatPr defaultRowHeight="15" x14ac:dyDescent="0.25"/>
  <cols>
    <col min="1" max="1" width="16.28515625" bestFit="1" customWidth="1"/>
    <col min="2" max="2" width="22.85546875" style="90" customWidth="1"/>
    <col min="3" max="3" width="12.85546875" style="90" customWidth="1"/>
    <col min="4" max="4" width="11.140625" style="90" customWidth="1"/>
  </cols>
  <sheetData>
    <row r="2" spans="2:4" ht="31.5" x14ac:dyDescent="0.5">
      <c r="B2" s="168" t="s">
        <v>790</v>
      </c>
      <c r="C2" s="250" t="s">
        <v>941</v>
      </c>
      <c r="D2" s="250"/>
    </row>
    <row r="3" spans="2:4" x14ac:dyDescent="0.25">
      <c r="B3" s="90" t="s">
        <v>731</v>
      </c>
      <c r="C3" s="90" t="s">
        <v>729</v>
      </c>
      <c r="D3" s="90" t="s">
        <v>730</v>
      </c>
    </row>
    <row r="4" spans="2:4" x14ac:dyDescent="0.25">
      <c r="B4" s="42" t="s">
        <v>955</v>
      </c>
      <c r="C4" s="90">
        <v>1</v>
      </c>
      <c r="D4" s="90">
        <v>4</v>
      </c>
    </row>
    <row r="5" spans="2:4" x14ac:dyDescent="0.25">
      <c r="B5" s="42" t="s">
        <v>1169</v>
      </c>
      <c r="C5" s="90">
        <v>7</v>
      </c>
      <c r="D5" s="90">
        <v>17</v>
      </c>
    </row>
    <row r="6" spans="2:4" x14ac:dyDescent="0.25">
      <c r="B6" s="42" t="s">
        <v>1170</v>
      </c>
      <c r="C6" s="90">
        <v>24</v>
      </c>
      <c r="D6" s="90">
        <v>4</v>
      </c>
    </row>
    <row r="7" spans="2:4" x14ac:dyDescent="0.25">
      <c r="B7" s="42" t="s">
        <v>748</v>
      </c>
      <c r="C7" s="90">
        <v>87</v>
      </c>
      <c r="D7" s="90">
        <v>2</v>
      </c>
    </row>
    <row r="8" spans="2:4" x14ac:dyDescent="0.25">
      <c r="B8" s="42" t="s">
        <v>749</v>
      </c>
      <c r="C8" s="90">
        <v>90</v>
      </c>
      <c r="D8" s="90">
        <v>2</v>
      </c>
    </row>
    <row r="9" spans="2:4" x14ac:dyDescent="0.25">
      <c r="B9" s="42" t="s">
        <v>750</v>
      </c>
      <c r="C9" s="90">
        <v>93</v>
      </c>
      <c r="D9" s="90">
        <v>2</v>
      </c>
    </row>
    <row r="10" spans="2:4" x14ac:dyDescent="0.25">
      <c r="B10" s="42" t="s">
        <v>751</v>
      </c>
      <c r="C10" s="90">
        <v>96</v>
      </c>
      <c r="D10" s="90">
        <v>2</v>
      </c>
    </row>
    <row r="11" spans="2:4" x14ac:dyDescent="0.25">
      <c r="B11" s="42" t="s">
        <v>752</v>
      </c>
      <c r="C11" s="90">
        <v>99</v>
      </c>
      <c r="D11" s="90">
        <v>2</v>
      </c>
    </row>
    <row r="12" spans="2:4" x14ac:dyDescent="0.25">
      <c r="B12" s="42" t="s">
        <v>753</v>
      </c>
      <c r="C12" s="90">
        <v>102</v>
      </c>
      <c r="D12" s="90">
        <v>2</v>
      </c>
    </row>
    <row r="13" spans="2:4" x14ac:dyDescent="0.25">
      <c r="B13" s="42" t="s">
        <v>754</v>
      </c>
      <c r="C13" s="90">
        <v>105</v>
      </c>
      <c r="D13" s="90">
        <v>2</v>
      </c>
    </row>
    <row r="14" spans="2:4" x14ac:dyDescent="0.25">
      <c r="B14" s="42" t="s">
        <v>755</v>
      </c>
      <c r="C14" s="90">
        <v>108</v>
      </c>
      <c r="D14" s="90">
        <v>2</v>
      </c>
    </row>
    <row r="15" spans="2:4" x14ac:dyDescent="0.25">
      <c r="B15" s="42" t="s">
        <v>756</v>
      </c>
      <c r="C15" s="90">
        <v>111</v>
      </c>
      <c r="D15" s="90">
        <v>2</v>
      </c>
    </row>
    <row r="16" spans="2:4" x14ac:dyDescent="0.25">
      <c r="B16" s="42" t="s">
        <v>757</v>
      </c>
      <c r="C16" s="90">
        <v>114</v>
      </c>
      <c r="D16" s="90">
        <v>2</v>
      </c>
    </row>
    <row r="17" spans="2:4" x14ac:dyDescent="0.25">
      <c r="B17" s="42" t="s">
        <v>726</v>
      </c>
      <c r="C17" s="90">
        <v>124</v>
      </c>
      <c r="D17" s="90">
        <v>6</v>
      </c>
    </row>
    <row r="18" spans="2:4" x14ac:dyDescent="0.25">
      <c r="B18" s="42" t="s">
        <v>741</v>
      </c>
      <c r="C18" s="90">
        <v>138</v>
      </c>
      <c r="D18" s="90">
        <v>6</v>
      </c>
    </row>
    <row r="19" spans="2:4" x14ac:dyDescent="0.25">
      <c r="B19" s="42" t="s">
        <v>742</v>
      </c>
      <c r="C19" s="90">
        <v>173</v>
      </c>
      <c r="D19" s="90">
        <v>10</v>
      </c>
    </row>
    <row r="20" spans="2:4" x14ac:dyDescent="0.25">
      <c r="B20" s="42" t="s">
        <v>743</v>
      </c>
      <c r="C20" s="90">
        <v>191</v>
      </c>
      <c r="D20" s="90">
        <v>5</v>
      </c>
    </row>
    <row r="21" spans="2:4" x14ac:dyDescent="0.25">
      <c r="B21" s="42" t="s">
        <v>644</v>
      </c>
      <c r="C21" s="90">
        <v>203</v>
      </c>
      <c r="D21" s="90">
        <v>5</v>
      </c>
    </row>
    <row r="22" spans="2:4" x14ac:dyDescent="0.25">
      <c r="B22" s="42" t="s">
        <v>744</v>
      </c>
      <c r="C22" s="90">
        <v>215</v>
      </c>
      <c r="D22" s="90">
        <v>7</v>
      </c>
    </row>
    <row r="23" spans="2:4" x14ac:dyDescent="0.25">
      <c r="B23" s="42" t="s">
        <v>17</v>
      </c>
      <c r="C23" s="90">
        <v>250</v>
      </c>
      <c r="D23" s="90">
        <v>17</v>
      </c>
    </row>
    <row r="24" spans="2:4" x14ac:dyDescent="0.25">
      <c r="B24" s="42" t="s">
        <v>113</v>
      </c>
      <c r="C24" s="90">
        <v>271</v>
      </c>
      <c r="D24" s="90">
        <v>4</v>
      </c>
    </row>
    <row r="25" spans="2:4" x14ac:dyDescent="0.25">
      <c r="B25" s="42" t="s">
        <v>116</v>
      </c>
      <c r="C25" s="90">
        <v>280</v>
      </c>
      <c r="D25" s="90">
        <v>8</v>
      </c>
    </row>
    <row r="26" spans="2:4" x14ac:dyDescent="0.25">
      <c r="B26" s="42" t="s">
        <v>158</v>
      </c>
      <c r="C26" s="90">
        <v>300</v>
      </c>
      <c r="D26" s="90">
        <v>6</v>
      </c>
    </row>
    <row r="27" spans="2:4" x14ac:dyDescent="0.25">
      <c r="B27" s="42" t="s">
        <v>114</v>
      </c>
      <c r="C27" s="90">
        <v>322</v>
      </c>
      <c r="D27" s="90">
        <v>2</v>
      </c>
    </row>
    <row r="28" spans="2:4" x14ac:dyDescent="0.25">
      <c r="B28" s="42" t="s">
        <v>803</v>
      </c>
      <c r="C28" s="90">
        <v>331</v>
      </c>
      <c r="D28" s="90">
        <v>3</v>
      </c>
    </row>
    <row r="29" spans="2:4" x14ac:dyDescent="0.25">
      <c r="B29" s="42" t="s">
        <v>804</v>
      </c>
      <c r="C29" s="90">
        <v>335</v>
      </c>
      <c r="D29" s="90">
        <v>3</v>
      </c>
    </row>
    <row r="30" spans="2:4" x14ac:dyDescent="0.25">
      <c r="B30" s="42" t="s">
        <v>120</v>
      </c>
      <c r="C30" s="90">
        <v>342</v>
      </c>
      <c r="D30" s="90">
        <v>4</v>
      </c>
    </row>
    <row r="31" spans="2:4" x14ac:dyDescent="0.25">
      <c r="B31" s="42" t="s">
        <v>121</v>
      </c>
      <c r="C31" s="90">
        <v>350</v>
      </c>
      <c r="D31" s="90">
        <v>6</v>
      </c>
    </row>
    <row r="32" spans="2:4" x14ac:dyDescent="0.25">
      <c r="B32" s="42" t="s">
        <v>745</v>
      </c>
      <c r="C32" s="90">
        <v>360</v>
      </c>
      <c r="D32" s="90">
        <v>7</v>
      </c>
    </row>
    <row r="33" spans="1:4" x14ac:dyDescent="0.25">
      <c r="B33" s="42" t="s">
        <v>122</v>
      </c>
      <c r="C33" s="90">
        <v>371</v>
      </c>
      <c r="D33" s="90">
        <v>6</v>
      </c>
    </row>
    <row r="34" spans="1:4" x14ac:dyDescent="0.25">
      <c r="B34" s="42" t="s">
        <v>746</v>
      </c>
      <c r="C34" s="90">
        <v>382</v>
      </c>
      <c r="D34" s="90">
        <v>9</v>
      </c>
    </row>
    <row r="35" spans="1:4" x14ac:dyDescent="0.25">
      <c r="A35" s="252" t="s">
        <v>123</v>
      </c>
      <c r="B35" s="47" t="s">
        <v>805</v>
      </c>
      <c r="C35" s="166">
        <v>405</v>
      </c>
      <c r="D35" s="166">
        <v>1</v>
      </c>
    </row>
    <row r="36" spans="1:4" x14ac:dyDescent="0.25">
      <c r="A36" s="252"/>
      <c r="B36" s="47" t="s">
        <v>806</v>
      </c>
      <c r="C36" s="166">
        <v>407</v>
      </c>
      <c r="D36" s="166">
        <v>30</v>
      </c>
    </row>
    <row r="37" spans="1:4" x14ac:dyDescent="0.25">
      <c r="A37" s="252"/>
      <c r="B37" s="47" t="s">
        <v>807</v>
      </c>
      <c r="C37" s="166">
        <v>438</v>
      </c>
      <c r="D37" s="166">
        <v>26</v>
      </c>
    </row>
    <row r="38" spans="1:4" x14ac:dyDescent="0.25">
      <c r="B38" s="42" t="s">
        <v>648</v>
      </c>
      <c r="C38" s="90" t="s">
        <v>943</v>
      </c>
      <c r="D38" s="90" t="s">
        <v>943</v>
      </c>
    </row>
    <row r="39" spans="1:4" x14ac:dyDescent="0.25">
      <c r="B39" s="42" t="s">
        <v>125</v>
      </c>
      <c r="C39" s="90">
        <v>485</v>
      </c>
      <c r="D39" s="90">
        <v>25</v>
      </c>
    </row>
    <row r="40" spans="1:4" x14ac:dyDescent="0.25">
      <c r="A40" s="252" t="s">
        <v>808</v>
      </c>
      <c r="B40" s="47" t="s">
        <v>809</v>
      </c>
      <c r="C40" s="166">
        <v>514</v>
      </c>
      <c r="D40" s="166">
        <v>17</v>
      </c>
    </row>
    <row r="41" spans="1:4" x14ac:dyDescent="0.25">
      <c r="A41" s="252"/>
      <c r="B41" s="47" t="s">
        <v>810</v>
      </c>
      <c r="C41" s="166">
        <v>532</v>
      </c>
      <c r="D41" s="166">
        <v>2</v>
      </c>
    </row>
    <row r="42" spans="1:4" x14ac:dyDescent="0.25">
      <c r="B42" s="42" t="s">
        <v>126</v>
      </c>
      <c r="C42" s="90">
        <v>539</v>
      </c>
      <c r="D42" s="90">
        <v>5</v>
      </c>
    </row>
    <row r="43" spans="1:4" x14ac:dyDescent="0.25">
      <c r="B43" s="42" t="s">
        <v>530</v>
      </c>
      <c r="C43" s="164">
        <v>550</v>
      </c>
      <c r="D43" s="164">
        <v>3</v>
      </c>
    </row>
    <row r="44" spans="1:4" x14ac:dyDescent="0.25">
      <c r="A44" s="252" t="s">
        <v>127</v>
      </c>
      <c r="B44" s="47" t="s">
        <v>811</v>
      </c>
      <c r="C44" s="166">
        <v>565</v>
      </c>
      <c r="D44" s="166">
        <v>1</v>
      </c>
    </row>
    <row r="45" spans="1:4" x14ac:dyDescent="0.25">
      <c r="A45" s="252"/>
      <c r="B45" s="47" t="s">
        <v>812</v>
      </c>
      <c r="C45" s="166">
        <v>567</v>
      </c>
      <c r="D45" s="166">
        <v>30</v>
      </c>
    </row>
    <row r="46" spans="1:4" x14ac:dyDescent="0.25">
      <c r="B46" s="42" t="s">
        <v>130</v>
      </c>
      <c r="C46" s="90">
        <v>603</v>
      </c>
      <c r="D46" s="90">
        <v>8</v>
      </c>
    </row>
    <row r="47" spans="1:4" x14ac:dyDescent="0.25">
      <c r="B47" s="42" t="s">
        <v>651</v>
      </c>
      <c r="C47" s="90">
        <v>616</v>
      </c>
      <c r="D47" s="90">
        <v>8</v>
      </c>
    </row>
    <row r="48" spans="1:4" x14ac:dyDescent="0.25">
      <c r="B48" s="42" t="s">
        <v>946</v>
      </c>
      <c r="C48" s="164">
        <v>640</v>
      </c>
      <c r="D48" s="164">
        <v>1</v>
      </c>
    </row>
    <row r="49" spans="1:4" x14ac:dyDescent="0.25">
      <c r="B49" s="42" t="s">
        <v>132</v>
      </c>
      <c r="C49" s="90">
        <v>645</v>
      </c>
      <c r="D49" s="90">
        <v>25</v>
      </c>
    </row>
    <row r="50" spans="1:4" x14ac:dyDescent="0.25">
      <c r="A50" s="252" t="s">
        <v>808</v>
      </c>
      <c r="B50" s="47" t="s">
        <v>809</v>
      </c>
      <c r="C50" s="166">
        <v>674</v>
      </c>
      <c r="D50" s="166">
        <v>17</v>
      </c>
    </row>
    <row r="51" spans="1:4" x14ac:dyDescent="0.25">
      <c r="A51" s="252"/>
      <c r="B51" s="47" t="s">
        <v>810</v>
      </c>
      <c r="C51" s="166">
        <v>692</v>
      </c>
      <c r="D51" s="166">
        <v>2</v>
      </c>
    </row>
    <row r="52" spans="1:4" x14ac:dyDescent="0.25">
      <c r="B52" s="42" t="s">
        <v>126</v>
      </c>
      <c r="C52" s="90">
        <v>699</v>
      </c>
      <c r="D52" s="90">
        <v>5</v>
      </c>
    </row>
    <row r="53" spans="1:4" x14ac:dyDescent="0.25">
      <c r="B53" s="42" t="s">
        <v>188</v>
      </c>
      <c r="C53" s="164">
        <v>711</v>
      </c>
      <c r="D53" s="164">
        <v>1</v>
      </c>
    </row>
    <row r="54" spans="1:4" x14ac:dyDescent="0.25">
      <c r="B54" s="42" t="s">
        <v>131</v>
      </c>
      <c r="C54" s="164">
        <v>720</v>
      </c>
      <c r="D54" s="164">
        <v>1</v>
      </c>
    </row>
    <row r="55" spans="1:4" x14ac:dyDescent="0.25">
      <c r="B55" s="42" t="s">
        <v>133</v>
      </c>
      <c r="C55" s="90">
        <v>727</v>
      </c>
      <c r="D55" s="90">
        <v>28</v>
      </c>
    </row>
    <row r="56" spans="1:4" x14ac:dyDescent="0.25">
      <c r="B56" s="42" t="s">
        <v>656</v>
      </c>
      <c r="C56" s="90">
        <v>760</v>
      </c>
      <c r="D56" s="90">
        <v>12</v>
      </c>
    </row>
    <row r="57" spans="1:4" x14ac:dyDescent="0.25">
      <c r="B57" s="42" t="s">
        <v>524</v>
      </c>
      <c r="C57" s="164">
        <v>780</v>
      </c>
      <c r="D57" s="164">
        <v>6</v>
      </c>
    </row>
    <row r="58" spans="1:4" x14ac:dyDescent="0.25">
      <c r="B58" s="42" t="s">
        <v>138</v>
      </c>
      <c r="C58" s="164">
        <v>791</v>
      </c>
      <c r="D58" s="164">
        <v>2</v>
      </c>
    </row>
    <row r="59" spans="1:4" x14ac:dyDescent="0.25">
      <c r="B59" s="42" t="s">
        <v>125</v>
      </c>
      <c r="C59" s="165">
        <v>805</v>
      </c>
      <c r="D59" s="90">
        <v>25</v>
      </c>
    </row>
    <row r="60" spans="1:4" x14ac:dyDescent="0.25">
      <c r="A60" s="252" t="s">
        <v>813</v>
      </c>
      <c r="B60" s="47" t="s">
        <v>809</v>
      </c>
      <c r="C60" s="166">
        <v>834</v>
      </c>
      <c r="D60" s="166">
        <v>16</v>
      </c>
    </row>
    <row r="61" spans="1:4" x14ac:dyDescent="0.25">
      <c r="A61" s="252"/>
      <c r="B61" s="47" t="s">
        <v>810</v>
      </c>
      <c r="C61" s="166">
        <v>851</v>
      </c>
      <c r="D61" s="166">
        <v>2</v>
      </c>
    </row>
    <row r="62" spans="1:4" x14ac:dyDescent="0.25">
      <c r="B62" s="42" t="s">
        <v>126</v>
      </c>
      <c r="C62" s="90">
        <v>859</v>
      </c>
      <c r="D62" s="90">
        <v>5</v>
      </c>
    </row>
    <row r="63" spans="1:4" x14ac:dyDescent="0.25">
      <c r="B63" s="42" t="s">
        <v>947</v>
      </c>
      <c r="C63" s="164">
        <v>874</v>
      </c>
      <c r="D63" s="164" t="s">
        <v>943</v>
      </c>
    </row>
    <row r="64" spans="1:4" x14ac:dyDescent="0.25">
      <c r="B64" s="42" t="s">
        <v>134</v>
      </c>
      <c r="C64" s="165">
        <v>885</v>
      </c>
      <c r="D64" s="165">
        <v>1</v>
      </c>
    </row>
    <row r="65" spans="2:4" x14ac:dyDescent="0.25">
      <c r="B65" s="42" t="s">
        <v>135</v>
      </c>
      <c r="C65" s="165">
        <v>891</v>
      </c>
      <c r="D65" s="165">
        <v>6</v>
      </c>
    </row>
    <row r="66" spans="2:4" x14ac:dyDescent="0.25">
      <c r="B66" s="42" t="s">
        <v>136</v>
      </c>
      <c r="C66" s="90">
        <v>902</v>
      </c>
      <c r="D66" s="90">
        <v>8</v>
      </c>
    </row>
    <row r="67" spans="2:4" x14ac:dyDescent="0.25">
      <c r="B67" s="42" t="s">
        <v>137</v>
      </c>
      <c r="C67" s="90">
        <v>915</v>
      </c>
      <c r="D67" s="90">
        <v>2</v>
      </c>
    </row>
    <row r="68" spans="2:4" x14ac:dyDescent="0.25">
      <c r="B68" s="42" t="s">
        <v>538</v>
      </c>
      <c r="C68" s="90">
        <v>922</v>
      </c>
      <c r="D68" s="90">
        <v>7</v>
      </c>
    </row>
    <row r="69" spans="2:4" x14ac:dyDescent="0.25">
      <c r="B69" s="42" t="s">
        <v>541</v>
      </c>
      <c r="C69" s="90">
        <v>939</v>
      </c>
      <c r="D69" s="90">
        <v>4</v>
      </c>
    </row>
    <row r="70" spans="2:4" x14ac:dyDescent="0.25">
      <c r="B70" s="42" t="s">
        <v>167</v>
      </c>
      <c r="C70" s="165">
        <v>949</v>
      </c>
      <c r="D70" s="165" t="s">
        <v>943</v>
      </c>
    </row>
    <row r="71" spans="2:4" x14ac:dyDescent="0.25">
      <c r="B71" s="42" t="s">
        <v>551</v>
      </c>
      <c r="C71" s="178">
        <v>965</v>
      </c>
      <c r="D71" s="178">
        <v>2</v>
      </c>
    </row>
    <row r="72" spans="2:4" x14ac:dyDescent="0.25">
      <c r="B72" s="42" t="s">
        <v>554</v>
      </c>
      <c r="C72" s="178">
        <v>974</v>
      </c>
      <c r="D72" s="178">
        <v>6</v>
      </c>
    </row>
    <row r="73" spans="2:4" x14ac:dyDescent="0.25">
      <c r="B73" s="42" t="s">
        <v>556</v>
      </c>
      <c r="C73" s="178">
        <v>986</v>
      </c>
      <c r="D73" s="178">
        <v>2</v>
      </c>
    </row>
    <row r="74" spans="2:4" x14ac:dyDescent="0.25">
      <c r="B74" s="42" t="s">
        <v>560</v>
      </c>
      <c r="C74" s="178">
        <v>995</v>
      </c>
      <c r="D74" s="178">
        <v>6</v>
      </c>
    </row>
    <row r="75" spans="2:4" x14ac:dyDescent="0.25">
      <c r="B75" s="42" t="s">
        <v>563</v>
      </c>
      <c r="C75" s="178">
        <v>1003</v>
      </c>
      <c r="D75" s="178">
        <v>10</v>
      </c>
    </row>
    <row r="76" spans="2:4" x14ac:dyDescent="0.25">
      <c r="B76" s="42" t="s">
        <v>660</v>
      </c>
      <c r="C76" s="164">
        <v>1019</v>
      </c>
      <c r="D76" s="164">
        <v>6</v>
      </c>
    </row>
    <row r="77" spans="2:4" x14ac:dyDescent="0.25">
      <c r="B77" s="42" t="s">
        <v>210</v>
      </c>
      <c r="C77" s="164">
        <v>1034</v>
      </c>
      <c r="D77" s="164">
        <v>8</v>
      </c>
    </row>
    <row r="78" spans="2:4" x14ac:dyDescent="0.25">
      <c r="B78" s="42" t="s">
        <v>571</v>
      </c>
      <c r="C78" s="164">
        <v>1048</v>
      </c>
      <c r="D78" s="164" t="s">
        <v>943</v>
      </c>
    </row>
    <row r="79" spans="2:4" x14ac:dyDescent="0.25">
      <c r="B79" s="42" t="s">
        <v>139</v>
      </c>
      <c r="C79" s="164">
        <v>1057</v>
      </c>
      <c r="D79" s="164" t="s">
        <v>943</v>
      </c>
    </row>
    <row r="80" spans="2:4" x14ac:dyDescent="0.25">
      <c r="B80" s="42" t="s">
        <v>576</v>
      </c>
      <c r="C80" s="164">
        <v>1071</v>
      </c>
      <c r="D80" s="164">
        <v>6</v>
      </c>
    </row>
    <row r="81" spans="2:4" x14ac:dyDescent="0.25">
      <c r="B81" s="42" t="s">
        <v>579</v>
      </c>
      <c r="C81" s="164">
        <v>1082</v>
      </c>
      <c r="D81" s="164" t="s">
        <v>943</v>
      </c>
    </row>
    <row r="82" spans="2:4" x14ac:dyDescent="0.25">
      <c r="B82" s="42" t="s">
        <v>653</v>
      </c>
      <c r="C82" s="164">
        <v>1100</v>
      </c>
      <c r="D82" s="164" t="s">
        <v>943</v>
      </c>
    </row>
    <row r="83" spans="2:4" x14ac:dyDescent="0.25">
      <c r="B83" s="42" t="s">
        <v>165</v>
      </c>
      <c r="C83" s="164">
        <v>1114</v>
      </c>
      <c r="D83" s="164" t="s">
        <v>943</v>
      </c>
    </row>
    <row r="84" spans="2:4" x14ac:dyDescent="0.25">
      <c r="B84" s="42" t="s">
        <v>948</v>
      </c>
      <c r="C84" s="164">
        <v>1129</v>
      </c>
      <c r="D84" s="164" t="s">
        <v>943</v>
      </c>
    </row>
    <row r="85" spans="2:4" x14ac:dyDescent="0.25">
      <c r="B85" s="42" t="s">
        <v>795</v>
      </c>
      <c r="C85" s="164">
        <v>1180</v>
      </c>
      <c r="D85" s="164" t="s">
        <v>943</v>
      </c>
    </row>
    <row r="86" spans="2:4" x14ac:dyDescent="0.25">
      <c r="B86" s="42" t="s">
        <v>949</v>
      </c>
      <c r="C86" s="164">
        <v>1193</v>
      </c>
      <c r="D86" s="164" t="s">
        <v>943</v>
      </c>
    </row>
    <row r="87" spans="2:4" x14ac:dyDescent="0.25">
      <c r="B87" s="42" t="s">
        <v>950</v>
      </c>
      <c r="C87" s="164">
        <v>1204</v>
      </c>
      <c r="D87" s="164" t="s">
        <v>943</v>
      </c>
    </row>
    <row r="88" spans="2:4" x14ac:dyDescent="0.25">
      <c r="B88" s="42" t="s">
        <v>795</v>
      </c>
      <c r="C88" s="164">
        <v>1260</v>
      </c>
      <c r="D88" s="164" t="s">
        <v>943</v>
      </c>
    </row>
    <row r="89" spans="2:4" x14ac:dyDescent="0.25">
      <c r="B89" s="42" t="s">
        <v>949</v>
      </c>
      <c r="C89" s="164">
        <v>1273</v>
      </c>
      <c r="D89" s="164" t="s">
        <v>943</v>
      </c>
    </row>
    <row r="90" spans="2:4" x14ac:dyDescent="0.25">
      <c r="B90" s="42" t="s">
        <v>951</v>
      </c>
      <c r="C90" s="164">
        <v>1293</v>
      </c>
      <c r="D90" s="164" t="s">
        <v>943</v>
      </c>
    </row>
    <row r="91" spans="2:4" x14ac:dyDescent="0.25">
      <c r="B91" s="42" t="s">
        <v>674</v>
      </c>
      <c r="C91" s="164">
        <v>1311</v>
      </c>
      <c r="D91" s="164" t="s">
        <v>943</v>
      </c>
    </row>
    <row r="92" spans="2:4" x14ac:dyDescent="0.25">
      <c r="B92" s="42" t="s">
        <v>216</v>
      </c>
      <c r="C92" s="164">
        <v>1326</v>
      </c>
      <c r="D92" s="164" t="s">
        <v>943</v>
      </c>
    </row>
    <row r="93" spans="2:4" x14ac:dyDescent="0.25">
      <c r="B93" s="42" t="s">
        <v>1418</v>
      </c>
      <c r="C93" s="164">
        <v>1337</v>
      </c>
      <c r="D93" s="164" t="s">
        <v>943</v>
      </c>
    </row>
    <row r="94" spans="2:4" x14ac:dyDescent="0.25">
      <c r="B94" s="42" t="s">
        <v>676</v>
      </c>
      <c r="C94" s="164">
        <v>1352</v>
      </c>
      <c r="D94" s="164" t="s">
        <v>943</v>
      </c>
    </row>
    <row r="95" spans="2:4" x14ac:dyDescent="0.25">
      <c r="B95" s="42" t="s">
        <v>107</v>
      </c>
      <c r="C95" s="164">
        <v>1363</v>
      </c>
      <c r="D95" s="164" t="s">
        <v>943</v>
      </c>
    </row>
    <row r="96" spans="2:4" x14ac:dyDescent="0.25">
      <c r="B96" s="42" t="s">
        <v>677</v>
      </c>
      <c r="C96" s="164">
        <v>1373</v>
      </c>
      <c r="D96" s="164" t="s">
        <v>943</v>
      </c>
    </row>
    <row r="97" spans="2:4" x14ac:dyDescent="0.25">
      <c r="B97" s="42" t="s">
        <v>682</v>
      </c>
      <c r="C97" s="164">
        <v>1390</v>
      </c>
      <c r="D97" s="164" t="s">
        <v>943</v>
      </c>
    </row>
    <row r="98" spans="2:4" x14ac:dyDescent="0.25">
      <c r="B98" s="42" t="s">
        <v>952</v>
      </c>
      <c r="C98" s="164">
        <v>1405</v>
      </c>
      <c r="D98" s="164" t="s">
        <v>943</v>
      </c>
    </row>
    <row r="99" spans="2:4" x14ac:dyDescent="0.25">
      <c r="B99" s="90" t="s">
        <v>613</v>
      </c>
      <c r="C99" s="164">
        <v>1415</v>
      </c>
      <c r="D99" s="164"/>
    </row>
    <row r="100" spans="2:4" x14ac:dyDescent="0.25">
      <c r="B100" s="42" t="s">
        <v>615</v>
      </c>
      <c r="C100" s="164">
        <v>1423</v>
      </c>
      <c r="D100" s="164" t="s">
        <v>943</v>
      </c>
    </row>
    <row r="101" spans="2:4" x14ac:dyDescent="0.25">
      <c r="B101" s="42" t="s">
        <v>622</v>
      </c>
      <c r="C101" s="164">
        <v>1434</v>
      </c>
      <c r="D101" s="164" t="s">
        <v>943</v>
      </c>
    </row>
    <row r="102" spans="2:4" x14ac:dyDescent="0.25">
      <c r="B102" s="42" t="s">
        <v>592</v>
      </c>
      <c r="C102" s="164">
        <v>1445</v>
      </c>
      <c r="D102" s="164" t="s">
        <v>943</v>
      </c>
    </row>
    <row r="103" spans="2:4" x14ac:dyDescent="0.25">
      <c r="B103" s="42" t="s">
        <v>595</v>
      </c>
      <c r="C103" s="164">
        <v>1453</v>
      </c>
      <c r="D103" s="164" t="s">
        <v>943</v>
      </c>
    </row>
    <row r="104" spans="2:4" x14ac:dyDescent="0.25">
      <c r="B104" s="42" t="s">
        <v>597</v>
      </c>
      <c r="C104" s="164">
        <v>1468</v>
      </c>
      <c r="D104" s="164" t="s">
        <v>943</v>
      </c>
    </row>
    <row r="105" spans="2:4" x14ac:dyDescent="0.25">
      <c r="B105" s="42" t="s">
        <v>953</v>
      </c>
      <c r="C105" s="164">
        <v>1481</v>
      </c>
      <c r="D105" s="164" t="s">
        <v>943</v>
      </c>
    </row>
    <row r="106" spans="2:4" x14ac:dyDescent="0.25">
      <c r="B106" s="42" t="s">
        <v>688</v>
      </c>
      <c r="C106" s="164">
        <v>1492</v>
      </c>
      <c r="D106" s="164" t="s">
        <v>943</v>
      </c>
    </row>
    <row r="107" spans="2:4" x14ac:dyDescent="0.25">
      <c r="B107" s="42" t="s">
        <v>600</v>
      </c>
      <c r="C107" s="164">
        <v>1505</v>
      </c>
      <c r="D107" s="164" t="s">
        <v>943</v>
      </c>
    </row>
    <row r="108" spans="2:4" x14ac:dyDescent="0.25">
      <c r="B108" s="42" t="s">
        <v>140</v>
      </c>
      <c r="C108" s="164">
        <v>1516</v>
      </c>
      <c r="D108" s="164" t="s">
        <v>943</v>
      </c>
    </row>
    <row r="109" spans="2:4" x14ac:dyDescent="0.25">
      <c r="B109" s="42" t="s">
        <v>691</v>
      </c>
      <c r="C109" s="164">
        <v>1586</v>
      </c>
      <c r="D109" s="164" t="s">
        <v>943</v>
      </c>
    </row>
    <row r="110" spans="2:4" x14ac:dyDescent="0.25">
      <c r="B110" s="42" t="s">
        <v>106</v>
      </c>
      <c r="C110" s="90">
        <v>1597</v>
      </c>
      <c r="D110" s="90">
        <v>4</v>
      </c>
    </row>
    <row r="111" spans="2:4" x14ac:dyDescent="0.25">
      <c r="B111" s="42" t="s">
        <v>1177</v>
      </c>
      <c r="C111" s="90">
        <v>1602</v>
      </c>
      <c r="D111" s="90">
        <v>3</v>
      </c>
    </row>
    <row r="112" spans="2:4" x14ac:dyDescent="0.25">
      <c r="B112" s="42" t="s">
        <v>1178</v>
      </c>
      <c r="C112" s="90">
        <v>1606</v>
      </c>
      <c r="D112" s="90">
        <v>4</v>
      </c>
    </row>
  </sheetData>
  <mergeCells count="6">
    <mergeCell ref="A60:A61"/>
    <mergeCell ref="C2:D2"/>
    <mergeCell ref="A35:A37"/>
    <mergeCell ref="A40:A41"/>
    <mergeCell ref="A44:A45"/>
    <mergeCell ref="A50:A51"/>
  </mergeCell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showGridLines="0" topLeftCell="A65" workbookViewId="0">
      <selection activeCell="B1" sqref="B1:D102"/>
    </sheetView>
  </sheetViews>
  <sheetFormatPr defaultRowHeight="15" x14ac:dyDescent="0.25"/>
  <cols>
    <col min="1" max="1" width="16.28515625" bestFit="1" customWidth="1"/>
    <col min="2" max="2" width="22.85546875" style="58" customWidth="1"/>
    <col min="3" max="3" width="12.85546875" style="58" customWidth="1"/>
    <col min="4" max="4" width="15.28515625" style="58" customWidth="1"/>
  </cols>
  <sheetData>
    <row r="1" spans="2:4" ht="26.25" x14ac:dyDescent="0.4">
      <c r="B1" s="251" t="s">
        <v>927</v>
      </c>
      <c r="C1" s="250" t="s">
        <v>941</v>
      </c>
      <c r="D1" s="250"/>
    </row>
    <row r="2" spans="2:4" ht="15" customHeight="1" x14ac:dyDescent="0.25">
      <c r="B2" s="251"/>
      <c r="C2" s="90"/>
      <c r="D2" s="90"/>
    </row>
    <row r="3" spans="2:4" x14ac:dyDescent="0.25">
      <c r="B3" s="90" t="s">
        <v>731</v>
      </c>
      <c r="C3" s="152" t="s">
        <v>729</v>
      </c>
      <c r="D3" s="152" t="s">
        <v>730</v>
      </c>
    </row>
    <row r="4" spans="2:4" x14ac:dyDescent="0.25">
      <c r="B4" s="42" t="s">
        <v>955</v>
      </c>
      <c r="C4" s="164">
        <v>1</v>
      </c>
      <c r="D4" s="164">
        <v>4</v>
      </c>
    </row>
    <row r="5" spans="2:4" x14ac:dyDescent="0.25">
      <c r="B5" s="42" t="s">
        <v>1169</v>
      </c>
      <c r="C5" s="163">
        <v>7</v>
      </c>
      <c r="D5" s="163">
        <v>17</v>
      </c>
    </row>
    <row r="6" spans="2:4" x14ac:dyDescent="0.25">
      <c r="B6" s="42" t="s">
        <v>1170</v>
      </c>
      <c r="C6" s="164">
        <v>24</v>
      </c>
      <c r="D6" s="164">
        <v>4</v>
      </c>
    </row>
    <row r="7" spans="2:4" x14ac:dyDescent="0.25">
      <c r="B7" s="42" t="s">
        <v>1179</v>
      </c>
      <c r="C7" s="163">
        <v>29</v>
      </c>
      <c r="D7" s="163">
        <v>7</v>
      </c>
    </row>
    <row r="8" spans="2:4" x14ac:dyDescent="0.25">
      <c r="B8" s="42" t="s">
        <v>1180</v>
      </c>
      <c r="C8" s="164">
        <v>37</v>
      </c>
      <c r="D8" s="164">
        <v>2</v>
      </c>
    </row>
    <row r="9" spans="2:4" x14ac:dyDescent="0.25">
      <c r="B9" s="42" t="s">
        <v>749</v>
      </c>
      <c r="C9" s="164">
        <v>90</v>
      </c>
      <c r="D9" s="164">
        <v>2</v>
      </c>
    </row>
    <row r="10" spans="2:4" x14ac:dyDescent="0.25">
      <c r="B10" s="42" t="s">
        <v>750</v>
      </c>
      <c r="C10" s="163">
        <v>93</v>
      </c>
      <c r="D10" s="163">
        <v>2</v>
      </c>
    </row>
    <row r="11" spans="2:4" x14ac:dyDescent="0.25">
      <c r="B11" s="42" t="s">
        <v>751</v>
      </c>
      <c r="C11" s="164">
        <v>96</v>
      </c>
      <c r="D11" s="164">
        <v>2</v>
      </c>
    </row>
    <row r="12" spans="2:4" x14ac:dyDescent="0.25">
      <c r="B12" s="42" t="s">
        <v>752</v>
      </c>
      <c r="C12" s="163">
        <v>99</v>
      </c>
      <c r="D12" s="163">
        <v>2</v>
      </c>
    </row>
    <row r="13" spans="2:4" x14ac:dyDescent="0.25">
      <c r="B13" s="42" t="s">
        <v>753</v>
      </c>
      <c r="C13" s="164">
        <v>102</v>
      </c>
      <c r="D13" s="164">
        <v>2</v>
      </c>
    </row>
    <row r="14" spans="2:4" x14ac:dyDescent="0.25">
      <c r="B14" s="42" t="s">
        <v>754</v>
      </c>
      <c r="C14" s="163">
        <v>105</v>
      </c>
      <c r="D14" s="163">
        <v>2</v>
      </c>
    </row>
    <row r="15" spans="2:4" x14ac:dyDescent="0.25">
      <c r="B15" s="42" t="s">
        <v>755</v>
      </c>
      <c r="C15" s="164">
        <v>108</v>
      </c>
      <c r="D15" s="164">
        <v>2</v>
      </c>
    </row>
    <row r="16" spans="2:4" x14ac:dyDescent="0.25">
      <c r="B16" s="42" t="s">
        <v>756</v>
      </c>
      <c r="C16" s="163">
        <v>111</v>
      </c>
      <c r="D16" s="163">
        <v>2</v>
      </c>
    </row>
    <row r="17" spans="2:4" x14ac:dyDescent="0.25">
      <c r="B17" s="42" t="s">
        <v>757</v>
      </c>
      <c r="C17" s="164">
        <v>114</v>
      </c>
      <c r="D17" s="164">
        <v>2</v>
      </c>
    </row>
    <row r="18" spans="2:4" x14ac:dyDescent="0.25">
      <c r="B18" s="42" t="s">
        <v>726</v>
      </c>
      <c r="C18" s="163">
        <v>124</v>
      </c>
      <c r="D18" s="163">
        <v>6</v>
      </c>
    </row>
    <row r="19" spans="2:4" x14ac:dyDescent="0.25">
      <c r="B19" s="42" t="s">
        <v>741</v>
      </c>
      <c r="C19" s="164">
        <v>138</v>
      </c>
      <c r="D19" s="164">
        <v>6</v>
      </c>
    </row>
    <row r="20" spans="2:4" x14ac:dyDescent="0.25">
      <c r="B20" s="42" t="s">
        <v>742</v>
      </c>
      <c r="C20" s="164">
        <v>173</v>
      </c>
      <c r="D20" s="164">
        <v>10</v>
      </c>
    </row>
    <row r="21" spans="2:4" x14ac:dyDescent="0.25">
      <c r="B21" s="42" t="s">
        <v>743</v>
      </c>
      <c r="C21" s="163">
        <v>191</v>
      </c>
      <c r="D21" s="163">
        <v>5</v>
      </c>
    </row>
    <row r="22" spans="2:4" x14ac:dyDescent="0.25">
      <c r="B22" s="42" t="s">
        <v>644</v>
      </c>
      <c r="C22" s="164">
        <v>203</v>
      </c>
      <c r="D22" s="164">
        <v>5</v>
      </c>
    </row>
    <row r="23" spans="2:4" x14ac:dyDescent="0.25">
      <c r="B23" s="42" t="s">
        <v>744</v>
      </c>
      <c r="C23" s="163">
        <v>215</v>
      </c>
      <c r="D23" s="163">
        <v>7</v>
      </c>
    </row>
    <row r="24" spans="2:4" x14ac:dyDescent="0.25">
      <c r="B24" s="42" t="s">
        <v>17</v>
      </c>
      <c r="C24" s="164">
        <v>250</v>
      </c>
      <c r="D24" s="164">
        <v>17</v>
      </c>
    </row>
    <row r="25" spans="2:4" x14ac:dyDescent="0.25">
      <c r="B25" s="42" t="s">
        <v>113</v>
      </c>
      <c r="C25" s="164">
        <v>271</v>
      </c>
      <c r="D25" s="164">
        <v>4</v>
      </c>
    </row>
    <row r="26" spans="2:4" x14ac:dyDescent="0.25">
      <c r="B26" s="42" t="s">
        <v>116</v>
      </c>
      <c r="C26" s="163">
        <v>280</v>
      </c>
      <c r="D26" s="163">
        <v>8</v>
      </c>
    </row>
    <row r="27" spans="2:4" x14ac:dyDescent="0.25">
      <c r="B27" s="42" t="s">
        <v>158</v>
      </c>
      <c r="C27" s="164">
        <v>300</v>
      </c>
      <c r="D27" s="164">
        <v>6</v>
      </c>
    </row>
    <row r="28" spans="2:4" x14ac:dyDescent="0.25">
      <c r="B28" s="42" t="s">
        <v>114</v>
      </c>
      <c r="C28" s="163">
        <v>322</v>
      </c>
      <c r="D28" s="163">
        <v>2</v>
      </c>
    </row>
    <row r="29" spans="2:4" x14ac:dyDescent="0.25">
      <c r="B29" s="42" t="s">
        <v>803</v>
      </c>
      <c r="C29" s="164">
        <v>331</v>
      </c>
      <c r="D29" s="164">
        <v>3</v>
      </c>
    </row>
    <row r="30" spans="2:4" x14ac:dyDescent="0.25">
      <c r="B30" s="42" t="s">
        <v>804</v>
      </c>
      <c r="C30" s="163">
        <v>335</v>
      </c>
      <c r="D30" s="163">
        <v>3</v>
      </c>
    </row>
    <row r="31" spans="2:4" x14ac:dyDescent="0.25">
      <c r="B31" s="42" t="s">
        <v>120</v>
      </c>
      <c r="C31" s="164">
        <v>342</v>
      </c>
      <c r="D31" s="164">
        <v>4</v>
      </c>
    </row>
    <row r="32" spans="2:4" x14ac:dyDescent="0.25">
      <c r="B32" s="42" t="s">
        <v>121</v>
      </c>
      <c r="C32" s="163">
        <v>350</v>
      </c>
      <c r="D32" s="163">
        <v>6</v>
      </c>
    </row>
    <row r="33" spans="1:4" x14ac:dyDescent="0.25">
      <c r="B33" s="42" t="s">
        <v>745</v>
      </c>
      <c r="C33" s="164">
        <v>360</v>
      </c>
      <c r="D33" s="164">
        <v>7</v>
      </c>
    </row>
    <row r="34" spans="1:4" x14ac:dyDescent="0.25">
      <c r="B34" s="42" t="s">
        <v>122</v>
      </c>
      <c r="C34" s="163">
        <v>371</v>
      </c>
      <c r="D34" s="163">
        <v>6</v>
      </c>
    </row>
    <row r="35" spans="1:4" x14ac:dyDescent="0.25">
      <c r="B35" s="42" t="s">
        <v>746</v>
      </c>
      <c r="C35" s="164">
        <v>382</v>
      </c>
      <c r="D35" s="164">
        <v>9</v>
      </c>
    </row>
    <row r="36" spans="1:4" x14ac:dyDescent="0.25">
      <c r="A36" s="252" t="s">
        <v>123</v>
      </c>
      <c r="B36" s="47" t="s">
        <v>805</v>
      </c>
      <c r="C36" s="167">
        <v>405</v>
      </c>
      <c r="D36" s="167">
        <v>1</v>
      </c>
    </row>
    <row r="37" spans="1:4" x14ac:dyDescent="0.25">
      <c r="A37" s="252"/>
      <c r="B37" s="47" t="s">
        <v>806</v>
      </c>
      <c r="C37" s="167">
        <v>407</v>
      </c>
      <c r="D37" s="167">
        <v>30</v>
      </c>
    </row>
    <row r="38" spans="1:4" x14ac:dyDescent="0.25">
      <c r="A38" s="252"/>
      <c r="B38" s="47" t="s">
        <v>807</v>
      </c>
      <c r="C38" s="167">
        <v>438</v>
      </c>
      <c r="D38" s="167">
        <v>26</v>
      </c>
    </row>
    <row r="39" spans="1:4" x14ac:dyDescent="0.25">
      <c r="B39" s="42" t="s">
        <v>125</v>
      </c>
      <c r="C39" s="164">
        <v>485</v>
      </c>
      <c r="D39" s="164">
        <v>25</v>
      </c>
    </row>
    <row r="40" spans="1:4" x14ac:dyDescent="0.25">
      <c r="A40" s="179" t="s">
        <v>808</v>
      </c>
      <c r="B40" s="47" t="s">
        <v>809</v>
      </c>
      <c r="C40" s="167">
        <v>514</v>
      </c>
      <c r="D40" s="167">
        <v>17</v>
      </c>
    </row>
    <row r="41" spans="1:4" x14ac:dyDescent="0.25">
      <c r="A41" s="179"/>
      <c r="B41" s="47" t="s">
        <v>810</v>
      </c>
      <c r="C41" s="167">
        <v>532</v>
      </c>
      <c r="D41" s="167">
        <v>2</v>
      </c>
    </row>
    <row r="42" spans="1:4" x14ac:dyDescent="0.25">
      <c r="B42" s="42" t="s">
        <v>126</v>
      </c>
      <c r="C42" s="163">
        <v>539</v>
      </c>
      <c r="D42" s="163">
        <v>5</v>
      </c>
    </row>
    <row r="43" spans="1:4" x14ac:dyDescent="0.25">
      <c r="A43" s="252" t="s">
        <v>127</v>
      </c>
      <c r="B43" s="47" t="s">
        <v>811</v>
      </c>
      <c r="C43" s="167">
        <v>565</v>
      </c>
      <c r="D43" s="167">
        <v>1</v>
      </c>
    </row>
    <row r="44" spans="1:4" x14ac:dyDescent="0.25">
      <c r="A44" s="252"/>
      <c r="B44" s="47" t="s">
        <v>812</v>
      </c>
      <c r="C44" s="167">
        <v>567</v>
      </c>
      <c r="D44" s="167">
        <v>30</v>
      </c>
    </row>
    <row r="45" spans="1:4" x14ac:dyDescent="0.25">
      <c r="B45" s="42" t="s">
        <v>130</v>
      </c>
      <c r="C45" s="164">
        <v>603</v>
      </c>
      <c r="D45" s="164">
        <v>8</v>
      </c>
    </row>
    <row r="46" spans="1:4" x14ac:dyDescent="0.25">
      <c r="B46" s="42" t="s">
        <v>651</v>
      </c>
      <c r="C46" s="163">
        <v>616</v>
      </c>
      <c r="D46" s="163">
        <v>8</v>
      </c>
    </row>
    <row r="47" spans="1:4" x14ac:dyDescent="0.25">
      <c r="B47" s="42" t="s">
        <v>131</v>
      </c>
      <c r="C47" s="164">
        <v>629</v>
      </c>
      <c r="D47" s="164">
        <v>1</v>
      </c>
    </row>
    <row r="48" spans="1:4" x14ac:dyDescent="0.25">
      <c r="B48" s="42" t="s">
        <v>132</v>
      </c>
      <c r="C48" s="163">
        <v>645</v>
      </c>
      <c r="D48" s="163">
        <v>25</v>
      </c>
    </row>
    <row r="49" spans="1:4" x14ac:dyDescent="0.25">
      <c r="A49" s="252" t="s">
        <v>808</v>
      </c>
      <c r="B49" s="47" t="s">
        <v>809</v>
      </c>
      <c r="C49" s="167">
        <v>674</v>
      </c>
      <c r="D49" s="167">
        <v>17</v>
      </c>
    </row>
    <row r="50" spans="1:4" x14ac:dyDescent="0.25">
      <c r="A50" s="252"/>
      <c r="B50" s="47" t="s">
        <v>810</v>
      </c>
      <c r="C50" s="167">
        <v>692</v>
      </c>
      <c r="D50" s="167">
        <v>2</v>
      </c>
    </row>
    <row r="51" spans="1:4" x14ac:dyDescent="0.25">
      <c r="B51" s="42" t="s">
        <v>126</v>
      </c>
      <c r="C51" s="164">
        <v>699</v>
      </c>
      <c r="D51" s="164">
        <v>5</v>
      </c>
    </row>
    <row r="52" spans="1:4" x14ac:dyDescent="0.25">
      <c r="B52" s="42" t="s">
        <v>133</v>
      </c>
      <c r="C52" s="164">
        <v>727</v>
      </c>
      <c r="D52" s="164">
        <v>28</v>
      </c>
    </row>
    <row r="53" spans="1:4" x14ac:dyDescent="0.25">
      <c r="B53" s="42" t="s">
        <v>656</v>
      </c>
      <c r="C53" s="163">
        <v>760</v>
      </c>
      <c r="D53" s="163">
        <v>12</v>
      </c>
    </row>
    <row r="54" spans="1:4" x14ac:dyDescent="0.25">
      <c r="B54" s="42" t="s">
        <v>524</v>
      </c>
      <c r="C54" s="164">
        <v>778</v>
      </c>
      <c r="D54" s="164">
        <v>6</v>
      </c>
    </row>
    <row r="55" spans="1:4" x14ac:dyDescent="0.25">
      <c r="B55" s="42" t="s">
        <v>125</v>
      </c>
      <c r="C55" s="164">
        <v>805</v>
      </c>
      <c r="D55" s="164">
        <v>25</v>
      </c>
    </row>
    <row r="56" spans="1:4" x14ac:dyDescent="0.25">
      <c r="A56" s="252" t="s">
        <v>813</v>
      </c>
      <c r="B56" s="47" t="s">
        <v>809</v>
      </c>
      <c r="C56" s="167">
        <v>834</v>
      </c>
      <c r="D56" s="167">
        <v>16</v>
      </c>
    </row>
    <row r="57" spans="1:4" x14ac:dyDescent="0.25">
      <c r="A57" s="252"/>
      <c r="B57" s="47" t="s">
        <v>810</v>
      </c>
      <c r="C57" s="167">
        <v>851</v>
      </c>
      <c r="D57" s="167">
        <v>2</v>
      </c>
    </row>
    <row r="58" spans="1:4" x14ac:dyDescent="0.25">
      <c r="B58" s="42" t="s">
        <v>126</v>
      </c>
      <c r="C58" s="163">
        <v>859</v>
      </c>
      <c r="D58" s="163">
        <v>5</v>
      </c>
    </row>
    <row r="59" spans="1:4" x14ac:dyDescent="0.25">
      <c r="B59" s="42" t="s">
        <v>134</v>
      </c>
      <c r="C59" s="163">
        <v>885</v>
      </c>
      <c r="D59" s="163">
        <v>3</v>
      </c>
    </row>
    <row r="60" spans="1:4" x14ac:dyDescent="0.25">
      <c r="B60" s="42" t="s">
        <v>135</v>
      </c>
      <c r="C60" s="164">
        <v>891</v>
      </c>
      <c r="D60" s="164">
        <v>6</v>
      </c>
    </row>
    <row r="61" spans="1:4" x14ac:dyDescent="0.25">
      <c r="B61" s="42" t="s">
        <v>136</v>
      </c>
      <c r="C61" s="163">
        <v>902</v>
      </c>
      <c r="D61" s="163">
        <v>8</v>
      </c>
    </row>
    <row r="62" spans="1:4" x14ac:dyDescent="0.25">
      <c r="B62" s="42" t="s">
        <v>137</v>
      </c>
      <c r="C62" s="164">
        <v>915</v>
      </c>
      <c r="D62" s="164">
        <v>2</v>
      </c>
    </row>
    <row r="63" spans="1:4" x14ac:dyDescent="0.25">
      <c r="B63" s="42" t="s">
        <v>538</v>
      </c>
      <c r="C63" s="163">
        <v>922</v>
      </c>
      <c r="D63" s="163">
        <v>7</v>
      </c>
    </row>
    <row r="64" spans="1:4" x14ac:dyDescent="0.25">
      <c r="B64" s="42" t="s">
        <v>541</v>
      </c>
      <c r="C64" s="164">
        <v>939</v>
      </c>
      <c r="D64" s="164">
        <v>4</v>
      </c>
    </row>
    <row r="65" spans="2:4" x14ac:dyDescent="0.25">
      <c r="B65" s="42" t="s">
        <v>551</v>
      </c>
      <c r="C65" s="164">
        <v>965</v>
      </c>
      <c r="D65" s="164">
        <v>2</v>
      </c>
    </row>
    <row r="66" spans="2:4" x14ac:dyDescent="0.25">
      <c r="B66" s="42" t="s">
        <v>554</v>
      </c>
      <c r="C66" s="163">
        <v>974</v>
      </c>
      <c r="D66" s="163">
        <v>6</v>
      </c>
    </row>
    <row r="67" spans="2:4" x14ac:dyDescent="0.25">
      <c r="B67" s="42" t="s">
        <v>556</v>
      </c>
      <c r="C67" s="164">
        <v>986</v>
      </c>
      <c r="D67" s="164">
        <v>2</v>
      </c>
    </row>
    <row r="68" spans="2:4" x14ac:dyDescent="0.25">
      <c r="B68" s="42" t="s">
        <v>560</v>
      </c>
      <c r="C68" s="163">
        <v>995</v>
      </c>
      <c r="D68" s="163">
        <v>6</v>
      </c>
    </row>
    <row r="69" spans="2:4" x14ac:dyDescent="0.25">
      <c r="B69" s="42" t="s">
        <v>563</v>
      </c>
      <c r="C69" s="164">
        <v>1003</v>
      </c>
      <c r="D69" s="164">
        <v>10</v>
      </c>
    </row>
    <row r="70" spans="2:4" x14ac:dyDescent="0.25">
      <c r="B70" s="42" t="s">
        <v>210</v>
      </c>
      <c r="C70" s="164">
        <v>1034</v>
      </c>
      <c r="D70" s="164">
        <v>8</v>
      </c>
    </row>
    <row r="71" spans="2:4" x14ac:dyDescent="0.25">
      <c r="B71" s="42" t="s">
        <v>571</v>
      </c>
      <c r="C71" s="163">
        <v>1048</v>
      </c>
      <c r="D71" s="163" t="s">
        <v>943</v>
      </c>
    </row>
    <row r="72" spans="2:4" x14ac:dyDescent="0.25">
      <c r="B72" s="42" t="s">
        <v>139</v>
      </c>
      <c r="C72" s="164">
        <v>1057</v>
      </c>
      <c r="D72" s="164" t="s">
        <v>943</v>
      </c>
    </row>
    <row r="73" spans="2:4" x14ac:dyDescent="0.25">
      <c r="B73" s="42" t="s">
        <v>576</v>
      </c>
      <c r="C73" s="163">
        <v>1071</v>
      </c>
      <c r="D73" s="163">
        <v>6</v>
      </c>
    </row>
    <row r="74" spans="2:4" x14ac:dyDescent="0.25">
      <c r="B74" s="42" t="s">
        <v>579</v>
      </c>
      <c r="C74" s="164">
        <v>1082</v>
      </c>
      <c r="D74" s="164" t="s">
        <v>943</v>
      </c>
    </row>
    <row r="75" spans="2:4" x14ac:dyDescent="0.25">
      <c r="B75" s="42" t="s">
        <v>107</v>
      </c>
      <c r="C75" s="180">
        <v>1093</v>
      </c>
      <c r="D75" s="180">
        <v>1</v>
      </c>
    </row>
    <row r="76" spans="2:4" x14ac:dyDescent="0.25">
      <c r="B76" s="42" t="s">
        <v>223</v>
      </c>
      <c r="C76" s="154">
        <v>1098</v>
      </c>
      <c r="D76" s="154">
        <v>1</v>
      </c>
    </row>
    <row r="77" spans="2:4" x14ac:dyDescent="0.25">
      <c r="B77" s="42" t="s">
        <v>586</v>
      </c>
      <c r="C77" s="180">
        <v>104</v>
      </c>
      <c r="D77" s="180" t="s">
        <v>943</v>
      </c>
    </row>
    <row r="78" spans="2:4" x14ac:dyDescent="0.25">
      <c r="B78" s="42" t="s">
        <v>171</v>
      </c>
      <c r="C78" s="154">
        <v>1124</v>
      </c>
      <c r="D78" s="154" t="s">
        <v>943</v>
      </c>
    </row>
    <row r="79" spans="2:4" x14ac:dyDescent="0.25">
      <c r="B79" s="42" t="s">
        <v>592</v>
      </c>
      <c r="C79" s="180">
        <v>1130</v>
      </c>
      <c r="D79" s="180" t="s">
        <v>943</v>
      </c>
    </row>
    <row r="80" spans="2:4" x14ac:dyDescent="0.25">
      <c r="B80" s="42" t="s">
        <v>595</v>
      </c>
      <c r="C80" s="154">
        <v>1138</v>
      </c>
      <c r="D80" s="154" t="s">
        <v>943</v>
      </c>
    </row>
    <row r="81" spans="2:4" x14ac:dyDescent="0.25">
      <c r="B81" s="42" t="s">
        <v>597</v>
      </c>
      <c r="C81" s="180">
        <v>1154</v>
      </c>
      <c r="D81" s="180">
        <v>5</v>
      </c>
    </row>
    <row r="82" spans="2:4" x14ac:dyDescent="0.25">
      <c r="B82" s="42" t="s">
        <v>600</v>
      </c>
      <c r="C82" s="154">
        <v>1165</v>
      </c>
      <c r="D82" s="154" t="s">
        <v>943</v>
      </c>
    </row>
    <row r="83" spans="2:4" x14ac:dyDescent="0.25">
      <c r="B83" s="42" t="s">
        <v>174</v>
      </c>
      <c r="C83" s="180">
        <v>1179</v>
      </c>
      <c r="D83" s="180" t="s">
        <v>943</v>
      </c>
    </row>
    <row r="84" spans="2:4" x14ac:dyDescent="0.25">
      <c r="B84" s="42" t="s">
        <v>607</v>
      </c>
      <c r="C84" s="154">
        <v>1206</v>
      </c>
      <c r="D84" s="154" t="s">
        <v>943</v>
      </c>
    </row>
    <row r="85" spans="2:4" x14ac:dyDescent="0.25">
      <c r="B85" s="42" t="s">
        <v>170</v>
      </c>
      <c r="C85" s="180">
        <v>1220</v>
      </c>
      <c r="D85" s="180" t="s">
        <v>943</v>
      </c>
    </row>
    <row r="86" spans="2:4" x14ac:dyDescent="0.25">
      <c r="B86" s="42" t="s">
        <v>169</v>
      </c>
      <c r="C86" s="154">
        <v>1234</v>
      </c>
      <c r="D86" s="154" t="s">
        <v>943</v>
      </c>
    </row>
    <row r="87" spans="2:4" x14ac:dyDescent="0.25">
      <c r="B87" s="42" t="s">
        <v>613</v>
      </c>
      <c r="C87" s="180">
        <v>1247</v>
      </c>
      <c r="D87" s="180" t="s">
        <v>943</v>
      </c>
    </row>
    <row r="88" spans="2:4" x14ac:dyDescent="0.25">
      <c r="B88" s="42" t="s">
        <v>188</v>
      </c>
      <c r="C88" s="154">
        <v>1254</v>
      </c>
      <c r="D88" s="154" t="s">
        <v>943</v>
      </c>
    </row>
    <row r="89" spans="2:4" x14ac:dyDescent="0.25">
      <c r="B89" s="42" t="s">
        <v>615</v>
      </c>
      <c r="C89" s="180">
        <v>1266</v>
      </c>
      <c r="D89" s="180" t="s">
        <v>943</v>
      </c>
    </row>
    <row r="90" spans="2:4" x14ac:dyDescent="0.25">
      <c r="B90" s="42" t="s">
        <v>530</v>
      </c>
      <c r="C90" s="154">
        <v>1274</v>
      </c>
      <c r="D90" s="154" t="s">
        <v>943</v>
      </c>
    </row>
    <row r="91" spans="2:4" x14ac:dyDescent="0.25">
      <c r="B91" s="42" t="s">
        <v>216</v>
      </c>
      <c r="C91" s="180">
        <v>1286</v>
      </c>
      <c r="D91" s="180" t="s">
        <v>943</v>
      </c>
    </row>
    <row r="92" spans="2:4" x14ac:dyDescent="0.25">
      <c r="B92" s="42" t="s">
        <v>622</v>
      </c>
      <c r="C92" s="154">
        <v>1298</v>
      </c>
      <c r="D92" s="154">
        <v>6</v>
      </c>
    </row>
    <row r="93" spans="2:4" x14ac:dyDescent="0.25">
      <c r="B93" s="42" t="s">
        <v>140</v>
      </c>
      <c r="C93" s="180">
        <v>1310</v>
      </c>
      <c r="D93" s="180" t="s">
        <v>943</v>
      </c>
    </row>
    <row r="94" spans="2:4" x14ac:dyDescent="0.25">
      <c r="B94" s="42" t="s">
        <v>954</v>
      </c>
      <c r="C94" s="154">
        <v>1321</v>
      </c>
      <c r="D94" s="154" t="s">
        <v>943</v>
      </c>
    </row>
    <row r="95" spans="2:4" x14ac:dyDescent="0.25">
      <c r="B95" s="42" t="s">
        <v>626</v>
      </c>
      <c r="C95" s="180">
        <v>1332</v>
      </c>
      <c r="D95" s="180" t="s">
        <v>943</v>
      </c>
    </row>
    <row r="96" spans="2:4" x14ac:dyDescent="0.25">
      <c r="B96" s="42" t="s">
        <v>106</v>
      </c>
      <c r="C96" s="154">
        <v>1337</v>
      </c>
      <c r="D96" s="154">
        <v>4</v>
      </c>
    </row>
    <row r="97" spans="2:4" x14ac:dyDescent="0.25">
      <c r="B97" s="42" t="s">
        <v>1177</v>
      </c>
      <c r="C97" s="180">
        <v>1342</v>
      </c>
      <c r="D97" s="154">
        <v>3</v>
      </c>
    </row>
    <row r="98" spans="2:4" x14ac:dyDescent="0.25">
      <c r="B98" s="42" t="s">
        <v>1178</v>
      </c>
      <c r="C98" s="154">
        <v>1346</v>
      </c>
      <c r="D98" s="154">
        <v>4</v>
      </c>
    </row>
    <row r="99" spans="2:4" x14ac:dyDescent="0.25">
      <c r="B99" s="42" t="s">
        <v>953</v>
      </c>
      <c r="C99" s="180">
        <v>1432</v>
      </c>
      <c r="D99" s="180" t="s">
        <v>943</v>
      </c>
    </row>
    <row r="100" spans="2:4" x14ac:dyDescent="0.25">
      <c r="B100" s="42" t="s">
        <v>1003</v>
      </c>
      <c r="C100" s="164">
        <v>1765</v>
      </c>
      <c r="D100" s="164">
        <v>10</v>
      </c>
    </row>
    <row r="101" spans="2:4" x14ac:dyDescent="0.25">
      <c r="B101" s="42" t="s">
        <v>1017</v>
      </c>
      <c r="C101" s="164">
        <v>1776</v>
      </c>
      <c r="D101" s="164">
        <v>22</v>
      </c>
    </row>
    <row r="102" spans="2:4" x14ac:dyDescent="0.25">
      <c r="B102" s="42" t="s">
        <v>1004</v>
      </c>
      <c r="C102" s="164">
        <v>1845</v>
      </c>
      <c r="D102" s="164">
        <v>9</v>
      </c>
    </row>
  </sheetData>
  <mergeCells count="6">
    <mergeCell ref="A36:A38"/>
    <mergeCell ref="A43:A44"/>
    <mergeCell ref="A49:A50"/>
    <mergeCell ref="A56:A57"/>
    <mergeCell ref="C1:D1"/>
    <mergeCell ref="B1:B2"/>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Q142"/>
  <sheetViews>
    <sheetView topLeftCell="J1" zoomScale="85" zoomScaleNormal="85" workbookViewId="0">
      <pane ySplit="1" topLeftCell="A121" activePane="bottomLeft" state="frozen"/>
      <selection activeCell="C97" sqref="C97"/>
      <selection pane="bottomLeft" activeCell="K143" sqref="A1:Q142"/>
    </sheetView>
  </sheetViews>
  <sheetFormatPr defaultColWidth="9.140625" defaultRowHeight="54.95" customHeight="1" x14ac:dyDescent="0.25"/>
  <cols>
    <col min="1" max="2" width="11" style="27" customWidth="1"/>
    <col min="3" max="3" width="30.42578125" style="27" customWidth="1"/>
    <col min="4" max="4" width="11.85546875" style="27" customWidth="1"/>
    <col min="5" max="5" width="28.28515625" style="27" customWidth="1"/>
    <col min="6" max="6" width="62.7109375" style="27" customWidth="1"/>
    <col min="7" max="7" width="51.85546875" style="10" bestFit="1" customWidth="1"/>
    <col min="8" max="8" width="46.5703125" style="10" bestFit="1" customWidth="1"/>
    <col min="9" max="9" width="46.5703125" style="10" customWidth="1"/>
    <col min="10" max="10" width="74.28515625" style="10" customWidth="1"/>
    <col min="11" max="11" width="33.85546875" style="10" bestFit="1" customWidth="1"/>
    <col min="12" max="15" width="22.5703125" style="10" customWidth="1"/>
    <col min="16" max="16" width="58.5703125" style="27" customWidth="1"/>
    <col min="17" max="17" width="56.28515625" style="27" customWidth="1"/>
    <col min="18" max="16384" width="9.140625" style="27"/>
  </cols>
  <sheetData>
    <row r="1" spans="1:17" s="10" customFormat="1" ht="54.95" customHeight="1" x14ac:dyDescent="0.25">
      <c r="A1" s="5" t="s">
        <v>203</v>
      </c>
      <c r="B1" s="5" t="s">
        <v>1</v>
      </c>
      <c r="C1" s="5" t="s">
        <v>515</v>
      </c>
      <c r="D1" s="5" t="s">
        <v>204</v>
      </c>
      <c r="E1" s="5" t="s">
        <v>516</v>
      </c>
      <c r="F1" s="5" t="s">
        <v>517</v>
      </c>
      <c r="G1" s="5" t="s">
        <v>281</v>
      </c>
      <c r="H1" s="5" t="s">
        <v>292</v>
      </c>
      <c r="I1" s="5" t="s">
        <v>377</v>
      </c>
      <c r="J1" s="5" t="s">
        <v>297</v>
      </c>
      <c r="K1" s="5" t="s">
        <v>296</v>
      </c>
      <c r="L1" s="5" t="s">
        <v>378</v>
      </c>
      <c r="M1" s="5" t="s">
        <v>663</v>
      </c>
      <c r="N1" s="5" t="s">
        <v>379</v>
      </c>
      <c r="O1" s="5" t="s">
        <v>380</v>
      </c>
      <c r="P1" s="5" t="s">
        <v>518</v>
      </c>
      <c r="Q1" s="5" t="s">
        <v>18</v>
      </c>
    </row>
    <row r="2" spans="1:17" ht="15" hidden="1" customHeight="1" x14ac:dyDescent="0.25">
      <c r="A2" s="258" t="s">
        <v>155</v>
      </c>
      <c r="B2" s="258" t="s">
        <v>155</v>
      </c>
      <c r="D2" s="27" t="s">
        <v>194</v>
      </c>
      <c r="E2" s="8" t="s">
        <v>2</v>
      </c>
      <c r="F2" s="27" t="s">
        <v>3</v>
      </c>
      <c r="P2" s="27" t="s">
        <v>155</v>
      </c>
      <c r="Q2" s="258" t="s">
        <v>519</v>
      </c>
    </row>
    <row r="3" spans="1:17" ht="45" customHeight="1" x14ac:dyDescent="0.25">
      <c r="A3" s="258"/>
      <c r="B3" s="258"/>
      <c r="D3" s="27" t="s">
        <v>194</v>
      </c>
      <c r="E3" s="27" t="s">
        <v>4</v>
      </c>
      <c r="F3" s="27" t="s">
        <v>184</v>
      </c>
      <c r="I3" s="10" t="s">
        <v>722</v>
      </c>
      <c r="K3" s="10" t="s">
        <v>625</v>
      </c>
      <c r="L3" s="10" t="s">
        <v>140</v>
      </c>
      <c r="M3" s="10" t="s">
        <v>716</v>
      </c>
      <c r="N3" s="10">
        <v>1308</v>
      </c>
      <c r="P3" s="27" t="s">
        <v>140</v>
      </c>
      <c r="Q3" s="258"/>
    </row>
    <row r="4" spans="1:17" ht="15" customHeight="1" x14ac:dyDescent="0.25">
      <c r="A4" s="258"/>
      <c r="B4" s="258"/>
      <c r="D4" s="27" t="s">
        <v>194</v>
      </c>
      <c r="E4" s="27" t="s">
        <v>25</v>
      </c>
      <c r="F4" s="27" t="s">
        <v>90</v>
      </c>
      <c r="I4" s="10" t="s">
        <v>722</v>
      </c>
      <c r="K4" s="10" t="s">
        <v>727</v>
      </c>
      <c r="L4" s="10" t="s">
        <v>728</v>
      </c>
      <c r="M4" s="10" t="s">
        <v>717</v>
      </c>
      <c r="P4" s="27" t="s">
        <v>726</v>
      </c>
      <c r="Q4" s="258"/>
    </row>
    <row r="5" spans="1:17" s="40" customFormat="1" ht="15" hidden="1" customHeight="1" x14ac:dyDescent="0.25">
      <c r="A5" s="258"/>
      <c r="B5" s="258"/>
      <c r="G5" s="10"/>
      <c r="H5" s="10"/>
      <c r="I5" s="10"/>
      <c r="J5" s="10"/>
      <c r="K5" s="10" t="s">
        <v>724</v>
      </c>
      <c r="L5" s="10" t="s">
        <v>725</v>
      </c>
      <c r="M5" s="10" t="s">
        <v>717</v>
      </c>
      <c r="N5" s="10"/>
      <c r="O5" s="10"/>
      <c r="P5" s="40" t="s">
        <v>725</v>
      </c>
      <c r="Q5" s="258"/>
    </row>
    <row r="6" spans="1:17" ht="15" customHeight="1" x14ac:dyDescent="0.25">
      <c r="A6" s="258"/>
      <c r="B6" s="258"/>
      <c r="D6" s="27" t="s">
        <v>194</v>
      </c>
      <c r="E6" s="27" t="s">
        <v>26</v>
      </c>
      <c r="F6" s="2" t="s">
        <v>102</v>
      </c>
      <c r="G6" s="11"/>
      <c r="H6" s="11"/>
      <c r="I6" s="10" t="s">
        <v>722</v>
      </c>
      <c r="J6" s="11"/>
      <c r="K6" s="11" t="s">
        <v>614</v>
      </c>
      <c r="L6" s="11" t="s">
        <v>188</v>
      </c>
      <c r="M6" s="11" t="s">
        <v>716</v>
      </c>
      <c r="N6" s="11">
        <v>1250</v>
      </c>
      <c r="O6" s="11"/>
      <c r="P6" s="2" t="s">
        <v>188</v>
      </c>
      <c r="Q6" s="258"/>
    </row>
    <row r="7" spans="1:17" ht="120" customHeight="1" x14ac:dyDescent="0.25">
      <c r="A7" s="27" t="s">
        <v>5</v>
      </c>
      <c r="B7" s="27" t="s">
        <v>5</v>
      </c>
      <c r="D7" s="27" t="s">
        <v>195</v>
      </c>
      <c r="E7" s="8" t="s">
        <v>7</v>
      </c>
      <c r="F7" s="27" t="s">
        <v>100</v>
      </c>
      <c r="G7" s="20" t="s">
        <v>288</v>
      </c>
      <c r="H7" s="20" t="s">
        <v>332</v>
      </c>
      <c r="I7" s="20" t="s">
        <v>721</v>
      </c>
      <c r="J7" s="15" t="s">
        <v>433</v>
      </c>
      <c r="K7" s="20" t="s">
        <v>155</v>
      </c>
      <c r="L7" s="20" t="s">
        <v>155</v>
      </c>
      <c r="M7" s="20"/>
      <c r="N7" s="20"/>
      <c r="O7" s="20"/>
      <c r="P7" s="27" t="s">
        <v>155</v>
      </c>
      <c r="Q7" s="27" t="s">
        <v>697</v>
      </c>
    </row>
    <row r="8" spans="1:17" ht="60" customHeight="1" x14ac:dyDescent="0.25">
      <c r="A8" s="27" t="s">
        <v>5</v>
      </c>
      <c r="B8" s="27" t="s">
        <v>5</v>
      </c>
      <c r="D8" s="27" t="s">
        <v>195</v>
      </c>
      <c r="E8" s="27" t="s">
        <v>8</v>
      </c>
      <c r="F8" s="27" t="s">
        <v>11</v>
      </c>
      <c r="G8" s="10" t="s">
        <v>289</v>
      </c>
      <c r="H8" s="10" t="s">
        <v>333</v>
      </c>
      <c r="I8" s="10" t="s">
        <v>722</v>
      </c>
      <c r="J8" s="16" t="s">
        <v>434</v>
      </c>
      <c r="K8" s="10" t="s">
        <v>532</v>
      </c>
      <c r="L8" s="10" t="s">
        <v>134</v>
      </c>
      <c r="M8" s="10" t="s">
        <v>716</v>
      </c>
      <c r="N8" s="10">
        <v>885</v>
      </c>
      <c r="P8" s="27" t="s">
        <v>134</v>
      </c>
      <c r="Q8" s="27" t="s">
        <v>92</v>
      </c>
    </row>
    <row r="9" spans="1:17" ht="60" hidden="1" customHeight="1" x14ac:dyDescent="0.25">
      <c r="A9" s="27" t="s">
        <v>5</v>
      </c>
      <c r="B9" s="27" t="s">
        <v>5</v>
      </c>
      <c r="D9" s="27" t="s">
        <v>195</v>
      </c>
      <c r="E9" s="8" t="s">
        <v>9</v>
      </c>
      <c r="F9" s="27" t="s">
        <v>12</v>
      </c>
      <c r="G9" s="10" t="s">
        <v>290</v>
      </c>
      <c r="H9" s="10" t="s">
        <v>334</v>
      </c>
      <c r="J9" s="16" t="s">
        <v>435</v>
      </c>
      <c r="K9" s="10" t="s">
        <v>155</v>
      </c>
      <c r="L9" s="10" t="s">
        <v>155</v>
      </c>
      <c r="P9" s="27" t="s">
        <v>155</v>
      </c>
    </row>
    <row r="10" spans="1:17" ht="75" hidden="1" customHeight="1" x14ac:dyDescent="0.25">
      <c r="A10" s="27" t="s">
        <v>5</v>
      </c>
      <c r="B10" s="27" t="s">
        <v>5</v>
      </c>
      <c r="D10" s="27" t="s">
        <v>195</v>
      </c>
      <c r="E10" s="8" t="s">
        <v>10</v>
      </c>
      <c r="F10" s="27" t="s">
        <v>13</v>
      </c>
      <c r="G10" s="12" t="s">
        <v>291</v>
      </c>
      <c r="H10" s="12" t="s">
        <v>335</v>
      </c>
      <c r="I10" s="12"/>
      <c r="J10" s="16" t="s">
        <v>436</v>
      </c>
      <c r="K10" s="12" t="s">
        <v>698</v>
      </c>
      <c r="L10" s="12" t="s">
        <v>157</v>
      </c>
      <c r="M10" s="21" t="s">
        <v>716</v>
      </c>
      <c r="N10" s="12"/>
      <c r="O10" s="12"/>
      <c r="P10" s="27" t="s">
        <v>187</v>
      </c>
      <c r="Q10" s="27" t="s">
        <v>699</v>
      </c>
    </row>
    <row r="11" spans="1:17" ht="60" hidden="1" customHeight="1" x14ac:dyDescent="0.25">
      <c r="A11" s="27" t="s">
        <v>5</v>
      </c>
      <c r="B11" s="27" t="s">
        <v>5</v>
      </c>
      <c r="D11" s="27" t="s">
        <v>195</v>
      </c>
      <c r="E11" s="8" t="s">
        <v>14</v>
      </c>
      <c r="F11" s="27" t="s">
        <v>15</v>
      </c>
      <c r="G11" s="12" t="s">
        <v>293</v>
      </c>
      <c r="H11" s="12" t="s">
        <v>336</v>
      </c>
      <c r="I11" s="12"/>
      <c r="J11" s="16" t="s">
        <v>437</v>
      </c>
      <c r="K11" s="12" t="s">
        <v>155</v>
      </c>
      <c r="L11" s="12" t="s">
        <v>155</v>
      </c>
      <c r="M11" s="12"/>
      <c r="N11" s="12"/>
      <c r="O11" s="12"/>
      <c r="P11" s="27" t="s">
        <v>155</v>
      </c>
    </row>
    <row r="12" spans="1:17" ht="15" hidden="1" customHeight="1" x14ac:dyDescent="0.25">
      <c r="A12" s="27" t="s">
        <v>16</v>
      </c>
      <c r="D12" s="27" t="s">
        <v>195</v>
      </c>
      <c r="E12" s="8" t="s">
        <v>24</v>
      </c>
      <c r="F12" s="27" t="s">
        <v>104</v>
      </c>
      <c r="G12" s="10" t="s">
        <v>282</v>
      </c>
      <c r="H12" s="10" t="s">
        <v>337</v>
      </c>
      <c r="J12" s="16" t="s">
        <v>438</v>
      </c>
      <c r="K12" s="10" t="s">
        <v>155</v>
      </c>
      <c r="L12" s="10" t="s">
        <v>155</v>
      </c>
      <c r="P12" s="27" t="s">
        <v>155</v>
      </c>
    </row>
    <row r="13" spans="1:17" ht="105" customHeight="1" x14ac:dyDescent="0.25">
      <c r="A13" s="27" t="s">
        <v>16</v>
      </c>
      <c r="D13" s="27" t="s">
        <v>195</v>
      </c>
      <c r="E13" s="27" t="s">
        <v>17</v>
      </c>
      <c r="F13" s="27" t="s">
        <v>205</v>
      </c>
      <c r="G13" s="21" t="s">
        <v>228</v>
      </c>
      <c r="H13" s="21" t="s">
        <v>338</v>
      </c>
      <c r="I13" s="10" t="s">
        <v>722</v>
      </c>
      <c r="J13" s="21" t="s">
        <v>403</v>
      </c>
      <c r="K13" s="21" t="s">
        <v>381</v>
      </c>
      <c r="L13" s="21" t="s">
        <v>17</v>
      </c>
      <c r="M13" s="21" t="s">
        <v>716</v>
      </c>
      <c r="N13" s="21">
        <v>244</v>
      </c>
      <c r="O13" s="21"/>
      <c r="P13" s="27" t="s">
        <v>17</v>
      </c>
      <c r="Q13" s="27" t="s">
        <v>88</v>
      </c>
    </row>
    <row r="14" spans="1:17" ht="75" customHeight="1" x14ac:dyDescent="0.25">
      <c r="A14" s="27" t="s">
        <v>16</v>
      </c>
      <c r="C14" s="27" t="s">
        <v>101</v>
      </c>
      <c r="D14" s="27" t="s">
        <v>195</v>
      </c>
      <c r="E14" s="27" t="s">
        <v>19</v>
      </c>
      <c r="F14" s="27" t="s">
        <v>520</v>
      </c>
      <c r="G14" s="21" t="s">
        <v>229</v>
      </c>
      <c r="H14" s="21" t="s">
        <v>339</v>
      </c>
      <c r="I14" s="10" t="s">
        <v>722</v>
      </c>
      <c r="J14" s="21" t="s">
        <v>404</v>
      </c>
      <c r="K14" s="21" t="s">
        <v>382</v>
      </c>
      <c r="L14" s="21" t="s">
        <v>113</v>
      </c>
      <c r="M14" s="21" t="s">
        <v>716</v>
      </c>
      <c r="N14" s="21">
        <v>271</v>
      </c>
      <c r="O14" s="21">
        <v>4</v>
      </c>
      <c r="P14" s="27" t="s">
        <v>113</v>
      </c>
    </row>
    <row r="15" spans="1:17" ht="60" customHeight="1" x14ac:dyDescent="0.25">
      <c r="A15" s="27" t="s">
        <v>16</v>
      </c>
      <c r="C15" s="27" t="s">
        <v>101</v>
      </c>
      <c r="D15" s="27" t="s">
        <v>195</v>
      </c>
      <c r="E15" s="27" t="s">
        <v>20</v>
      </c>
      <c r="F15" s="27" t="s">
        <v>219</v>
      </c>
      <c r="G15" s="21" t="s">
        <v>230</v>
      </c>
      <c r="H15" s="21" t="s">
        <v>340</v>
      </c>
      <c r="I15" s="10" t="s">
        <v>722</v>
      </c>
      <c r="J15" s="21" t="s">
        <v>405</v>
      </c>
      <c r="K15" s="21" t="s">
        <v>383</v>
      </c>
      <c r="L15" s="21" t="s">
        <v>114</v>
      </c>
      <c r="M15" s="21" t="s">
        <v>716</v>
      </c>
      <c r="N15" s="21">
        <v>322</v>
      </c>
      <c r="O15" s="21">
        <v>2</v>
      </c>
      <c r="P15" s="27" t="s">
        <v>114</v>
      </c>
    </row>
    <row r="16" spans="1:17" ht="75" customHeight="1" x14ac:dyDescent="0.25">
      <c r="A16" s="27" t="s">
        <v>16</v>
      </c>
      <c r="C16" s="27" t="s">
        <v>101</v>
      </c>
      <c r="D16" s="27" t="s">
        <v>195</v>
      </c>
      <c r="E16" s="27" t="s">
        <v>387</v>
      </c>
      <c r="F16" s="27" t="s">
        <v>386</v>
      </c>
      <c r="G16" s="21" t="s">
        <v>231</v>
      </c>
      <c r="H16" s="10" t="s">
        <v>385</v>
      </c>
      <c r="I16" s="10" t="s">
        <v>722</v>
      </c>
      <c r="J16" s="21" t="s">
        <v>406</v>
      </c>
      <c r="K16" s="21" t="s">
        <v>391</v>
      </c>
      <c r="L16" s="21" t="s">
        <v>119</v>
      </c>
      <c r="M16" s="21" t="s">
        <v>716</v>
      </c>
      <c r="N16" s="21">
        <v>331</v>
      </c>
      <c r="O16" s="21">
        <v>3</v>
      </c>
      <c r="P16" s="27" t="s">
        <v>119</v>
      </c>
      <c r="Q16" s="27" t="s">
        <v>393</v>
      </c>
    </row>
    <row r="17" spans="1:17" s="8" customFormat="1" ht="75" customHeight="1" x14ac:dyDescent="0.25">
      <c r="A17" s="8" t="s">
        <v>16</v>
      </c>
      <c r="C17" s="8" t="s">
        <v>101</v>
      </c>
      <c r="D17" s="8" t="s">
        <v>195</v>
      </c>
      <c r="E17" s="8" t="s">
        <v>388</v>
      </c>
      <c r="F17" s="8" t="s">
        <v>386</v>
      </c>
      <c r="G17" s="31" t="s">
        <v>389</v>
      </c>
      <c r="H17" s="25" t="s">
        <v>390</v>
      </c>
      <c r="I17" s="25" t="s">
        <v>722</v>
      </c>
      <c r="J17" s="31" t="s">
        <v>407</v>
      </c>
      <c r="K17" s="31" t="s">
        <v>392</v>
      </c>
      <c r="L17" s="31" t="s">
        <v>119</v>
      </c>
      <c r="M17" s="31" t="s">
        <v>716</v>
      </c>
      <c r="N17" s="31">
        <v>335</v>
      </c>
      <c r="O17" s="31">
        <v>3</v>
      </c>
      <c r="P17" s="8" t="s">
        <v>119</v>
      </c>
      <c r="Q17" s="8" t="s">
        <v>394</v>
      </c>
    </row>
    <row r="18" spans="1:17" ht="45" customHeight="1" x14ac:dyDescent="0.25">
      <c r="A18" s="27" t="s">
        <v>16</v>
      </c>
      <c r="C18" s="27" t="s">
        <v>101</v>
      </c>
      <c r="D18" s="27" t="s">
        <v>195</v>
      </c>
      <c r="E18" s="27" t="s">
        <v>21</v>
      </c>
      <c r="F18" s="27" t="s">
        <v>206</v>
      </c>
      <c r="G18" s="21" t="s">
        <v>232</v>
      </c>
      <c r="H18" s="21" t="s">
        <v>341</v>
      </c>
      <c r="I18" s="25" t="s">
        <v>722</v>
      </c>
      <c r="J18" s="21" t="s">
        <v>408</v>
      </c>
      <c r="K18" s="21" t="s">
        <v>384</v>
      </c>
      <c r="L18" s="21" t="s">
        <v>120</v>
      </c>
      <c r="M18" s="21" t="s">
        <v>716</v>
      </c>
      <c r="N18" s="21">
        <v>342</v>
      </c>
      <c r="O18" s="21">
        <v>4</v>
      </c>
      <c r="P18" s="27" t="s">
        <v>120</v>
      </c>
    </row>
    <row r="19" spans="1:17" s="8" customFormat="1" ht="60" customHeight="1" x14ac:dyDescent="0.25">
      <c r="A19" s="8" t="s">
        <v>16</v>
      </c>
      <c r="C19" s="8" t="s">
        <v>101</v>
      </c>
      <c r="D19" s="8" t="s">
        <v>195</v>
      </c>
      <c r="E19" s="8" t="s">
        <v>395</v>
      </c>
      <c r="F19" s="8" t="s">
        <v>723</v>
      </c>
      <c r="G19" s="31" t="s">
        <v>396</v>
      </c>
      <c r="H19" s="31" t="s">
        <v>398</v>
      </c>
      <c r="I19" s="31" t="s">
        <v>722</v>
      </c>
      <c r="J19" s="31" t="s">
        <v>397</v>
      </c>
      <c r="K19" s="31" t="s">
        <v>700</v>
      </c>
      <c r="L19" s="31" t="s">
        <v>157</v>
      </c>
      <c r="M19" s="21" t="s">
        <v>716</v>
      </c>
      <c r="N19" s="31"/>
      <c r="O19" s="31"/>
      <c r="Q19" s="8" t="s">
        <v>400</v>
      </c>
    </row>
    <row r="20" spans="1:17" ht="120" customHeight="1" x14ac:dyDescent="0.25">
      <c r="A20" s="27" t="s">
        <v>16</v>
      </c>
      <c r="C20" s="27" t="s">
        <v>101</v>
      </c>
      <c r="D20" s="27" t="s">
        <v>195</v>
      </c>
      <c r="E20" s="27" t="s">
        <v>22</v>
      </c>
      <c r="F20" s="27" t="s">
        <v>399</v>
      </c>
      <c r="G20" s="21" t="s">
        <v>233</v>
      </c>
      <c r="H20" s="21" t="s">
        <v>342</v>
      </c>
      <c r="I20" s="21" t="s">
        <v>722</v>
      </c>
      <c r="J20" s="21" t="s">
        <v>409</v>
      </c>
      <c r="K20" s="21" t="s">
        <v>410</v>
      </c>
      <c r="L20" s="21" t="s">
        <v>121</v>
      </c>
      <c r="M20" s="21" t="s">
        <v>716</v>
      </c>
      <c r="N20" s="21">
        <v>350</v>
      </c>
      <c r="O20" s="21">
        <v>6</v>
      </c>
      <c r="P20" s="27" t="s">
        <v>121</v>
      </c>
    </row>
    <row r="21" spans="1:17" ht="105" customHeight="1" x14ac:dyDescent="0.25">
      <c r="A21" s="27" t="s">
        <v>16</v>
      </c>
      <c r="C21" s="27" t="s">
        <v>101</v>
      </c>
      <c r="D21" s="27" t="s">
        <v>198</v>
      </c>
      <c r="E21" s="27" t="s">
        <v>105</v>
      </c>
      <c r="F21" s="27" t="s">
        <v>207</v>
      </c>
      <c r="G21" s="21" t="s">
        <v>234</v>
      </c>
      <c r="H21" s="21" t="s">
        <v>343</v>
      </c>
      <c r="I21" s="21" t="s">
        <v>722</v>
      </c>
      <c r="J21" s="15" t="s">
        <v>417</v>
      </c>
      <c r="K21" s="21" t="s">
        <v>402</v>
      </c>
      <c r="L21" s="21" t="s">
        <v>122</v>
      </c>
      <c r="M21" s="21" t="s">
        <v>716</v>
      </c>
      <c r="N21" s="21">
        <v>371</v>
      </c>
      <c r="O21" s="21">
        <v>6</v>
      </c>
      <c r="P21" s="27" t="s">
        <v>122</v>
      </c>
    </row>
    <row r="22" spans="1:17" ht="45" customHeight="1" x14ac:dyDescent="0.25">
      <c r="A22" s="27" t="s">
        <v>16</v>
      </c>
      <c r="C22" s="27" t="s">
        <v>101</v>
      </c>
      <c r="D22" s="27" t="s">
        <v>198</v>
      </c>
      <c r="E22" s="27" t="s">
        <v>108</v>
      </c>
      <c r="F22" s="27" t="s">
        <v>220</v>
      </c>
      <c r="G22" s="21" t="s">
        <v>235</v>
      </c>
      <c r="H22" s="21" t="s">
        <v>344</v>
      </c>
      <c r="I22" s="21" t="s">
        <v>722</v>
      </c>
      <c r="J22" s="15" t="s">
        <v>439</v>
      </c>
      <c r="K22" s="21" t="s">
        <v>402</v>
      </c>
      <c r="L22" s="21" t="s">
        <v>122</v>
      </c>
      <c r="M22" s="21" t="s">
        <v>716</v>
      </c>
      <c r="N22" s="21">
        <v>371</v>
      </c>
      <c r="O22" s="21">
        <v>6</v>
      </c>
      <c r="P22" s="27" t="s">
        <v>122</v>
      </c>
    </row>
    <row r="23" spans="1:17" s="8" customFormat="1" ht="90" customHeight="1" x14ac:dyDescent="0.25">
      <c r="A23" s="8" t="s">
        <v>16</v>
      </c>
      <c r="D23" s="8" t="s">
        <v>195</v>
      </c>
      <c r="E23" s="8" t="s">
        <v>23</v>
      </c>
      <c r="F23" s="8" t="s">
        <v>208</v>
      </c>
      <c r="G23" s="31" t="s">
        <v>331</v>
      </c>
      <c r="H23" s="31" t="s">
        <v>302</v>
      </c>
      <c r="I23" s="31" t="s">
        <v>721</v>
      </c>
      <c r="J23" s="32" t="s">
        <v>440</v>
      </c>
      <c r="K23" s="31" t="s">
        <v>633</v>
      </c>
      <c r="L23" s="31" t="s">
        <v>175</v>
      </c>
      <c r="M23" s="31" t="s">
        <v>716</v>
      </c>
      <c r="N23" s="31"/>
      <c r="O23" s="31"/>
      <c r="P23" s="8" t="s">
        <v>175</v>
      </c>
      <c r="Q23" s="8" t="s">
        <v>664</v>
      </c>
    </row>
    <row r="24" spans="1:17" ht="180" customHeight="1" x14ac:dyDescent="0.25">
      <c r="A24" s="27" t="s">
        <v>91</v>
      </c>
      <c r="D24" s="27" t="s">
        <v>195</v>
      </c>
      <c r="E24" s="27" t="s">
        <v>93</v>
      </c>
      <c r="F24" s="27" t="s">
        <v>521</v>
      </c>
      <c r="G24" s="10" t="s">
        <v>283</v>
      </c>
      <c r="H24" s="10" t="s">
        <v>345</v>
      </c>
      <c r="I24" s="17" t="s">
        <v>722</v>
      </c>
      <c r="J24" s="20" t="s">
        <v>514</v>
      </c>
      <c r="K24" s="10" t="s">
        <v>612</v>
      </c>
      <c r="L24" s="10" t="s">
        <v>613</v>
      </c>
      <c r="M24" s="10" t="s">
        <v>716</v>
      </c>
      <c r="N24" s="10">
        <v>1243</v>
      </c>
      <c r="P24" s="27" t="s">
        <v>189</v>
      </c>
    </row>
    <row r="25" spans="1:17" ht="150" customHeight="1" x14ac:dyDescent="0.25">
      <c r="A25" s="27" t="s">
        <v>155</v>
      </c>
      <c r="D25" s="27" t="s">
        <v>194</v>
      </c>
      <c r="E25" s="27" t="s">
        <v>224</v>
      </c>
      <c r="F25" s="27" t="s">
        <v>225</v>
      </c>
      <c r="I25" s="10" t="s">
        <v>722</v>
      </c>
      <c r="K25" s="10" t="s">
        <v>582</v>
      </c>
      <c r="L25" s="10" t="s">
        <v>107</v>
      </c>
      <c r="M25" s="10" t="s">
        <v>716</v>
      </c>
      <c r="N25" s="10">
        <v>1092</v>
      </c>
      <c r="P25" s="27" t="s">
        <v>107</v>
      </c>
      <c r="Q25" s="27" t="s">
        <v>583</v>
      </c>
    </row>
    <row r="26" spans="1:17" ht="165" customHeight="1" x14ac:dyDescent="0.25">
      <c r="A26" s="27" t="s">
        <v>155</v>
      </c>
      <c r="B26" s="27" t="s">
        <v>155</v>
      </c>
      <c r="D26" s="27" t="s">
        <v>194</v>
      </c>
      <c r="E26" s="27" t="s">
        <v>212</v>
      </c>
      <c r="F26" s="27" t="s">
        <v>218</v>
      </c>
      <c r="I26" s="10" t="s">
        <v>722</v>
      </c>
      <c r="K26" s="10" t="s">
        <v>629</v>
      </c>
      <c r="L26" s="10" t="s">
        <v>106</v>
      </c>
      <c r="M26" s="10" t="s">
        <v>716</v>
      </c>
      <c r="N26" s="10">
        <v>1334</v>
      </c>
      <c r="P26" s="27" t="s">
        <v>106</v>
      </c>
      <c r="Q26" s="27" t="s">
        <v>630</v>
      </c>
    </row>
    <row r="27" spans="1:17" s="8" customFormat="1" ht="30" hidden="1" customHeight="1" x14ac:dyDescent="0.25">
      <c r="A27" s="8" t="s">
        <v>91</v>
      </c>
      <c r="C27" s="8" t="s">
        <v>209</v>
      </c>
      <c r="D27" s="8" t="s">
        <v>195</v>
      </c>
      <c r="E27" s="8" t="s">
        <v>94</v>
      </c>
      <c r="F27" s="8" t="s">
        <v>98</v>
      </c>
      <c r="G27" s="25" t="s">
        <v>284</v>
      </c>
      <c r="H27" s="25" t="s">
        <v>346</v>
      </c>
      <c r="I27" s="25"/>
      <c r="J27" s="33" t="s">
        <v>441</v>
      </c>
      <c r="K27" s="25" t="s">
        <v>155</v>
      </c>
      <c r="L27" s="25" t="s">
        <v>155</v>
      </c>
      <c r="M27" s="25"/>
      <c r="N27" s="25"/>
      <c r="O27" s="25"/>
      <c r="P27" s="8" t="s">
        <v>155</v>
      </c>
    </row>
    <row r="28" spans="1:17" ht="30" hidden="1" customHeight="1" x14ac:dyDescent="0.25">
      <c r="A28" s="27" t="s">
        <v>16</v>
      </c>
      <c r="B28" s="27" t="s">
        <v>27</v>
      </c>
      <c r="D28" s="27" t="s">
        <v>195</v>
      </c>
      <c r="E28" s="8" t="s">
        <v>99</v>
      </c>
      <c r="F28" s="27" t="s">
        <v>96</v>
      </c>
      <c r="G28" s="10" t="s">
        <v>285</v>
      </c>
      <c r="K28" s="10" t="s">
        <v>155</v>
      </c>
      <c r="L28" s="10" t="s">
        <v>155</v>
      </c>
      <c r="P28" s="27" t="s">
        <v>155</v>
      </c>
      <c r="Q28" s="1" t="s">
        <v>115</v>
      </c>
    </row>
    <row r="29" spans="1:17" ht="30" customHeight="1" x14ac:dyDescent="0.25">
      <c r="A29" s="27" t="s">
        <v>91</v>
      </c>
      <c r="D29" s="27" t="s">
        <v>195</v>
      </c>
      <c r="E29" s="8" t="s">
        <v>31</v>
      </c>
      <c r="F29" s="27" t="s">
        <v>117</v>
      </c>
      <c r="G29" s="21" t="s">
        <v>236</v>
      </c>
      <c r="H29" s="21" t="s">
        <v>411</v>
      </c>
      <c r="I29" s="21" t="s">
        <v>722</v>
      </c>
      <c r="J29" s="20" t="s">
        <v>442</v>
      </c>
      <c r="K29" s="21" t="s">
        <v>412</v>
      </c>
      <c r="L29" s="21" t="s">
        <v>116</v>
      </c>
      <c r="M29" s="21" t="s">
        <v>716</v>
      </c>
      <c r="N29" s="21"/>
      <c r="O29" s="21"/>
      <c r="P29" s="27" t="s">
        <v>116</v>
      </c>
    </row>
    <row r="30" spans="1:17" ht="135" customHeight="1" x14ac:dyDescent="0.25">
      <c r="A30" s="27" t="s">
        <v>91</v>
      </c>
      <c r="D30" s="27" t="s">
        <v>195</v>
      </c>
      <c r="E30" s="8" t="s">
        <v>28</v>
      </c>
      <c r="F30" s="27" t="s">
        <v>118</v>
      </c>
      <c r="G30" s="21" t="s">
        <v>237</v>
      </c>
      <c r="H30" s="21" t="s">
        <v>347</v>
      </c>
      <c r="I30" s="21" t="s">
        <v>722</v>
      </c>
      <c r="J30" s="15" t="s">
        <v>443</v>
      </c>
      <c r="K30" s="21" t="s">
        <v>413</v>
      </c>
      <c r="L30" s="21" t="s">
        <v>158</v>
      </c>
      <c r="M30" s="21" t="s">
        <v>717</v>
      </c>
      <c r="N30" s="21"/>
      <c r="O30" s="21"/>
      <c r="P30" s="27" t="s">
        <v>158</v>
      </c>
    </row>
    <row r="31" spans="1:17" s="1" customFormat="1" ht="30" customHeight="1" x14ac:dyDescent="0.25">
      <c r="A31" s="8" t="s">
        <v>16</v>
      </c>
      <c r="B31" s="8" t="s">
        <v>27</v>
      </c>
      <c r="C31" s="8" t="s">
        <v>109</v>
      </c>
      <c r="D31" s="8" t="s">
        <v>195</v>
      </c>
      <c r="E31" s="8" t="s">
        <v>31</v>
      </c>
      <c r="F31" s="8" t="s">
        <v>95</v>
      </c>
      <c r="G31" s="21" t="s">
        <v>261</v>
      </c>
      <c r="H31" s="21" t="s">
        <v>411</v>
      </c>
      <c r="I31" s="21" t="s">
        <v>722</v>
      </c>
      <c r="J31" s="20" t="s">
        <v>444</v>
      </c>
      <c r="K31" s="25" t="s">
        <v>539</v>
      </c>
      <c r="L31" s="25" t="s">
        <v>538</v>
      </c>
      <c r="M31" s="25" t="s">
        <v>716</v>
      </c>
      <c r="N31" s="25"/>
      <c r="O31" s="25"/>
      <c r="P31" s="8" t="s">
        <v>538</v>
      </c>
      <c r="Q31" s="2" t="s">
        <v>540</v>
      </c>
    </row>
    <row r="32" spans="1:17" s="14" customFormat="1" ht="30" x14ac:dyDescent="0.25">
      <c r="A32" s="13" t="s">
        <v>16</v>
      </c>
      <c r="B32" s="13" t="s">
        <v>27</v>
      </c>
      <c r="C32" s="13" t="s">
        <v>109</v>
      </c>
      <c r="D32" s="13" t="s">
        <v>195</v>
      </c>
      <c r="E32" s="13" t="s">
        <v>89</v>
      </c>
      <c r="F32" s="13"/>
      <c r="G32" s="12" t="s">
        <v>376</v>
      </c>
      <c r="H32" s="21" t="s">
        <v>411</v>
      </c>
      <c r="I32" s="12" t="s">
        <v>722</v>
      </c>
      <c r="J32" s="12"/>
      <c r="K32" s="10" t="s">
        <v>652</v>
      </c>
      <c r="L32" s="12" t="s">
        <v>651</v>
      </c>
      <c r="M32" s="12" t="s">
        <v>716</v>
      </c>
      <c r="N32" s="12"/>
      <c r="O32" s="12"/>
      <c r="Q32" s="39" t="s">
        <v>713</v>
      </c>
    </row>
    <row r="33" spans="1:17" s="1" customFormat="1" ht="15" customHeight="1" x14ac:dyDescent="0.25">
      <c r="A33" s="8" t="s">
        <v>16</v>
      </c>
      <c r="B33" s="8" t="s">
        <v>27</v>
      </c>
      <c r="C33" s="8" t="s">
        <v>109</v>
      </c>
      <c r="D33" s="8" t="s">
        <v>195</v>
      </c>
      <c r="E33" s="8" t="s">
        <v>28</v>
      </c>
      <c r="F33" s="8"/>
      <c r="G33" s="21" t="s">
        <v>272</v>
      </c>
      <c r="H33" s="21" t="s">
        <v>347</v>
      </c>
      <c r="I33" s="21" t="s">
        <v>722</v>
      </c>
      <c r="J33" s="15" t="s">
        <v>445</v>
      </c>
      <c r="K33" s="25" t="s">
        <v>543</v>
      </c>
      <c r="L33" s="25" t="s">
        <v>541</v>
      </c>
      <c r="M33" s="25" t="s">
        <v>717</v>
      </c>
      <c r="N33" s="25"/>
      <c r="O33" s="25"/>
      <c r="P33" s="8" t="s">
        <v>541</v>
      </c>
      <c r="Q33" s="8" t="s">
        <v>542</v>
      </c>
    </row>
    <row r="34" spans="1:17" s="4" customFormat="1" ht="75" customHeight="1" x14ac:dyDescent="0.25">
      <c r="A34" s="4" t="s">
        <v>6</v>
      </c>
      <c r="B34" s="4" t="s">
        <v>32</v>
      </c>
      <c r="D34" s="4" t="s">
        <v>195</v>
      </c>
      <c r="E34" s="9" t="s">
        <v>33</v>
      </c>
      <c r="F34" s="4" t="s">
        <v>128</v>
      </c>
      <c r="G34" s="21" t="s">
        <v>418</v>
      </c>
      <c r="H34" s="21" t="s">
        <v>155</v>
      </c>
      <c r="I34" s="21" t="s">
        <v>722</v>
      </c>
      <c r="J34" s="22" t="s">
        <v>419</v>
      </c>
      <c r="K34" s="21" t="s">
        <v>420</v>
      </c>
      <c r="L34" s="21" t="s">
        <v>123</v>
      </c>
      <c r="M34" s="21" t="s">
        <v>716</v>
      </c>
      <c r="N34" s="21">
        <v>405</v>
      </c>
      <c r="O34" s="21">
        <v>1</v>
      </c>
      <c r="P34" s="4" t="s">
        <v>123</v>
      </c>
    </row>
    <row r="35" spans="1:17" ht="75" customHeight="1" x14ac:dyDescent="0.25">
      <c r="A35" s="27" t="s">
        <v>6</v>
      </c>
      <c r="B35" s="27" t="s">
        <v>32</v>
      </c>
      <c r="D35" s="27" t="s">
        <v>195</v>
      </c>
      <c r="E35" s="27" t="s">
        <v>34</v>
      </c>
      <c r="F35" s="27" t="s">
        <v>193</v>
      </c>
      <c r="G35" s="17" t="s">
        <v>446</v>
      </c>
      <c r="H35" s="10" t="s">
        <v>372</v>
      </c>
      <c r="I35" s="21" t="s">
        <v>722</v>
      </c>
      <c r="J35" s="16" t="s">
        <v>447</v>
      </c>
      <c r="K35" s="21" t="s">
        <v>421</v>
      </c>
      <c r="L35" s="21" t="s">
        <v>123</v>
      </c>
      <c r="M35" s="21" t="s">
        <v>716</v>
      </c>
      <c r="N35" s="21">
        <v>407</v>
      </c>
      <c r="O35" s="21"/>
      <c r="P35" s="27" t="s">
        <v>123</v>
      </c>
    </row>
    <row r="36" spans="1:17" ht="45" customHeight="1" x14ac:dyDescent="0.25">
      <c r="A36" s="27" t="s">
        <v>6</v>
      </c>
      <c r="B36" s="27" t="s">
        <v>32</v>
      </c>
      <c r="D36" s="27" t="s">
        <v>195</v>
      </c>
      <c r="E36" s="27" t="s">
        <v>35</v>
      </c>
      <c r="F36" s="27" t="s">
        <v>129</v>
      </c>
      <c r="G36" s="21" t="s">
        <v>238</v>
      </c>
      <c r="H36" s="21" t="s">
        <v>371</v>
      </c>
      <c r="I36" s="21" t="s">
        <v>722</v>
      </c>
      <c r="J36" s="20" t="s">
        <v>448</v>
      </c>
      <c r="K36" s="21" t="s">
        <v>422</v>
      </c>
      <c r="L36" s="21" t="s">
        <v>123</v>
      </c>
      <c r="M36" s="21" t="s">
        <v>716</v>
      </c>
      <c r="N36" s="21">
        <v>438</v>
      </c>
      <c r="O36" s="21"/>
      <c r="P36" s="27" t="s">
        <v>123</v>
      </c>
    </row>
    <row r="37" spans="1:17" ht="195" hidden="1" customHeight="1" x14ac:dyDescent="0.25">
      <c r="A37" s="27" t="s">
        <v>6</v>
      </c>
      <c r="B37" s="27" t="s">
        <v>32</v>
      </c>
      <c r="D37" s="27" t="s">
        <v>195</v>
      </c>
      <c r="E37" s="8" t="s">
        <v>36</v>
      </c>
      <c r="F37" s="27" t="s">
        <v>111</v>
      </c>
      <c r="P37" s="27" t="s">
        <v>155</v>
      </c>
    </row>
    <row r="38" spans="1:17" ht="45" customHeight="1" x14ac:dyDescent="0.25">
      <c r="A38" s="27" t="s">
        <v>6</v>
      </c>
      <c r="B38" s="27" t="s">
        <v>32</v>
      </c>
      <c r="D38" s="27" t="s">
        <v>195</v>
      </c>
      <c r="E38" s="27" t="s">
        <v>37</v>
      </c>
      <c r="F38" s="27" t="s">
        <v>160</v>
      </c>
      <c r="G38" s="21" t="s">
        <v>364</v>
      </c>
      <c r="H38" s="17" t="s">
        <v>458</v>
      </c>
      <c r="I38" s="21" t="s">
        <v>722</v>
      </c>
      <c r="J38" s="23" t="s">
        <v>449</v>
      </c>
      <c r="K38" s="10" t="s">
        <v>414</v>
      </c>
      <c r="L38" s="21" t="s">
        <v>415</v>
      </c>
      <c r="M38" s="21" t="s">
        <v>716</v>
      </c>
      <c r="N38" s="10" t="s">
        <v>416</v>
      </c>
      <c r="P38" s="27" t="s">
        <v>159</v>
      </c>
    </row>
    <row r="39" spans="1:17" s="13" customFormat="1" ht="15" customHeight="1" x14ac:dyDescent="0.25">
      <c r="A39" s="13" t="s">
        <v>6</v>
      </c>
      <c r="B39" s="13" t="s">
        <v>32</v>
      </c>
      <c r="D39" s="13" t="s">
        <v>195</v>
      </c>
      <c r="E39" s="13" t="s">
        <v>38</v>
      </c>
      <c r="G39" s="24" t="s">
        <v>239</v>
      </c>
      <c r="H39" s="24" t="s">
        <v>365</v>
      </c>
      <c r="I39" s="24" t="s">
        <v>722</v>
      </c>
      <c r="J39" s="20" t="s">
        <v>450</v>
      </c>
      <c r="K39" s="24" t="s">
        <v>423</v>
      </c>
      <c r="L39" s="24" t="s">
        <v>125</v>
      </c>
      <c r="M39" s="21" t="s">
        <v>716</v>
      </c>
      <c r="N39" s="24">
        <v>485</v>
      </c>
      <c r="O39" s="24"/>
      <c r="P39" s="13" t="s">
        <v>125</v>
      </c>
    </row>
    <row r="40" spans="1:17" s="13" customFormat="1" ht="15" customHeight="1" x14ac:dyDescent="0.25">
      <c r="A40" s="13" t="s">
        <v>6</v>
      </c>
      <c r="B40" s="13" t="s">
        <v>32</v>
      </c>
      <c r="D40" s="13" t="s">
        <v>195</v>
      </c>
      <c r="E40" s="13" t="s">
        <v>39</v>
      </c>
      <c r="G40" s="24" t="s">
        <v>240</v>
      </c>
      <c r="H40" s="24" t="s">
        <v>366</v>
      </c>
      <c r="I40" s="24" t="s">
        <v>722</v>
      </c>
      <c r="J40" s="20" t="s">
        <v>451</v>
      </c>
      <c r="K40" s="24" t="s">
        <v>426</v>
      </c>
      <c r="L40" s="24" t="s">
        <v>126</v>
      </c>
      <c r="M40" s="21" t="s">
        <v>716</v>
      </c>
      <c r="N40" s="24">
        <v>539</v>
      </c>
      <c r="O40" s="24"/>
      <c r="P40" s="13" t="s">
        <v>126</v>
      </c>
    </row>
    <row r="41" spans="1:17" s="13" customFormat="1" ht="15" customHeight="1" x14ac:dyDescent="0.25">
      <c r="A41" s="13" t="s">
        <v>6</v>
      </c>
      <c r="B41" s="13" t="s">
        <v>32</v>
      </c>
      <c r="D41" s="13" t="s">
        <v>195</v>
      </c>
      <c r="E41" s="13" t="s">
        <v>40</v>
      </c>
      <c r="G41" s="24" t="s">
        <v>241</v>
      </c>
      <c r="H41" s="24" t="s">
        <v>367</v>
      </c>
      <c r="I41" s="24" t="s">
        <v>722</v>
      </c>
      <c r="J41" s="20" t="s">
        <v>452</v>
      </c>
      <c r="K41" s="24" t="s">
        <v>424</v>
      </c>
      <c r="L41" s="24" t="s">
        <v>124</v>
      </c>
      <c r="M41" s="21" t="s">
        <v>716</v>
      </c>
      <c r="N41" s="24">
        <v>514</v>
      </c>
      <c r="O41" s="24"/>
      <c r="P41" s="13" t="s">
        <v>124</v>
      </c>
    </row>
    <row r="42" spans="1:17" s="13" customFormat="1" ht="15" customHeight="1" x14ac:dyDescent="0.25">
      <c r="A42" s="13" t="s">
        <v>6</v>
      </c>
      <c r="B42" s="13" t="s">
        <v>32</v>
      </c>
      <c r="D42" s="13" t="s">
        <v>195</v>
      </c>
      <c r="E42" s="13" t="s">
        <v>41</v>
      </c>
      <c r="G42" s="24" t="s">
        <v>242</v>
      </c>
      <c r="H42" s="24" t="s">
        <v>368</v>
      </c>
      <c r="I42" s="24" t="s">
        <v>722</v>
      </c>
      <c r="J42" s="20" t="s">
        <v>453</v>
      </c>
      <c r="K42" s="24" t="s">
        <v>425</v>
      </c>
      <c r="L42" s="24" t="s">
        <v>124</v>
      </c>
      <c r="M42" s="21" t="s">
        <v>716</v>
      </c>
      <c r="N42" s="24">
        <v>532</v>
      </c>
      <c r="O42" s="24"/>
      <c r="P42" s="13" t="s">
        <v>124</v>
      </c>
    </row>
    <row r="43" spans="1:17" s="13" customFormat="1" ht="15" hidden="1" customHeight="1" x14ac:dyDescent="0.25">
      <c r="A43" s="13" t="s">
        <v>6</v>
      </c>
      <c r="B43" s="13" t="s">
        <v>32</v>
      </c>
      <c r="D43" s="13" t="s">
        <v>195</v>
      </c>
      <c r="E43" s="13" t="s">
        <v>42</v>
      </c>
      <c r="G43" s="24" t="s">
        <v>243</v>
      </c>
      <c r="H43" s="24" t="s">
        <v>369</v>
      </c>
      <c r="I43" s="24"/>
      <c r="J43" s="20" t="s">
        <v>454</v>
      </c>
      <c r="K43" s="24" t="s">
        <v>155</v>
      </c>
      <c r="L43" s="24"/>
      <c r="M43" s="24"/>
      <c r="N43" s="24"/>
      <c r="O43" s="24"/>
      <c r="Q43" s="13" t="s">
        <v>715</v>
      </c>
    </row>
    <row r="44" spans="1:17" s="8" customFormat="1" ht="45" customHeight="1" x14ac:dyDescent="0.25">
      <c r="A44" s="8" t="s">
        <v>6</v>
      </c>
      <c r="B44" s="8" t="s">
        <v>32</v>
      </c>
      <c r="D44" s="8" t="s">
        <v>195</v>
      </c>
      <c r="E44" s="8" t="s">
        <v>50</v>
      </c>
      <c r="F44" s="8" t="s">
        <v>51</v>
      </c>
      <c r="G44" s="25" t="s">
        <v>286</v>
      </c>
      <c r="H44" s="25" t="s">
        <v>298</v>
      </c>
      <c r="I44" s="25" t="s">
        <v>722</v>
      </c>
      <c r="J44" s="33" t="s">
        <v>455</v>
      </c>
      <c r="K44" s="25" t="s">
        <v>573</v>
      </c>
      <c r="L44" s="25" t="s">
        <v>571</v>
      </c>
      <c r="M44" s="21" t="s">
        <v>716</v>
      </c>
      <c r="N44" s="25">
        <v>1048</v>
      </c>
      <c r="O44" s="25"/>
      <c r="P44" s="8" t="s">
        <v>571</v>
      </c>
      <c r="Q44" s="8" t="s">
        <v>572</v>
      </c>
    </row>
    <row r="45" spans="1:17" s="8" customFormat="1" ht="90" x14ac:dyDescent="0.25">
      <c r="A45" s="8" t="s">
        <v>6</v>
      </c>
      <c r="B45" s="8" t="s">
        <v>32</v>
      </c>
      <c r="D45" s="8" t="s">
        <v>195</v>
      </c>
      <c r="E45" s="8" t="s">
        <v>43</v>
      </c>
      <c r="F45" s="8" t="s">
        <v>103</v>
      </c>
      <c r="G45" s="25" t="s">
        <v>330</v>
      </c>
      <c r="H45" s="25" t="s">
        <v>301</v>
      </c>
      <c r="I45" s="25" t="s">
        <v>722</v>
      </c>
      <c r="J45" s="33" t="s">
        <v>456</v>
      </c>
      <c r="K45" s="25" t="s">
        <v>632</v>
      </c>
      <c r="L45" s="25" t="s">
        <v>631</v>
      </c>
      <c r="M45" s="21" t="s">
        <v>716</v>
      </c>
      <c r="N45" s="25">
        <v>1454</v>
      </c>
      <c r="O45" s="25"/>
      <c r="P45" s="8" t="s">
        <v>631</v>
      </c>
      <c r="Q45" s="34" t="s">
        <v>668</v>
      </c>
    </row>
    <row r="46" spans="1:17" s="8" customFormat="1" ht="75" hidden="1" customHeight="1" x14ac:dyDescent="0.25">
      <c r="A46" s="8" t="s">
        <v>6</v>
      </c>
      <c r="B46" s="8" t="s">
        <v>32</v>
      </c>
      <c r="D46" s="8" t="s">
        <v>195</v>
      </c>
      <c r="E46" s="8" t="s">
        <v>44</v>
      </c>
      <c r="F46" s="8" t="s">
        <v>103</v>
      </c>
      <c r="G46" s="25" t="s">
        <v>329</v>
      </c>
      <c r="H46" s="25" t="s">
        <v>299</v>
      </c>
      <c r="I46" s="25"/>
      <c r="J46" s="33" t="s">
        <v>457</v>
      </c>
      <c r="K46" s="25"/>
      <c r="L46" s="25"/>
      <c r="M46" s="25"/>
      <c r="N46" s="25"/>
      <c r="O46" s="25"/>
      <c r="Q46" s="34" t="s">
        <v>45</v>
      </c>
    </row>
    <row r="47" spans="1:17" ht="75" hidden="1" customHeight="1" x14ac:dyDescent="0.25">
      <c r="A47" s="27" t="s">
        <v>6</v>
      </c>
      <c r="B47" s="27" t="s">
        <v>46</v>
      </c>
      <c r="D47" s="27" t="s">
        <v>198</v>
      </c>
      <c r="E47" s="9" t="s">
        <v>161</v>
      </c>
      <c r="F47" s="4" t="s">
        <v>128</v>
      </c>
      <c r="G47" s="21" t="s">
        <v>513</v>
      </c>
      <c r="H47" s="25"/>
      <c r="I47" s="25"/>
      <c r="J47" s="22" t="s">
        <v>459</v>
      </c>
      <c r="K47" s="21" t="s">
        <v>702</v>
      </c>
      <c r="L47" s="21" t="s">
        <v>127</v>
      </c>
      <c r="M47" s="21" t="s">
        <v>716</v>
      </c>
      <c r="N47" s="21"/>
      <c r="O47" s="21"/>
      <c r="Q47" s="2" t="s">
        <v>703</v>
      </c>
    </row>
    <row r="48" spans="1:17" ht="75" customHeight="1" x14ac:dyDescent="0.25">
      <c r="A48" s="27" t="s">
        <v>6</v>
      </c>
      <c r="B48" s="27" t="s">
        <v>46</v>
      </c>
      <c r="C48" s="27" t="s">
        <v>162</v>
      </c>
      <c r="D48" s="27" t="s">
        <v>198</v>
      </c>
      <c r="E48" s="27" t="s">
        <v>34</v>
      </c>
      <c r="F48" s="27" t="s">
        <v>196</v>
      </c>
      <c r="G48" s="17" t="s">
        <v>472</v>
      </c>
      <c r="H48" s="10" t="s">
        <v>372</v>
      </c>
      <c r="I48" s="10" t="s">
        <v>722</v>
      </c>
      <c r="J48" s="16" t="s">
        <v>460</v>
      </c>
      <c r="K48" s="10" t="s">
        <v>714</v>
      </c>
      <c r="L48" s="21" t="s">
        <v>127</v>
      </c>
      <c r="M48" s="21" t="s">
        <v>716</v>
      </c>
      <c r="N48" s="21">
        <v>565</v>
      </c>
      <c r="O48" s="21"/>
      <c r="P48" s="27" t="s">
        <v>127</v>
      </c>
    </row>
    <row r="49" spans="1:17" ht="45" customHeight="1" x14ac:dyDescent="0.25">
      <c r="A49" s="27" t="s">
        <v>6</v>
      </c>
      <c r="B49" s="27" t="s">
        <v>46</v>
      </c>
      <c r="C49" s="27" t="s">
        <v>162</v>
      </c>
      <c r="D49" s="27" t="s">
        <v>198</v>
      </c>
      <c r="E49" s="27" t="s">
        <v>35</v>
      </c>
      <c r="F49" s="27" t="s">
        <v>163</v>
      </c>
      <c r="G49" s="21" t="s">
        <v>259</v>
      </c>
      <c r="H49" s="21" t="s">
        <v>371</v>
      </c>
      <c r="I49" s="10" t="s">
        <v>722</v>
      </c>
      <c r="J49" s="20" t="s">
        <v>461</v>
      </c>
      <c r="K49" s="10" t="s">
        <v>714</v>
      </c>
      <c r="L49" s="21" t="s">
        <v>127</v>
      </c>
      <c r="M49" s="21" t="s">
        <v>716</v>
      </c>
      <c r="N49" s="21">
        <v>565</v>
      </c>
      <c r="O49" s="21"/>
      <c r="P49" s="27" t="s">
        <v>127</v>
      </c>
    </row>
    <row r="50" spans="1:17" ht="45" hidden="1" customHeight="1" x14ac:dyDescent="0.25">
      <c r="A50" s="27" t="s">
        <v>6</v>
      </c>
      <c r="B50" s="27" t="s">
        <v>46</v>
      </c>
      <c r="C50" s="27" t="s">
        <v>162</v>
      </c>
      <c r="D50" s="27" t="s">
        <v>198</v>
      </c>
      <c r="E50" s="27" t="s">
        <v>37</v>
      </c>
      <c r="F50" s="27" t="s">
        <v>110</v>
      </c>
      <c r="G50" s="17" t="s">
        <v>473</v>
      </c>
      <c r="H50" s="21" t="s">
        <v>370</v>
      </c>
      <c r="I50" s="21"/>
      <c r="J50" s="23" t="s">
        <v>462</v>
      </c>
      <c r="K50" s="21" t="s">
        <v>155</v>
      </c>
      <c r="L50" s="21" t="s">
        <v>155</v>
      </c>
      <c r="M50" s="21"/>
      <c r="N50" s="21"/>
      <c r="O50" s="21"/>
      <c r="Q50" s="27" t="s">
        <v>704</v>
      </c>
    </row>
    <row r="51" spans="1:17" s="8" customFormat="1" ht="90" customHeight="1" x14ac:dyDescent="0.25">
      <c r="A51" s="8" t="s">
        <v>6</v>
      </c>
      <c r="B51" s="8" t="s">
        <v>46</v>
      </c>
      <c r="C51" s="8" t="s">
        <v>162</v>
      </c>
      <c r="D51" s="8" t="s">
        <v>198</v>
      </c>
      <c r="E51" s="8" t="s">
        <v>47</v>
      </c>
      <c r="F51" s="8" t="s">
        <v>164</v>
      </c>
      <c r="G51" s="31" t="s">
        <v>328</v>
      </c>
      <c r="H51" s="25" t="s">
        <v>300</v>
      </c>
      <c r="I51" s="25" t="s">
        <v>722</v>
      </c>
      <c r="J51" s="32" t="s">
        <v>463</v>
      </c>
      <c r="K51" s="31" t="s">
        <v>427</v>
      </c>
      <c r="L51" s="31" t="s">
        <v>130</v>
      </c>
      <c r="M51" s="21" t="s">
        <v>716</v>
      </c>
      <c r="N51" s="31">
        <v>603</v>
      </c>
      <c r="O51" s="31"/>
      <c r="P51" s="8" t="s">
        <v>130</v>
      </c>
      <c r="Q51" s="8" t="s">
        <v>705</v>
      </c>
    </row>
    <row r="52" spans="1:17" s="13" customFormat="1" ht="45" customHeight="1" x14ac:dyDescent="0.25">
      <c r="A52" s="13" t="s">
        <v>6</v>
      </c>
      <c r="B52" s="13" t="s">
        <v>46</v>
      </c>
      <c r="C52" s="13" t="s">
        <v>162</v>
      </c>
      <c r="D52" s="13" t="s">
        <v>198</v>
      </c>
      <c r="E52" s="13" t="s">
        <v>38</v>
      </c>
      <c r="G52" s="24" t="s">
        <v>311</v>
      </c>
      <c r="H52" s="24" t="s">
        <v>365</v>
      </c>
      <c r="I52" s="24" t="s">
        <v>722</v>
      </c>
      <c r="J52" s="20" t="s">
        <v>464</v>
      </c>
      <c r="K52" s="12" t="s">
        <v>429</v>
      </c>
      <c r="L52" s="12" t="s">
        <v>132</v>
      </c>
      <c r="M52" s="21" t="s">
        <v>716</v>
      </c>
      <c r="N52" s="12">
        <v>645</v>
      </c>
      <c r="O52" s="12"/>
      <c r="P52" s="13" t="s">
        <v>132</v>
      </c>
    </row>
    <row r="53" spans="1:17" s="13" customFormat="1" ht="45" customHeight="1" x14ac:dyDescent="0.25">
      <c r="A53" s="13" t="s">
        <v>6</v>
      </c>
      <c r="B53" s="13" t="s">
        <v>46</v>
      </c>
      <c r="C53" s="13" t="s">
        <v>162</v>
      </c>
      <c r="D53" s="13" t="s">
        <v>198</v>
      </c>
      <c r="E53" s="13" t="s">
        <v>39</v>
      </c>
      <c r="G53" s="24" t="s">
        <v>312</v>
      </c>
      <c r="H53" s="24" t="s">
        <v>366</v>
      </c>
      <c r="I53" s="24" t="s">
        <v>722</v>
      </c>
      <c r="J53" s="20" t="s">
        <v>465</v>
      </c>
      <c r="K53" s="12" t="s">
        <v>432</v>
      </c>
      <c r="L53" s="24" t="s">
        <v>126</v>
      </c>
      <c r="M53" s="21" t="s">
        <v>716</v>
      </c>
      <c r="N53" s="12">
        <v>699</v>
      </c>
      <c r="O53" s="12"/>
      <c r="P53" s="13" t="s">
        <v>126</v>
      </c>
    </row>
    <row r="54" spans="1:17" s="13" customFormat="1" ht="45" customHeight="1" x14ac:dyDescent="0.25">
      <c r="A54" s="13" t="s">
        <v>6</v>
      </c>
      <c r="B54" s="13" t="s">
        <v>46</v>
      </c>
      <c r="C54" s="13" t="s">
        <v>162</v>
      </c>
      <c r="D54" s="13" t="s">
        <v>198</v>
      </c>
      <c r="E54" s="13" t="s">
        <v>40</v>
      </c>
      <c r="G54" s="24" t="s">
        <v>313</v>
      </c>
      <c r="H54" s="24" t="s">
        <v>367</v>
      </c>
      <c r="I54" s="24" t="s">
        <v>722</v>
      </c>
      <c r="J54" s="20" t="s">
        <v>466</v>
      </c>
      <c r="K54" s="12" t="s">
        <v>430</v>
      </c>
      <c r="L54" s="24" t="s">
        <v>124</v>
      </c>
      <c r="M54" s="21" t="s">
        <v>716</v>
      </c>
      <c r="N54" s="12">
        <v>674</v>
      </c>
      <c r="O54" s="12"/>
      <c r="P54" s="13" t="s">
        <v>124</v>
      </c>
    </row>
    <row r="55" spans="1:17" s="13" customFormat="1" ht="45" customHeight="1" x14ac:dyDescent="0.25">
      <c r="A55" s="13" t="s">
        <v>6</v>
      </c>
      <c r="B55" s="13" t="s">
        <v>46</v>
      </c>
      <c r="C55" s="13" t="s">
        <v>162</v>
      </c>
      <c r="D55" s="13" t="s">
        <v>198</v>
      </c>
      <c r="E55" s="13" t="s">
        <v>41</v>
      </c>
      <c r="G55" s="24" t="s">
        <v>314</v>
      </c>
      <c r="H55" s="24" t="s">
        <v>368</v>
      </c>
      <c r="I55" s="24" t="s">
        <v>722</v>
      </c>
      <c r="J55" s="20" t="s">
        <v>467</v>
      </c>
      <c r="K55" s="12" t="s">
        <v>431</v>
      </c>
      <c r="L55" s="24" t="s">
        <v>124</v>
      </c>
      <c r="M55" s="21" t="s">
        <v>716</v>
      </c>
      <c r="N55" s="12">
        <v>692</v>
      </c>
      <c r="O55" s="12"/>
      <c r="P55" s="13" t="s">
        <v>124</v>
      </c>
    </row>
    <row r="56" spans="1:17" s="13" customFormat="1" ht="45" hidden="1" customHeight="1" x14ac:dyDescent="0.25">
      <c r="A56" s="13" t="s">
        <v>6</v>
      </c>
      <c r="B56" s="13" t="s">
        <v>46</v>
      </c>
      <c r="C56" s="13" t="s">
        <v>162</v>
      </c>
      <c r="D56" s="13" t="s">
        <v>198</v>
      </c>
      <c r="E56" s="13" t="s">
        <v>42</v>
      </c>
      <c r="G56" s="24" t="s">
        <v>315</v>
      </c>
      <c r="H56" s="24" t="s">
        <v>369</v>
      </c>
      <c r="I56" s="24"/>
      <c r="J56" s="20" t="s">
        <v>468</v>
      </c>
      <c r="K56" s="12"/>
      <c r="L56" s="12"/>
      <c r="M56" s="21"/>
      <c r="N56" s="12"/>
      <c r="O56" s="12"/>
      <c r="Q56" s="13" t="s">
        <v>715</v>
      </c>
    </row>
    <row r="57" spans="1:17" s="8" customFormat="1" ht="60" customHeight="1" x14ac:dyDescent="0.25">
      <c r="A57" s="8" t="s">
        <v>6</v>
      </c>
      <c r="B57" s="8" t="s">
        <v>46</v>
      </c>
      <c r="C57" s="8" t="s">
        <v>162</v>
      </c>
      <c r="D57" s="8" t="s">
        <v>198</v>
      </c>
      <c r="E57" s="8" t="s">
        <v>48</v>
      </c>
      <c r="F57" s="8" t="s">
        <v>49</v>
      </c>
      <c r="G57" s="31" t="s">
        <v>327</v>
      </c>
      <c r="H57" s="25" t="s">
        <v>310</v>
      </c>
      <c r="I57" s="25" t="s">
        <v>722</v>
      </c>
      <c r="J57" s="32" t="s">
        <v>469</v>
      </c>
      <c r="K57" s="31" t="s">
        <v>428</v>
      </c>
      <c r="L57" s="31" t="s">
        <v>131</v>
      </c>
      <c r="M57" s="21" t="s">
        <v>716</v>
      </c>
      <c r="N57" s="31">
        <v>629</v>
      </c>
      <c r="O57" s="31"/>
      <c r="P57" s="8" t="s">
        <v>131</v>
      </c>
    </row>
    <row r="58" spans="1:17" ht="45" hidden="1" customHeight="1" x14ac:dyDescent="0.25">
      <c r="A58" s="27" t="s">
        <v>29</v>
      </c>
      <c r="C58" s="27" t="s">
        <v>197</v>
      </c>
      <c r="D58" s="27" t="s">
        <v>198</v>
      </c>
      <c r="E58" s="27" t="s">
        <v>0</v>
      </c>
      <c r="F58" s="27" t="s">
        <v>183</v>
      </c>
      <c r="G58" s="26" t="s">
        <v>244</v>
      </c>
      <c r="H58" s="25" t="s">
        <v>348</v>
      </c>
      <c r="I58" s="25"/>
      <c r="J58" s="19" t="s">
        <v>470</v>
      </c>
      <c r="K58" s="26" t="s">
        <v>155</v>
      </c>
      <c r="L58" s="26" t="s">
        <v>155</v>
      </c>
      <c r="M58" s="26"/>
      <c r="N58" s="26"/>
      <c r="O58" s="26"/>
      <c r="Q58" s="27" t="s">
        <v>706</v>
      </c>
    </row>
    <row r="59" spans="1:17" ht="45" hidden="1" customHeight="1" x14ac:dyDescent="0.25">
      <c r="A59" s="27" t="s">
        <v>29</v>
      </c>
      <c r="C59" s="27" t="s">
        <v>197</v>
      </c>
      <c r="D59" s="27" t="s">
        <v>198</v>
      </c>
      <c r="E59" s="27" t="s">
        <v>30</v>
      </c>
      <c r="G59" s="10" t="s">
        <v>362</v>
      </c>
      <c r="H59" s="10" t="s">
        <v>361</v>
      </c>
      <c r="J59" s="16" t="s">
        <v>471</v>
      </c>
      <c r="K59" s="26" t="s">
        <v>155</v>
      </c>
      <c r="L59" s="26" t="s">
        <v>155</v>
      </c>
      <c r="Q59" s="30" t="s">
        <v>707</v>
      </c>
    </row>
    <row r="60" spans="1:17" ht="60" hidden="1" customHeight="1" x14ac:dyDescent="0.25">
      <c r="A60" s="27" t="s">
        <v>52</v>
      </c>
      <c r="B60" s="27" t="s">
        <v>10</v>
      </c>
      <c r="D60" s="27" t="s">
        <v>198</v>
      </c>
      <c r="E60" s="8" t="s">
        <v>36</v>
      </c>
      <c r="F60" s="27" t="s">
        <v>55</v>
      </c>
      <c r="H60" s="25"/>
      <c r="I60" s="25"/>
      <c r="P60" s="27" t="s">
        <v>155</v>
      </c>
    </row>
    <row r="61" spans="1:17" ht="75" hidden="1" customHeight="1" x14ac:dyDescent="0.25">
      <c r="A61" s="27" t="s">
        <v>52</v>
      </c>
      <c r="B61" s="27" t="s">
        <v>10</v>
      </c>
      <c r="D61" s="27" t="s">
        <v>198</v>
      </c>
      <c r="E61" s="8" t="s">
        <v>54</v>
      </c>
      <c r="F61" s="27" t="s">
        <v>202</v>
      </c>
      <c r="P61" s="27" t="s">
        <v>155</v>
      </c>
    </row>
    <row r="62" spans="1:17" ht="60" customHeight="1" x14ac:dyDescent="0.25">
      <c r="A62" s="27" t="s">
        <v>52</v>
      </c>
      <c r="B62" s="27" t="s">
        <v>10</v>
      </c>
      <c r="C62" s="27" t="s">
        <v>200</v>
      </c>
      <c r="D62" s="27" t="s">
        <v>198</v>
      </c>
      <c r="E62" s="27" t="s">
        <v>53</v>
      </c>
      <c r="F62" s="27" t="s">
        <v>201</v>
      </c>
      <c r="G62" s="10" t="s">
        <v>374</v>
      </c>
      <c r="H62" s="25" t="s">
        <v>375</v>
      </c>
      <c r="I62" s="25" t="s">
        <v>722</v>
      </c>
      <c r="J62" s="20" t="s">
        <v>474</v>
      </c>
      <c r="K62" s="10" t="s">
        <v>525</v>
      </c>
      <c r="L62" s="10" t="s">
        <v>138</v>
      </c>
      <c r="M62" s="21" t="s">
        <v>716</v>
      </c>
      <c r="P62" s="27" t="s">
        <v>138</v>
      </c>
    </row>
    <row r="63" spans="1:17" ht="45" customHeight="1" x14ac:dyDescent="0.25">
      <c r="A63" s="27" t="s">
        <v>52</v>
      </c>
      <c r="B63" s="27" t="s">
        <v>10</v>
      </c>
      <c r="C63" s="27" t="s">
        <v>200</v>
      </c>
      <c r="D63" s="27" t="s">
        <v>198</v>
      </c>
      <c r="E63" s="27" t="s">
        <v>56</v>
      </c>
      <c r="G63" s="26" t="s">
        <v>245</v>
      </c>
      <c r="H63" s="21" t="s">
        <v>371</v>
      </c>
      <c r="I63" s="21" t="s">
        <v>722</v>
      </c>
      <c r="J63" s="20" t="s">
        <v>475</v>
      </c>
      <c r="K63" s="26" t="s">
        <v>522</v>
      </c>
      <c r="L63" s="26" t="s">
        <v>133</v>
      </c>
      <c r="M63" s="21" t="s">
        <v>716</v>
      </c>
      <c r="N63" s="26">
        <v>727</v>
      </c>
      <c r="O63" s="26"/>
      <c r="P63" s="27" t="s">
        <v>133</v>
      </c>
    </row>
    <row r="64" spans="1:17" ht="45" customHeight="1" x14ac:dyDescent="0.25">
      <c r="A64" s="27" t="s">
        <v>52</v>
      </c>
      <c r="B64" s="27" t="s">
        <v>10</v>
      </c>
      <c r="C64" s="27" t="s">
        <v>200</v>
      </c>
      <c r="D64" s="27" t="s">
        <v>198</v>
      </c>
      <c r="E64" s="27" t="s">
        <v>38</v>
      </c>
      <c r="G64" s="26" t="s">
        <v>246</v>
      </c>
      <c r="H64" s="24" t="s">
        <v>365</v>
      </c>
      <c r="I64" s="24" t="s">
        <v>722</v>
      </c>
      <c r="J64" s="20" t="s">
        <v>476</v>
      </c>
      <c r="K64" s="26" t="s">
        <v>526</v>
      </c>
      <c r="L64" s="24" t="s">
        <v>125</v>
      </c>
      <c r="M64" s="21" t="s">
        <v>716</v>
      </c>
      <c r="N64" s="26"/>
      <c r="O64" s="26"/>
      <c r="P64" s="27" t="s">
        <v>125</v>
      </c>
    </row>
    <row r="65" spans="1:17" ht="45" customHeight="1" x14ac:dyDescent="0.25">
      <c r="A65" s="27" t="s">
        <v>52</v>
      </c>
      <c r="B65" s="27" t="s">
        <v>10</v>
      </c>
      <c r="C65" s="27" t="s">
        <v>200</v>
      </c>
      <c r="D65" s="27" t="s">
        <v>198</v>
      </c>
      <c r="E65" s="27" t="s">
        <v>40</v>
      </c>
      <c r="G65" s="26" t="s">
        <v>247</v>
      </c>
      <c r="H65" s="24" t="s">
        <v>367</v>
      </c>
      <c r="I65" s="24" t="s">
        <v>722</v>
      </c>
      <c r="J65" s="20" t="s">
        <v>477</v>
      </c>
      <c r="K65" s="26" t="s">
        <v>527</v>
      </c>
      <c r="L65" s="24" t="s">
        <v>124</v>
      </c>
      <c r="M65" s="21" t="s">
        <v>716</v>
      </c>
      <c r="N65" s="26">
        <v>834</v>
      </c>
      <c r="O65" s="26"/>
      <c r="P65" s="27" t="s">
        <v>124</v>
      </c>
    </row>
    <row r="66" spans="1:17" ht="45" customHeight="1" x14ac:dyDescent="0.25">
      <c r="A66" s="27" t="s">
        <v>52</v>
      </c>
      <c r="B66" s="27" t="s">
        <v>10</v>
      </c>
      <c r="C66" s="27" t="s">
        <v>200</v>
      </c>
      <c r="D66" s="27" t="s">
        <v>198</v>
      </c>
      <c r="E66" s="27" t="s">
        <v>41</v>
      </c>
      <c r="G66" s="26" t="s">
        <v>248</v>
      </c>
      <c r="H66" s="24" t="s">
        <v>368</v>
      </c>
      <c r="I66" s="24" t="s">
        <v>722</v>
      </c>
      <c r="J66" s="20" t="s">
        <v>478</v>
      </c>
      <c r="K66" s="26" t="s">
        <v>528</v>
      </c>
      <c r="L66" s="24" t="s">
        <v>124</v>
      </c>
      <c r="M66" s="21" t="s">
        <v>716</v>
      </c>
      <c r="N66" s="26">
        <v>851</v>
      </c>
      <c r="O66" s="26"/>
      <c r="P66" s="27" t="s">
        <v>124</v>
      </c>
    </row>
    <row r="67" spans="1:17" ht="45" customHeight="1" x14ac:dyDescent="0.25">
      <c r="A67" s="27" t="s">
        <v>52</v>
      </c>
      <c r="B67" s="27" t="s">
        <v>10</v>
      </c>
      <c r="C67" s="27" t="s">
        <v>200</v>
      </c>
      <c r="D67" s="27" t="s">
        <v>198</v>
      </c>
      <c r="E67" s="27" t="s">
        <v>39</v>
      </c>
      <c r="F67" s="27" t="s">
        <v>112</v>
      </c>
      <c r="G67" s="26" t="s">
        <v>249</v>
      </c>
      <c r="H67" s="24" t="s">
        <v>366</v>
      </c>
      <c r="I67" s="24" t="s">
        <v>722</v>
      </c>
      <c r="J67" s="20" t="s">
        <v>479</v>
      </c>
      <c r="K67" s="26" t="s">
        <v>529</v>
      </c>
      <c r="L67" s="24" t="s">
        <v>126</v>
      </c>
      <c r="M67" s="21" t="s">
        <v>716</v>
      </c>
      <c r="N67" s="26">
        <v>859</v>
      </c>
      <c r="O67" s="26"/>
      <c r="P67" s="27" t="s">
        <v>126</v>
      </c>
    </row>
    <row r="68" spans="1:17" ht="45" hidden="1" customHeight="1" x14ac:dyDescent="0.25">
      <c r="A68" s="27" t="s">
        <v>52</v>
      </c>
      <c r="B68" s="27" t="s">
        <v>10</v>
      </c>
      <c r="C68" s="27" t="s">
        <v>199</v>
      </c>
      <c r="D68" s="27" t="s">
        <v>198</v>
      </c>
      <c r="E68" s="27" t="s">
        <v>57</v>
      </c>
      <c r="G68" s="26" t="s">
        <v>373</v>
      </c>
      <c r="H68" s="21" t="s">
        <v>371</v>
      </c>
      <c r="I68" s="21"/>
      <c r="J68" s="20" t="s">
        <v>480</v>
      </c>
      <c r="K68" s="26" t="s">
        <v>155</v>
      </c>
      <c r="L68" s="26" t="s">
        <v>155</v>
      </c>
      <c r="M68" s="21"/>
      <c r="N68" s="26"/>
      <c r="O68" s="26"/>
      <c r="P68" s="27" t="s">
        <v>155</v>
      </c>
      <c r="Q68" s="27" t="s">
        <v>708</v>
      </c>
    </row>
    <row r="69" spans="1:17" ht="45" hidden="1" customHeight="1" x14ac:dyDescent="0.25">
      <c r="A69" s="27" t="s">
        <v>52</v>
      </c>
      <c r="B69" s="27" t="s">
        <v>10</v>
      </c>
      <c r="C69" s="27" t="s">
        <v>199</v>
      </c>
      <c r="D69" s="27" t="s">
        <v>198</v>
      </c>
      <c r="E69" s="27" t="s">
        <v>38</v>
      </c>
      <c r="G69" s="26" t="s">
        <v>250</v>
      </c>
      <c r="H69" s="24" t="s">
        <v>365</v>
      </c>
      <c r="I69" s="24"/>
      <c r="J69" s="20" t="s">
        <v>481</v>
      </c>
      <c r="K69" s="26" t="s">
        <v>155</v>
      </c>
      <c r="L69" s="26" t="s">
        <v>155</v>
      </c>
      <c r="M69" s="26"/>
      <c r="N69" s="26"/>
      <c r="O69" s="26"/>
      <c r="P69" s="27" t="s">
        <v>155</v>
      </c>
      <c r="Q69" s="27" t="s">
        <v>709</v>
      </c>
    </row>
    <row r="70" spans="1:17" ht="45" hidden="1" customHeight="1" x14ac:dyDescent="0.25">
      <c r="A70" s="27" t="s">
        <v>52</v>
      </c>
      <c r="B70" s="27" t="s">
        <v>10</v>
      </c>
      <c r="C70" s="27" t="s">
        <v>199</v>
      </c>
      <c r="D70" s="27" t="s">
        <v>198</v>
      </c>
      <c r="E70" s="27" t="s">
        <v>58</v>
      </c>
      <c r="G70" s="26" t="s">
        <v>251</v>
      </c>
      <c r="H70" s="24" t="s">
        <v>367</v>
      </c>
      <c r="I70" s="24"/>
      <c r="J70" s="20" t="s">
        <v>482</v>
      </c>
      <c r="K70" s="26" t="s">
        <v>155</v>
      </c>
      <c r="L70" s="26" t="s">
        <v>155</v>
      </c>
      <c r="M70" s="26"/>
      <c r="N70" s="26"/>
      <c r="O70" s="26"/>
      <c r="P70" s="30" t="s">
        <v>155</v>
      </c>
      <c r="Q70" s="30" t="s">
        <v>711</v>
      </c>
    </row>
    <row r="71" spans="1:17" ht="45" hidden="1" customHeight="1" x14ac:dyDescent="0.25">
      <c r="A71" s="27" t="s">
        <v>52</v>
      </c>
      <c r="B71" s="27" t="s">
        <v>10</v>
      </c>
      <c r="C71" s="27" t="s">
        <v>199</v>
      </c>
      <c r="D71" s="27" t="s">
        <v>198</v>
      </c>
      <c r="E71" s="27" t="s">
        <v>41</v>
      </c>
      <c r="G71" s="26" t="s">
        <v>252</v>
      </c>
      <c r="H71" s="24" t="s">
        <v>368</v>
      </c>
      <c r="I71" s="24"/>
      <c r="J71" s="20" t="s">
        <v>483</v>
      </c>
      <c r="K71" s="26" t="s">
        <v>155</v>
      </c>
      <c r="L71" s="26" t="s">
        <v>155</v>
      </c>
      <c r="M71" s="26"/>
      <c r="N71" s="26"/>
      <c r="O71" s="26"/>
      <c r="P71" s="30" t="s">
        <v>155</v>
      </c>
      <c r="Q71" s="30" t="s">
        <v>712</v>
      </c>
    </row>
    <row r="72" spans="1:17" ht="45" hidden="1" customHeight="1" x14ac:dyDescent="0.25">
      <c r="A72" s="27" t="s">
        <v>52</v>
      </c>
      <c r="B72" s="27" t="s">
        <v>10</v>
      </c>
      <c r="C72" s="27" t="s">
        <v>199</v>
      </c>
      <c r="D72" s="27" t="s">
        <v>198</v>
      </c>
      <c r="E72" s="27" t="s">
        <v>39</v>
      </c>
      <c r="G72" s="26" t="s">
        <v>253</v>
      </c>
      <c r="H72" s="24" t="s">
        <v>366</v>
      </c>
      <c r="I72" s="24"/>
      <c r="J72" s="20" t="s">
        <v>484</v>
      </c>
      <c r="K72" s="26" t="s">
        <v>155</v>
      </c>
      <c r="L72" s="26" t="s">
        <v>155</v>
      </c>
      <c r="M72" s="26"/>
      <c r="N72" s="26"/>
      <c r="O72" s="26"/>
      <c r="P72" s="30" t="s">
        <v>155</v>
      </c>
      <c r="Q72" s="30" t="s">
        <v>710</v>
      </c>
    </row>
    <row r="73" spans="1:17" ht="15" customHeight="1" x14ac:dyDescent="0.25">
      <c r="A73" s="27" t="s">
        <v>52</v>
      </c>
      <c r="B73" s="27" t="s">
        <v>10</v>
      </c>
      <c r="G73" s="26"/>
      <c r="H73" s="24"/>
      <c r="I73" s="24" t="s">
        <v>722</v>
      </c>
      <c r="J73" s="20"/>
      <c r="K73" s="26" t="s">
        <v>523</v>
      </c>
      <c r="L73" s="26" t="s">
        <v>524</v>
      </c>
      <c r="M73" s="26" t="s">
        <v>717</v>
      </c>
      <c r="N73" s="26">
        <v>778</v>
      </c>
      <c r="O73" s="26"/>
      <c r="P73" s="27" t="s">
        <v>524</v>
      </c>
    </row>
    <row r="74" spans="1:17" s="8" customFormat="1" ht="90" customHeight="1" x14ac:dyDescent="0.25">
      <c r="A74" s="8" t="s">
        <v>52</v>
      </c>
      <c r="B74" s="8" t="s">
        <v>59</v>
      </c>
      <c r="D74" s="8" t="s">
        <v>195</v>
      </c>
      <c r="E74" s="8" t="s">
        <v>61</v>
      </c>
      <c r="F74" s="8" t="s">
        <v>534</v>
      </c>
      <c r="G74" s="35" t="s">
        <v>262</v>
      </c>
      <c r="H74" s="35" t="s">
        <v>263</v>
      </c>
      <c r="I74" s="35" t="s">
        <v>722</v>
      </c>
      <c r="J74" s="36" t="s">
        <v>485</v>
      </c>
      <c r="K74" s="35" t="s">
        <v>533</v>
      </c>
      <c r="L74" s="35" t="s">
        <v>135</v>
      </c>
      <c r="M74" s="35" t="s">
        <v>717</v>
      </c>
      <c r="N74" s="35">
        <v>891</v>
      </c>
      <c r="O74" s="35"/>
      <c r="P74" s="8" t="s">
        <v>135</v>
      </c>
    </row>
    <row r="75" spans="1:17" ht="60" customHeight="1" x14ac:dyDescent="0.25">
      <c r="A75" s="27" t="s">
        <v>52</v>
      </c>
      <c r="B75" s="27" t="s">
        <v>59</v>
      </c>
      <c r="D75" s="27" t="s">
        <v>195</v>
      </c>
      <c r="E75" s="27" t="s">
        <v>60</v>
      </c>
      <c r="F75" s="27" t="s">
        <v>142</v>
      </c>
      <c r="G75" s="26" t="s">
        <v>254</v>
      </c>
      <c r="H75" s="25" t="s">
        <v>349</v>
      </c>
      <c r="I75" s="25" t="s">
        <v>722</v>
      </c>
      <c r="J75" s="20" t="s">
        <v>486</v>
      </c>
      <c r="K75" s="26" t="s">
        <v>574</v>
      </c>
      <c r="L75" s="26" t="s">
        <v>139</v>
      </c>
      <c r="M75" s="26" t="s">
        <v>717</v>
      </c>
      <c r="N75" s="26">
        <v>1057</v>
      </c>
      <c r="O75" s="26"/>
      <c r="P75" s="27" t="s">
        <v>139</v>
      </c>
      <c r="Q75" s="27" t="s">
        <v>575</v>
      </c>
    </row>
    <row r="76" spans="1:17" ht="90" hidden="1" customHeight="1" x14ac:dyDescent="0.25">
      <c r="A76" s="27" t="s">
        <v>52</v>
      </c>
      <c r="B76" s="27" t="s">
        <v>59</v>
      </c>
      <c r="D76" s="27" t="s">
        <v>195</v>
      </c>
      <c r="E76" s="8" t="s">
        <v>182</v>
      </c>
      <c r="F76" s="27" t="s">
        <v>217</v>
      </c>
      <c r="G76" s="21" t="s">
        <v>255</v>
      </c>
      <c r="H76" s="21" t="s">
        <v>350</v>
      </c>
      <c r="I76" s="21"/>
      <c r="J76" s="20" t="s">
        <v>487</v>
      </c>
      <c r="K76" s="21" t="s">
        <v>621</v>
      </c>
      <c r="L76" s="21" t="s">
        <v>216</v>
      </c>
      <c r="M76" s="21" t="s">
        <v>716</v>
      </c>
      <c r="N76" s="21">
        <v>1286</v>
      </c>
      <c r="O76" s="21"/>
      <c r="P76" s="27" t="s">
        <v>216</v>
      </c>
      <c r="Q76" s="27" t="s">
        <v>620</v>
      </c>
    </row>
    <row r="77" spans="1:17" ht="45" customHeight="1" x14ac:dyDescent="0.25">
      <c r="A77" s="27" t="s">
        <v>52</v>
      </c>
      <c r="B77" s="27" t="s">
        <v>59</v>
      </c>
      <c r="D77" s="27" t="s">
        <v>198</v>
      </c>
      <c r="E77" s="27" t="s">
        <v>62</v>
      </c>
      <c r="G77" s="21" t="s">
        <v>256</v>
      </c>
      <c r="H77" s="21" t="s">
        <v>359</v>
      </c>
      <c r="I77" s="21" t="s">
        <v>722</v>
      </c>
      <c r="J77" s="18" t="s">
        <v>488</v>
      </c>
      <c r="K77" s="21" t="s">
        <v>535</v>
      </c>
      <c r="L77" s="21" t="s">
        <v>136</v>
      </c>
      <c r="M77" s="21" t="s">
        <v>716</v>
      </c>
      <c r="N77" s="21">
        <v>902</v>
      </c>
      <c r="O77" s="21"/>
      <c r="P77" s="27" t="s">
        <v>136</v>
      </c>
    </row>
    <row r="78" spans="1:17" ht="45" customHeight="1" x14ac:dyDescent="0.25">
      <c r="A78" s="27" t="s">
        <v>52</v>
      </c>
      <c r="B78" s="27" t="s">
        <v>59</v>
      </c>
      <c r="D78" s="27" t="s">
        <v>198</v>
      </c>
      <c r="E78" s="27" t="s">
        <v>63</v>
      </c>
      <c r="F78" s="27" t="s">
        <v>143</v>
      </c>
      <c r="G78" s="21" t="s">
        <v>257</v>
      </c>
      <c r="H78" s="25" t="s">
        <v>360</v>
      </c>
      <c r="I78" s="21" t="s">
        <v>722</v>
      </c>
      <c r="J78" s="18" t="s">
        <v>489</v>
      </c>
      <c r="K78" s="21" t="s">
        <v>537</v>
      </c>
      <c r="L78" s="21" t="s">
        <v>137</v>
      </c>
      <c r="M78" s="21" t="s">
        <v>716</v>
      </c>
      <c r="N78" s="21">
        <v>915</v>
      </c>
      <c r="O78" s="21"/>
      <c r="P78" s="27" t="s">
        <v>137</v>
      </c>
    </row>
    <row r="79" spans="1:17" ht="75" customHeight="1" x14ac:dyDescent="0.25">
      <c r="A79" s="27" t="s">
        <v>52</v>
      </c>
      <c r="B79" s="27" t="s">
        <v>59</v>
      </c>
      <c r="D79" s="27" t="s">
        <v>195</v>
      </c>
      <c r="E79" s="27" t="s">
        <v>64</v>
      </c>
      <c r="F79" s="27" t="s">
        <v>149</v>
      </c>
      <c r="G79" s="21" t="s">
        <v>258</v>
      </c>
      <c r="H79" s="25" t="s">
        <v>351</v>
      </c>
      <c r="I79" s="25" t="s">
        <v>722</v>
      </c>
      <c r="J79" s="20" t="s">
        <v>490</v>
      </c>
      <c r="K79" s="21" t="s">
        <v>569</v>
      </c>
      <c r="L79" s="21" t="s">
        <v>210</v>
      </c>
      <c r="M79" s="21" t="s">
        <v>718</v>
      </c>
      <c r="N79" s="21">
        <v>1030</v>
      </c>
      <c r="O79" s="21"/>
      <c r="P79" s="27" t="s">
        <v>210</v>
      </c>
      <c r="Q79" s="27" t="s">
        <v>570</v>
      </c>
    </row>
    <row r="80" spans="1:17" ht="15" hidden="1" customHeight="1" x14ac:dyDescent="0.25">
      <c r="A80" s="27" t="s">
        <v>52</v>
      </c>
      <c r="B80" s="27" t="s">
        <v>59</v>
      </c>
      <c r="D80" s="27" t="s">
        <v>195</v>
      </c>
      <c r="E80" s="8" t="s">
        <v>87</v>
      </c>
      <c r="F80" s="27" t="s">
        <v>211</v>
      </c>
      <c r="K80" s="21" t="s">
        <v>155</v>
      </c>
      <c r="L80" s="21" t="s">
        <v>155</v>
      </c>
      <c r="P80" s="27" t="s">
        <v>155</v>
      </c>
      <c r="Q80" s="27" t="s">
        <v>97</v>
      </c>
    </row>
    <row r="81" spans="1:17" ht="45" customHeight="1" x14ac:dyDescent="0.25">
      <c r="A81" s="27" t="s">
        <v>52</v>
      </c>
      <c r="B81" s="27" t="s">
        <v>59</v>
      </c>
      <c r="D81" s="27" t="s">
        <v>198</v>
      </c>
      <c r="E81" s="27" t="s">
        <v>65</v>
      </c>
      <c r="F81" s="27" t="s">
        <v>166</v>
      </c>
      <c r="G81" s="21" t="s">
        <v>260</v>
      </c>
      <c r="H81" s="25" t="s">
        <v>352</v>
      </c>
      <c r="I81" s="25" t="s">
        <v>722</v>
      </c>
      <c r="J81" s="19" t="s">
        <v>491</v>
      </c>
      <c r="K81" s="21" t="s">
        <v>590</v>
      </c>
      <c r="L81" s="21" t="s">
        <v>165</v>
      </c>
      <c r="M81" s="21" t="s">
        <v>718</v>
      </c>
      <c r="N81" s="21">
        <v>1110</v>
      </c>
      <c r="O81" s="21"/>
      <c r="P81" s="27" t="s">
        <v>165</v>
      </c>
      <c r="Q81" s="27" t="s">
        <v>589</v>
      </c>
    </row>
    <row r="82" spans="1:17" s="8" customFormat="1" ht="15" hidden="1" customHeight="1" x14ac:dyDescent="0.25">
      <c r="A82" s="8" t="s">
        <v>52</v>
      </c>
      <c r="B82" s="8" t="s">
        <v>59</v>
      </c>
      <c r="D82" s="8" t="s">
        <v>195</v>
      </c>
      <c r="E82" s="8" t="s">
        <v>66</v>
      </c>
      <c r="F82" s="8" t="s">
        <v>141</v>
      </c>
      <c r="G82" s="31" t="s">
        <v>277</v>
      </c>
      <c r="H82" s="31" t="s">
        <v>309</v>
      </c>
      <c r="I82" s="31"/>
      <c r="J82" s="32" t="s">
        <v>492</v>
      </c>
      <c r="K82" s="31"/>
      <c r="L82" s="31"/>
      <c r="M82" s="31"/>
      <c r="N82" s="31"/>
      <c r="O82" s="31"/>
      <c r="Q82" s="8" t="s">
        <v>86</v>
      </c>
    </row>
    <row r="83" spans="1:17" ht="30" customHeight="1" x14ac:dyDescent="0.25">
      <c r="A83" s="27" t="s">
        <v>155</v>
      </c>
      <c r="D83" s="27" t="s">
        <v>194</v>
      </c>
      <c r="E83" s="27" t="s">
        <v>221</v>
      </c>
      <c r="F83" s="27" t="s">
        <v>222</v>
      </c>
      <c r="H83" s="25"/>
      <c r="I83" s="25" t="s">
        <v>721</v>
      </c>
      <c r="J83" s="16"/>
      <c r="K83" s="10" t="s">
        <v>584</v>
      </c>
      <c r="L83" s="10" t="s">
        <v>223</v>
      </c>
      <c r="M83" s="10" t="s">
        <v>716</v>
      </c>
      <c r="N83" s="10">
        <v>1096</v>
      </c>
      <c r="P83" s="27" t="s">
        <v>223</v>
      </c>
      <c r="Q83" s="27" t="s">
        <v>585</v>
      </c>
    </row>
    <row r="84" spans="1:17" s="8" customFormat="1" ht="45" customHeight="1" x14ac:dyDescent="0.25">
      <c r="A84" s="8" t="s">
        <v>52</v>
      </c>
      <c r="B84" s="8" t="s">
        <v>59</v>
      </c>
      <c r="D84" s="8" t="s">
        <v>198</v>
      </c>
      <c r="E84" s="8" t="s">
        <v>67</v>
      </c>
      <c r="F84" s="34" t="s">
        <v>178</v>
      </c>
      <c r="G84" s="25" t="s">
        <v>326</v>
      </c>
      <c r="H84" s="25" t="s">
        <v>308</v>
      </c>
      <c r="I84" s="25" t="s">
        <v>721</v>
      </c>
      <c r="J84" s="32" t="s">
        <v>493</v>
      </c>
      <c r="K84" s="25" t="s">
        <v>611</v>
      </c>
      <c r="L84" s="25" t="s">
        <v>719</v>
      </c>
      <c r="M84" s="25" t="s">
        <v>716</v>
      </c>
      <c r="N84" s="25"/>
      <c r="O84" s="25"/>
      <c r="P84" s="8" t="s">
        <v>169</v>
      </c>
      <c r="Q84" s="8" t="s">
        <v>720</v>
      </c>
    </row>
    <row r="85" spans="1:17" s="8" customFormat="1" ht="409.5" hidden="1" customHeight="1" x14ac:dyDescent="0.25">
      <c r="A85" s="8" t="s">
        <v>52</v>
      </c>
      <c r="B85" s="8" t="s">
        <v>59</v>
      </c>
      <c r="D85" s="8" t="s">
        <v>198</v>
      </c>
      <c r="E85" s="8" t="s">
        <v>68</v>
      </c>
      <c r="F85" s="37" t="s">
        <v>180</v>
      </c>
      <c r="G85" s="31" t="s">
        <v>325</v>
      </c>
      <c r="H85" s="31" t="s">
        <v>269</v>
      </c>
      <c r="I85" s="31"/>
      <c r="J85" s="32" t="s">
        <v>494</v>
      </c>
      <c r="K85" s="31"/>
      <c r="L85" s="31"/>
      <c r="M85" s="31"/>
      <c r="N85" s="31"/>
      <c r="O85" s="31"/>
      <c r="Q85" s="8" t="s">
        <v>181</v>
      </c>
    </row>
    <row r="86" spans="1:17" s="8" customFormat="1" ht="60" customHeight="1" x14ac:dyDescent="0.25">
      <c r="A86" s="8" t="s">
        <v>52</v>
      </c>
      <c r="B86" s="8" t="s">
        <v>59</v>
      </c>
      <c r="D86" s="8" t="s">
        <v>198</v>
      </c>
      <c r="E86" s="8" t="s">
        <v>69</v>
      </c>
      <c r="F86" s="8" t="s">
        <v>144</v>
      </c>
      <c r="G86" s="31" t="s">
        <v>280</v>
      </c>
      <c r="H86" s="25" t="s">
        <v>265</v>
      </c>
      <c r="I86" s="25" t="s">
        <v>722</v>
      </c>
      <c r="J86" s="32" t="s">
        <v>495</v>
      </c>
      <c r="K86" s="31" t="s">
        <v>605</v>
      </c>
      <c r="L86" s="31" t="s">
        <v>167</v>
      </c>
      <c r="M86" s="31" t="s">
        <v>718</v>
      </c>
      <c r="N86" s="31">
        <v>1190</v>
      </c>
      <c r="O86" s="31"/>
      <c r="P86" s="8" t="s">
        <v>167</v>
      </c>
      <c r="Q86" s="8" t="s">
        <v>604</v>
      </c>
    </row>
    <row r="87" spans="1:17" ht="45" hidden="1" customHeight="1" x14ac:dyDescent="0.25">
      <c r="A87" s="27" t="s">
        <v>52</v>
      </c>
      <c r="B87" s="27" t="s">
        <v>59</v>
      </c>
      <c r="D87" s="27" t="s">
        <v>198</v>
      </c>
      <c r="E87" s="27" t="s">
        <v>70</v>
      </c>
      <c r="F87" s="27" t="s">
        <v>145</v>
      </c>
      <c r="G87" s="21" t="s">
        <v>264</v>
      </c>
      <c r="H87" s="25" t="s">
        <v>353</v>
      </c>
      <c r="I87" s="25" t="s">
        <v>606</v>
      </c>
      <c r="J87" s="20" t="s">
        <v>496</v>
      </c>
      <c r="K87" s="21"/>
      <c r="L87" s="21"/>
      <c r="M87" s="21"/>
      <c r="N87" s="21"/>
      <c r="O87" s="21"/>
      <c r="Q87" s="27" t="s">
        <v>86</v>
      </c>
    </row>
    <row r="88" spans="1:17" s="8" customFormat="1" ht="60" hidden="1" customHeight="1" x14ac:dyDescent="0.25">
      <c r="A88" s="8" t="s">
        <v>52</v>
      </c>
      <c r="B88" s="8" t="s">
        <v>59</v>
      </c>
      <c r="D88" s="8" t="s">
        <v>198</v>
      </c>
      <c r="E88" s="8" t="s">
        <v>71</v>
      </c>
      <c r="F88" s="8" t="s">
        <v>146</v>
      </c>
      <c r="G88" s="31" t="s">
        <v>324</v>
      </c>
      <c r="H88" s="25" t="s">
        <v>270</v>
      </c>
      <c r="I88" s="25" t="s">
        <v>650</v>
      </c>
      <c r="J88" s="32" t="s">
        <v>497</v>
      </c>
      <c r="K88" s="31" t="s">
        <v>679</v>
      </c>
      <c r="L88" s="25" t="s">
        <v>676</v>
      </c>
      <c r="M88" s="31" t="s">
        <v>718</v>
      </c>
      <c r="N88" s="31"/>
      <c r="O88" s="31"/>
      <c r="P88" s="25" t="s">
        <v>676</v>
      </c>
      <c r="Q88" s="8" t="s">
        <v>680</v>
      </c>
    </row>
    <row r="89" spans="1:17" ht="60" hidden="1" customHeight="1" x14ac:dyDescent="0.25">
      <c r="A89" s="27" t="s">
        <v>52</v>
      </c>
      <c r="B89" s="27" t="s">
        <v>59</v>
      </c>
      <c r="D89" s="27" t="s">
        <v>198</v>
      </c>
      <c r="E89" s="27" t="s">
        <v>72</v>
      </c>
      <c r="F89" s="27" t="s">
        <v>185</v>
      </c>
      <c r="G89" s="21" t="s">
        <v>273</v>
      </c>
      <c r="H89" s="25" t="s">
        <v>354</v>
      </c>
      <c r="I89" s="25"/>
      <c r="J89" s="20" t="s">
        <v>498</v>
      </c>
      <c r="K89" s="21"/>
      <c r="L89" s="21"/>
      <c r="M89" s="21"/>
      <c r="N89" s="21"/>
      <c r="O89" s="21"/>
      <c r="Q89" s="27" t="s">
        <v>86</v>
      </c>
    </row>
    <row r="90" spans="1:17" s="8" customFormat="1" ht="45" hidden="1" customHeight="1" x14ac:dyDescent="0.25">
      <c r="A90" s="8" t="s">
        <v>52</v>
      </c>
      <c r="B90" s="8" t="s">
        <v>59</v>
      </c>
      <c r="D90" s="8" t="s">
        <v>198</v>
      </c>
      <c r="E90" s="8" t="s">
        <v>73</v>
      </c>
      <c r="F90" s="8" t="s">
        <v>147</v>
      </c>
      <c r="G90" s="31" t="s">
        <v>323</v>
      </c>
      <c r="H90" s="25" t="s">
        <v>266</v>
      </c>
      <c r="I90" s="25"/>
      <c r="J90" s="32" t="s">
        <v>499</v>
      </c>
      <c r="K90" s="31"/>
      <c r="L90" s="31"/>
      <c r="M90" s="31"/>
      <c r="N90" s="31"/>
      <c r="O90" s="31"/>
      <c r="Q90" s="8" t="s">
        <v>86</v>
      </c>
    </row>
    <row r="91" spans="1:17" s="8" customFormat="1" ht="45" hidden="1" customHeight="1" x14ac:dyDescent="0.25">
      <c r="A91" s="8" t="s">
        <v>52</v>
      </c>
      <c r="B91" s="8" t="s">
        <v>59</v>
      </c>
      <c r="D91" s="8" t="s">
        <v>198</v>
      </c>
      <c r="E91" s="8" t="s">
        <v>74</v>
      </c>
      <c r="F91" s="38" t="s">
        <v>148</v>
      </c>
      <c r="G91" s="31" t="s">
        <v>322</v>
      </c>
      <c r="H91" s="25" t="s">
        <v>267</v>
      </c>
      <c r="I91" s="25" t="s">
        <v>650</v>
      </c>
      <c r="J91" s="32" t="s">
        <v>500</v>
      </c>
      <c r="K91" s="25" t="s">
        <v>678</v>
      </c>
      <c r="L91" s="25" t="s">
        <v>677</v>
      </c>
      <c r="M91" s="25" t="s">
        <v>718</v>
      </c>
      <c r="N91" s="25"/>
      <c r="O91" s="25"/>
      <c r="P91" s="8" t="s">
        <v>677</v>
      </c>
      <c r="Q91" s="8" t="s">
        <v>681</v>
      </c>
    </row>
    <row r="92" spans="1:17" s="8" customFormat="1" ht="75" hidden="1" customHeight="1" x14ac:dyDescent="0.25">
      <c r="A92" s="8" t="s">
        <v>52</v>
      </c>
      <c r="B92" s="8" t="s">
        <v>59</v>
      </c>
      <c r="D92" s="8" t="s">
        <v>198</v>
      </c>
      <c r="E92" s="8" t="s">
        <v>75</v>
      </c>
      <c r="F92" s="8" t="s">
        <v>150</v>
      </c>
      <c r="G92" s="31" t="s">
        <v>321</v>
      </c>
      <c r="H92" s="31" t="s">
        <v>268</v>
      </c>
      <c r="I92" s="31"/>
      <c r="J92" s="32" t="s">
        <v>501</v>
      </c>
      <c r="K92" s="31"/>
      <c r="L92" s="31"/>
      <c r="M92" s="31"/>
      <c r="N92" s="31"/>
      <c r="O92" s="31"/>
      <c r="Q92" s="38" t="s">
        <v>154</v>
      </c>
    </row>
    <row r="93" spans="1:17" s="13" customFormat="1" ht="54.95" customHeight="1" x14ac:dyDescent="0.25">
      <c r="A93" s="13" t="s">
        <v>52</v>
      </c>
      <c r="B93" s="13" t="s">
        <v>59</v>
      </c>
      <c r="D93" s="13" t="s">
        <v>198</v>
      </c>
      <c r="E93" s="13" t="s">
        <v>76</v>
      </c>
      <c r="F93" s="13" t="s">
        <v>151</v>
      </c>
      <c r="G93" s="24" t="s">
        <v>287</v>
      </c>
      <c r="H93" s="24" t="s">
        <v>355</v>
      </c>
      <c r="I93" s="24" t="s">
        <v>722</v>
      </c>
      <c r="J93" s="20" t="s">
        <v>502</v>
      </c>
      <c r="K93" s="10" t="s">
        <v>601</v>
      </c>
      <c r="L93" s="10" t="s">
        <v>600</v>
      </c>
      <c r="M93" s="10" t="s">
        <v>718</v>
      </c>
      <c r="N93" s="10">
        <v>1163</v>
      </c>
      <c r="O93" s="10"/>
      <c r="P93" s="30" t="s">
        <v>600</v>
      </c>
      <c r="Q93" s="13" t="s">
        <v>669</v>
      </c>
    </row>
    <row r="94" spans="1:17" s="8" customFormat="1" ht="54.95" hidden="1" customHeight="1" x14ac:dyDescent="0.25">
      <c r="A94" s="8" t="s">
        <v>52</v>
      </c>
      <c r="B94" s="8" t="s">
        <v>59</v>
      </c>
      <c r="D94" s="8" t="s">
        <v>198</v>
      </c>
      <c r="E94" s="8" t="s">
        <v>77</v>
      </c>
      <c r="F94" s="8" t="s">
        <v>152</v>
      </c>
      <c r="G94" s="31" t="s">
        <v>320</v>
      </c>
      <c r="H94" s="25" t="s">
        <v>307</v>
      </c>
      <c r="I94" s="25" t="s">
        <v>650</v>
      </c>
      <c r="J94" s="32" t="s">
        <v>503</v>
      </c>
      <c r="K94" s="31" t="s">
        <v>683</v>
      </c>
      <c r="L94" s="31" t="s">
        <v>682</v>
      </c>
      <c r="M94" s="31" t="s">
        <v>718</v>
      </c>
      <c r="N94" s="31"/>
      <c r="O94" s="31"/>
      <c r="P94" s="8" t="s">
        <v>682</v>
      </c>
      <c r="Q94" s="8" t="s">
        <v>86</v>
      </c>
    </row>
    <row r="95" spans="1:17" ht="54.95" hidden="1" customHeight="1" x14ac:dyDescent="0.25">
      <c r="A95" s="27" t="s">
        <v>52</v>
      </c>
      <c r="B95" s="27" t="s">
        <v>59</v>
      </c>
      <c r="D95" s="27" t="s">
        <v>198</v>
      </c>
      <c r="E95" s="27" t="s">
        <v>78</v>
      </c>
      <c r="F95" s="27" t="s">
        <v>153</v>
      </c>
      <c r="G95" s="24" t="s">
        <v>279</v>
      </c>
      <c r="H95" s="24" t="s">
        <v>356</v>
      </c>
      <c r="I95" s="25" t="s">
        <v>650</v>
      </c>
      <c r="J95" s="20" t="s">
        <v>504</v>
      </c>
      <c r="K95" s="24"/>
      <c r="L95" s="24"/>
      <c r="M95" s="24"/>
      <c r="N95" s="24"/>
      <c r="O95" s="24"/>
      <c r="Q95" s="28" t="s">
        <v>154</v>
      </c>
    </row>
    <row r="96" spans="1:17" s="8" customFormat="1" ht="54.95" hidden="1" customHeight="1" x14ac:dyDescent="0.25">
      <c r="A96" s="8" t="s">
        <v>52</v>
      </c>
      <c r="B96" s="8" t="s">
        <v>59</v>
      </c>
      <c r="D96" s="8" t="s">
        <v>195</v>
      </c>
      <c r="E96" s="8" t="s">
        <v>79</v>
      </c>
      <c r="F96" s="8" t="s">
        <v>177</v>
      </c>
      <c r="G96" s="31" t="s">
        <v>274</v>
      </c>
      <c r="H96" s="31" t="s">
        <v>306</v>
      </c>
      <c r="I96" s="31"/>
      <c r="J96" s="32" t="s">
        <v>505</v>
      </c>
      <c r="K96" s="31"/>
      <c r="L96" s="31"/>
      <c r="M96" s="31"/>
      <c r="N96" s="31"/>
      <c r="O96" s="31"/>
      <c r="Q96" s="8" t="s">
        <v>86</v>
      </c>
    </row>
    <row r="97" spans="1:17" s="8" customFormat="1" ht="54.95" hidden="1" customHeight="1" x14ac:dyDescent="0.25">
      <c r="A97" s="8" t="s">
        <v>52</v>
      </c>
      <c r="B97" s="8" t="s">
        <v>59</v>
      </c>
      <c r="D97" s="8" t="s">
        <v>198</v>
      </c>
      <c r="E97" s="8" t="s">
        <v>80</v>
      </c>
      <c r="F97" s="8" t="s">
        <v>168</v>
      </c>
      <c r="G97" s="31" t="s">
        <v>319</v>
      </c>
      <c r="H97" s="25" t="s">
        <v>271</v>
      </c>
      <c r="I97" s="25"/>
      <c r="J97" s="32" t="s">
        <v>506</v>
      </c>
      <c r="K97" s="31" t="s">
        <v>610</v>
      </c>
      <c r="L97" s="31" t="s">
        <v>170</v>
      </c>
      <c r="M97" s="31" t="s">
        <v>718</v>
      </c>
      <c r="N97" s="31">
        <v>1219</v>
      </c>
      <c r="O97" s="31"/>
      <c r="P97" s="8" t="s">
        <v>170</v>
      </c>
      <c r="Q97" s="8" t="s">
        <v>86</v>
      </c>
    </row>
    <row r="98" spans="1:17" s="8" customFormat="1" ht="54.95" customHeight="1" x14ac:dyDescent="0.25">
      <c r="A98" s="8" t="s">
        <v>52</v>
      </c>
      <c r="B98" s="8" t="s">
        <v>59</v>
      </c>
      <c r="D98" s="8" t="s">
        <v>198</v>
      </c>
      <c r="E98" s="8" t="s">
        <v>81</v>
      </c>
      <c r="F98" s="8" t="s">
        <v>176</v>
      </c>
      <c r="G98" s="25" t="s">
        <v>318</v>
      </c>
      <c r="H98" s="25" t="s">
        <v>305</v>
      </c>
      <c r="I98" s="25" t="s">
        <v>722</v>
      </c>
      <c r="J98" s="32" t="s">
        <v>507</v>
      </c>
      <c r="K98" s="25" t="s">
        <v>591</v>
      </c>
      <c r="L98" s="25" t="s">
        <v>171</v>
      </c>
      <c r="M98" s="25" t="s">
        <v>718</v>
      </c>
      <c r="N98" s="25">
        <v>1124</v>
      </c>
      <c r="O98" s="25"/>
      <c r="P98" s="8" t="s">
        <v>171</v>
      </c>
      <c r="Q98" s="8" t="s">
        <v>673</v>
      </c>
    </row>
    <row r="99" spans="1:17" s="8" customFormat="1" ht="54.95" hidden="1" customHeight="1" x14ac:dyDescent="0.25">
      <c r="A99" s="8" t="s">
        <v>52</v>
      </c>
      <c r="B99" s="8" t="s">
        <v>59</v>
      </c>
      <c r="D99" s="8" t="s">
        <v>198</v>
      </c>
      <c r="E99" s="8" t="s">
        <v>82</v>
      </c>
      <c r="F99" s="8" t="s">
        <v>179</v>
      </c>
      <c r="G99" s="31" t="s">
        <v>275</v>
      </c>
      <c r="H99" s="31" t="s">
        <v>303</v>
      </c>
      <c r="I99" s="31"/>
      <c r="J99" s="32" t="s">
        <v>508</v>
      </c>
      <c r="K99" s="31"/>
      <c r="L99" s="31"/>
      <c r="M99" s="31"/>
      <c r="N99" s="31"/>
      <c r="O99" s="31"/>
      <c r="Q99" s="8" t="s">
        <v>86</v>
      </c>
    </row>
    <row r="100" spans="1:17" s="8" customFormat="1" ht="54.95" hidden="1" customHeight="1" x14ac:dyDescent="0.25">
      <c r="A100" s="8" t="s">
        <v>52</v>
      </c>
      <c r="B100" s="8" t="s">
        <v>59</v>
      </c>
      <c r="D100" s="8" t="s">
        <v>198</v>
      </c>
      <c r="E100" s="8" t="s">
        <v>83</v>
      </c>
      <c r="F100" s="34" t="s">
        <v>178</v>
      </c>
      <c r="G100" s="31" t="s">
        <v>317</v>
      </c>
      <c r="H100" s="31" t="s">
        <v>304</v>
      </c>
      <c r="I100" s="31" t="s">
        <v>650</v>
      </c>
      <c r="J100" s="32" t="s">
        <v>509</v>
      </c>
      <c r="K100" s="31" t="s">
        <v>684</v>
      </c>
      <c r="L100" s="31" t="s">
        <v>685</v>
      </c>
      <c r="M100" s="31" t="s">
        <v>718</v>
      </c>
      <c r="N100" s="31"/>
      <c r="O100" s="31"/>
      <c r="P100" s="8" t="s">
        <v>685</v>
      </c>
      <c r="Q100" s="8" t="s">
        <v>686</v>
      </c>
    </row>
    <row r="101" spans="1:17" ht="54.95" customHeight="1" x14ac:dyDescent="0.25">
      <c r="A101" s="27" t="s">
        <v>52</v>
      </c>
      <c r="B101" s="27" t="s">
        <v>59</v>
      </c>
      <c r="D101" s="27" t="s">
        <v>198</v>
      </c>
      <c r="E101" s="27" t="s">
        <v>84</v>
      </c>
      <c r="F101" s="27" t="s">
        <v>172</v>
      </c>
      <c r="G101" s="21" t="s">
        <v>278</v>
      </c>
      <c r="H101" s="25" t="s">
        <v>357</v>
      </c>
      <c r="I101" s="25" t="s">
        <v>721</v>
      </c>
      <c r="J101" s="20" t="s">
        <v>510</v>
      </c>
      <c r="K101" s="21" t="s">
        <v>634</v>
      </c>
      <c r="L101" s="21" t="s">
        <v>174</v>
      </c>
      <c r="M101" s="21" t="s">
        <v>716</v>
      </c>
      <c r="N101" s="21"/>
      <c r="O101" s="21"/>
      <c r="P101" s="27" t="s">
        <v>174</v>
      </c>
      <c r="Q101" s="28" t="s">
        <v>173</v>
      </c>
    </row>
    <row r="102" spans="1:17" ht="54.95" hidden="1" customHeight="1" x14ac:dyDescent="0.25">
      <c r="A102" s="27" t="s">
        <v>52</v>
      </c>
      <c r="B102" s="27" t="s">
        <v>59</v>
      </c>
      <c r="D102" s="27" t="s">
        <v>195</v>
      </c>
      <c r="E102" s="27" t="s">
        <v>85</v>
      </c>
      <c r="G102" s="21" t="s">
        <v>276</v>
      </c>
      <c r="H102" s="21" t="s">
        <v>358</v>
      </c>
      <c r="I102" s="21"/>
      <c r="J102" s="20" t="s">
        <v>511</v>
      </c>
      <c r="K102" s="21"/>
      <c r="L102" s="21"/>
      <c r="M102" s="21"/>
      <c r="N102" s="21"/>
      <c r="O102" s="21"/>
      <c r="Q102" s="27" t="s">
        <v>86</v>
      </c>
    </row>
    <row r="103" spans="1:17" ht="54.95" customHeight="1" x14ac:dyDescent="0.25">
      <c r="A103" s="27" t="s">
        <v>155</v>
      </c>
      <c r="B103" s="27" t="s">
        <v>155</v>
      </c>
      <c r="D103" s="27" t="s">
        <v>194</v>
      </c>
      <c r="E103" s="27" t="s">
        <v>156</v>
      </c>
      <c r="F103" s="27" t="s">
        <v>190</v>
      </c>
      <c r="H103" s="25"/>
      <c r="I103" s="25" t="s">
        <v>722</v>
      </c>
      <c r="J103" s="16"/>
      <c r="K103" s="10" t="s">
        <v>401</v>
      </c>
      <c r="L103" s="10" t="s">
        <v>157</v>
      </c>
      <c r="M103" s="21" t="s">
        <v>716</v>
      </c>
      <c r="P103" s="27" t="s">
        <v>157</v>
      </c>
    </row>
    <row r="104" spans="1:17" ht="54.95" hidden="1" customHeight="1" x14ac:dyDescent="0.25">
      <c r="A104" s="27" t="s">
        <v>155</v>
      </c>
      <c r="B104" s="27" t="s">
        <v>155</v>
      </c>
      <c r="D104" s="27" t="s">
        <v>194</v>
      </c>
      <c r="E104" s="27" t="s">
        <v>191</v>
      </c>
      <c r="F104" s="27" t="s">
        <v>213</v>
      </c>
      <c r="H104" s="25"/>
      <c r="I104" s="25"/>
      <c r="J104" s="16"/>
      <c r="P104" s="27" t="s">
        <v>192</v>
      </c>
    </row>
    <row r="105" spans="1:17" s="8" customFormat="1" ht="54.95" hidden="1" customHeight="1" x14ac:dyDescent="0.25">
      <c r="A105" s="8" t="s">
        <v>294</v>
      </c>
      <c r="B105" s="8" t="s">
        <v>59</v>
      </c>
      <c r="D105" s="8" t="s">
        <v>195</v>
      </c>
      <c r="E105" s="8" t="s">
        <v>295</v>
      </c>
      <c r="G105" s="25" t="s">
        <v>316</v>
      </c>
      <c r="H105" s="25" t="s">
        <v>363</v>
      </c>
      <c r="I105" s="25"/>
      <c r="J105" s="32" t="s">
        <v>512</v>
      </c>
      <c r="K105" s="25"/>
      <c r="L105" s="25"/>
      <c r="M105" s="25"/>
      <c r="N105" s="25"/>
      <c r="O105" s="25"/>
    </row>
    <row r="106" spans="1:17" ht="54.95" customHeight="1" x14ac:dyDescent="0.25">
      <c r="A106" s="27" t="s">
        <v>16</v>
      </c>
      <c r="D106" s="27" t="s">
        <v>194</v>
      </c>
      <c r="F106" s="27" t="s">
        <v>536</v>
      </c>
      <c r="G106" s="10" t="s">
        <v>283</v>
      </c>
      <c r="H106" s="10" t="s">
        <v>345</v>
      </c>
      <c r="I106" s="17" t="s">
        <v>722</v>
      </c>
      <c r="J106" s="20" t="s">
        <v>514</v>
      </c>
      <c r="K106" s="10" t="s">
        <v>531</v>
      </c>
      <c r="L106" s="10" t="s">
        <v>530</v>
      </c>
      <c r="M106" s="10" t="s">
        <v>716</v>
      </c>
      <c r="N106" s="10">
        <v>870</v>
      </c>
      <c r="P106" s="27" t="s">
        <v>530</v>
      </c>
    </row>
    <row r="107" spans="1:17" ht="54.95" hidden="1" customHeight="1" x14ac:dyDescent="0.25">
      <c r="F107" s="27" t="s">
        <v>547</v>
      </c>
      <c r="K107" s="10" t="s">
        <v>545</v>
      </c>
      <c r="L107" s="10" t="s">
        <v>544</v>
      </c>
      <c r="N107" s="10">
        <v>949</v>
      </c>
      <c r="P107" s="27" t="s">
        <v>544</v>
      </c>
      <c r="Q107" s="27" t="s">
        <v>546</v>
      </c>
    </row>
    <row r="108" spans="1:17" s="8" customFormat="1" ht="75" customHeight="1" x14ac:dyDescent="0.25">
      <c r="G108" s="25"/>
      <c r="H108" s="25"/>
      <c r="I108" s="25" t="s">
        <v>721</v>
      </c>
      <c r="J108" s="25"/>
      <c r="K108" s="25" t="s">
        <v>550</v>
      </c>
      <c r="L108" s="25" t="s">
        <v>548</v>
      </c>
      <c r="M108" s="25" t="s">
        <v>718</v>
      </c>
      <c r="N108" s="25"/>
      <c r="O108" s="25"/>
      <c r="P108" s="8" t="s">
        <v>548</v>
      </c>
      <c r="Q108" s="8" t="s">
        <v>549</v>
      </c>
    </row>
    <row r="109" spans="1:17" s="8" customFormat="1" ht="54.95" customHeight="1" x14ac:dyDescent="0.25">
      <c r="G109" s="25"/>
      <c r="H109" s="25"/>
      <c r="I109" s="25" t="s">
        <v>722</v>
      </c>
      <c r="J109" s="25"/>
      <c r="K109" s="25" t="s">
        <v>553</v>
      </c>
      <c r="L109" s="25" t="s">
        <v>551</v>
      </c>
      <c r="M109" s="25" t="s">
        <v>716</v>
      </c>
      <c r="N109" s="25"/>
      <c r="O109" s="25"/>
      <c r="P109" s="8" t="s">
        <v>551</v>
      </c>
      <c r="Q109" s="8" t="s">
        <v>552</v>
      </c>
    </row>
    <row r="110" spans="1:17" s="8" customFormat="1" ht="54.95" customHeight="1" x14ac:dyDescent="0.25">
      <c r="G110" s="25"/>
      <c r="H110" s="25"/>
      <c r="I110" s="25" t="s">
        <v>721</v>
      </c>
      <c r="J110" s="25"/>
      <c r="K110" s="25" t="s">
        <v>558</v>
      </c>
      <c r="L110" s="25" t="s">
        <v>554</v>
      </c>
      <c r="M110" s="25" t="s">
        <v>716</v>
      </c>
      <c r="N110" s="25"/>
      <c r="O110" s="25"/>
      <c r="P110" s="8" t="s">
        <v>554</v>
      </c>
      <c r="Q110" s="8" t="s">
        <v>555</v>
      </c>
    </row>
    <row r="111" spans="1:17" s="8" customFormat="1" ht="54.95" customHeight="1" x14ac:dyDescent="0.25">
      <c r="G111" s="25"/>
      <c r="H111" s="25"/>
      <c r="I111" s="25" t="s">
        <v>721</v>
      </c>
      <c r="J111" s="25"/>
      <c r="K111" s="25" t="s">
        <v>559</v>
      </c>
      <c r="L111" s="25" t="s">
        <v>556</v>
      </c>
      <c r="M111" s="25" t="s">
        <v>716</v>
      </c>
      <c r="N111" s="25"/>
      <c r="O111" s="25"/>
      <c r="P111" s="8" t="s">
        <v>556</v>
      </c>
      <c r="Q111" s="8" t="s">
        <v>557</v>
      </c>
    </row>
    <row r="112" spans="1:17" s="8" customFormat="1" ht="54.95" customHeight="1" x14ac:dyDescent="0.25">
      <c r="G112" s="25"/>
      <c r="H112" s="25"/>
      <c r="I112" s="25" t="s">
        <v>721</v>
      </c>
      <c r="J112" s="25"/>
      <c r="K112" s="25" t="s">
        <v>561</v>
      </c>
      <c r="L112" s="25" t="s">
        <v>560</v>
      </c>
      <c r="M112" s="25" t="s">
        <v>716</v>
      </c>
      <c r="N112" s="25"/>
      <c r="O112" s="25"/>
      <c r="P112" s="8" t="s">
        <v>560</v>
      </c>
      <c r="Q112" s="8" t="s">
        <v>562</v>
      </c>
    </row>
    <row r="113" spans="6:17" ht="54.95" customHeight="1" x14ac:dyDescent="0.25">
      <c r="I113" s="10" t="s">
        <v>722</v>
      </c>
      <c r="K113" s="10" t="s">
        <v>565</v>
      </c>
      <c r="L113" s="10" t="s">
        <v>563</v>
      </c>
      <c r="M113" s="10" t="s">
        <v>716</v>
      </c>
      <c r="P113" s="27" t="s">
        <v>563</v>
      </c>
      <c r="Q113" s="27" t="s">
        <v>564</v>
      </c>
    </row>
    <row r="114" spans="6:17" ht="75" customHeight="1" x14ac:dyDescent="0.25">
      <c r="I114" s="10" t="s">
        <v>721</v>
      </c>
      <c r="K114" s="10" t="s">
        <v>568</v>
      </c>
      <c r="L114" s="10" t="s">
        <v>566</v>
      </c>
      <c r="M114" s="10" t="s">
        <v>716</v>
      </c>
      <c r="P114" s="27" t="s">
        <v>566</v>
      </c>
      <c r="Q114" s="27" t="s">
        <v>567</v>
      </c>
    </row>
    <row r="115" spans="6:17" ht="105" customHeight="1" x14ac:dyDescent="0.25">
      <c r="I115" s="10" t="s">
        <v>722</v>
      </c>
      <c r="K115" s="10" t="s">
        <v>578</v>
      </c>
      <c r="L115" s="10" t="s">
        <v>576</v>
      </c>
      <c r="M115" s="10" t="s">
        <v>717</v>
      </c>
      <c r="N115" s="10">
        <v>1069</v>
      </c>
      <c r="P115" s="27" t="s">
        <v>576</v>
      </c>
      <c r="Q115" s="27" t="s">
        <v>577</v>
      </c>
    </row>
    <row r="116" spans="6:17" ht="54.95" customHeight="1" x14ac:dyDescent="0.25">
      <c r="I116" s="10" t="s">
        <v>722</v>
      </c>
      <c r="K116" s="10" t="s">
        <v>581</v>
      </c>
      <c r="L116" s="10" t="s">
        <v>579</v>
      </c>
      <c r="M116" s="10" t="s">
        <v>718</v>
      </c>
      <c r="N116" s="10">
        <v>1080</v>
      </c>
      <c r="P116" s="27" t="s">
        <v>579</v>
      </c>
      <c r="Q116" s="27" t="s">
        <v>580</v>
      </c>
    </row>
    <row r="117" spans="6:17" ht="54.95" customHeight="1" x14ac:dyDescent="0.25">
      <c r="I117" s="10" t="s">
        <v>721</v>
      </c>
      <c r="K117" s="10" t="s">
        <v>588</v>
      </c>
      <c r="L117" s="10" t="s">
        <v>586</v>
      </c>
      <c r="M117" s="10" t="s">
        <v>716</v>
      </c>
      <c r="N117" s="10">
        <v>1102</v>
      </c>
      <c r="P117" s="27" t="s">
        <v>586</v>
      </c>
      <c r="Q117" s="27" t="s">
        <v>587</v>
      </c>
    </row>
    <row r="118" spans="6:17" ht="54.95" customHeight="1" x14ac:dyDescent="0.25">
      <c r="I118" s="10" t="s">
        <v>722</v>
      </c>
      <c r="K118" s="10" t="s">
        <v>594</v>
      </c>
      <c r="L118" s="10" t="s">
        <v>592</v>
      </c>
      <c r="M118" s="10" t="s">
        <v>716</v>
      </c>
      <c r="N118" s="10">
        <v>1130</v>
      </c>
      <c r="P118" s="27" t="s">
        <v>592</v>
      </c>
      <c r="Q118" s="27" t="s">
        <v>593</v>
      </c>
    </row>
    <row r="119" spans="6:17" ht="54.95" customHeight="1" x14ac:dyDescent="0.25">
      <c r="I119" s="10" t="s">
        <v>722</v>
      </c>
      <c r="K119" s="10" t="s">
        <v>596</v>
      </c>
      <c r="L119" s="10" t="s">
        <v>595</v>
      </c>
      <c r="M119" s="10" t="s">
        <v>718</v>
      </c>
      <c r="N119" s="10">
        <v>1138</v>
      </c>
      <c r="P119" s="27" t="s">
        <v>595</v>
      </c>
      <c r="Q119" s="27" t="s">
        <v>687</v>
      </c>
    </row>
    <row r="120" spans="6:17" ht="54.95" customHeight="1" x14ac:dyDescent="0.25">
      <c r="I120" s="10" t="s">
        <v>722</v>
      </c>
      <c r="K120" s="10" t="s">
        <v>598</v>
      </c>
      <c r="L120" s="10" t="s">
        <v>597</v>
      </c>
      <c r="M120" s="10" t="s">
        <v>718</v>
      </c>
      <c r="P120" s="27" t="s">
        <v>597</v>
      </c>
      <c r="Q120" s="27" t="s">
        <v>599</v>
      </c>
    </row>
    <row r="121" spans="6:17" ht="54.95" customHeight="1" x14ac:dyDescent="0.25">
      <c r="I121" s="10" t="s">
        <v>722</v>
      </c>
      <c r="K121" s="10" t="s">
        <v>603</v>
      </c>
      <c r="L121" s="10" t="s">
        <v>602</v>
      </c>
      <c r="M121" s="10" t="s">
        <v>716</v>
      </c>
      <c r="N121" s="10">
        <v>1243</v>
      </c>
      <c r="P121" s="27" t="s">
        <v>602</v>
      </c>
      <c r="Q121" s="27" t="s">
        <v>662</v>
      </c>
    </row>
    <row r="122" spans="6:17" ht="54.95" customHeight="1" x14ac:dyDescent="0.25">
      <c r="I122" s="10" t="s">
        <v>721</v>
      </c>
      <c r="K122" s="10" t="s">
        <v>609</v>
      </c>
      <c r="L122" s="10" t="s">
        <v>607</v>
      </c>
      <c r="N122" s="10">
        <v>1206</v>
      </c>
      <c r="P122" s="27" t="s">
        <v>607</v>
      </c>
      <c r="Q122" s="27" t="s">
        <v>608</v>
      </c>
    </row>
    <row r="123" spans="6:17" ht="54.95" customHeight="1" x14ac:dyDescent="0.25">
      <c r="I123" s="10" t="s">
        <v>722</v>
      </c>
      <c r="K123" s="10" t="s">
        <v>617</v>
      </c>
      <c r="L123" s="10" t="s">
        <v>615</v>
      </c>
      <c r="M123" s="10" t="s">
        <v>716</v>
      </c>
      <c r="N123" s="10">
        <v>1261</v>
      </c>
      <c r="P123" s="27" t="s">
        <v>615</v>
      </c>
      <c r="Q123" s="27" t="s">
        <v>616</v>
      </c>
    </row>
    <row r="124" spans="6:17" ht="90" customHeight="1" x14ac:dyDescent="0.25">
      <c r="I124" s="10" t="s">
        <v>722</v>
      </c>
      <c r="K124" s="10" t="s">
        <v>619</v>
      </c>
      <c r="L124" s="10" t="s">
        <v>618</v>
      </c>
      <c r="M124" s="10" t="s">
        <v>718</v>
      </c>
      <c r="N124" s="10">
        <v>1270</v>
      </c>
      <c r="P124" s="27" t="s">
        <v>618</v>
      </c>
      <c r="Q124" s="27" t="s">
        <v>658</v>
      </c>
    </row>
    <row r="125" spans="6:17" ht="54.95" customHeight="1" x14ac:dyDescent="0.25">
      <c r="I125" s="10" t="s">
        <v>722</v>
      </c>
      <c r="K125" s="10" t="s">
        <v>624</v>
      </c>
      <c r="L125" s="10" t="s">
        <v>622</v>
      </c>
      <c r="M125" s="10" t="s">
        <v>717</v>
      </c>
      <c r="N125" s="10">
        <v>1297</v>
      </c>
      <c r="P125" s="27" t="s">
        <v>622</v>
      </c>
      <c r="Q125" s="27" t="s">
        <v>623</v>
      </c>
    </row>
    <row r="126" spans="6:17" ht="15" customHeight="1" x14ac:dyDescent="0.25">
      <c r="F126" s="27" t="s">
        <v>628</v>
      </c>
      <c r="I126" s="10" t="s">
        <v>721</v>
      </c>
      <c r="K126" s="10" t="s">
        <v>627</v>
      </c>
      <c r="L126" s="10" t="s">
        <v>626</v>
      </c>
      <c r="M126" s="10" t="s">
        <v>718</v>
      </c>
      <c r="N126" s="10">
        <v>1329</v>
      </c>
      <c r="P126" s="27" t="s">
        <v>626</v>
      </c>
      <c r="Q126" s="27" t="s">
        <v>628</v>
      </c>
    </row>
    <row r="127" spans="6:17" ht="75" customHeight="1" x14ac:dyDescent="0.25">
      <c r="I127" s="10" t="s">
        <v>721</v>
      </c>
      <c r="K127" s="10" t="s">
        <v>637</v>
      </c>
      <c r="L127" s="10" t="s">
        <v>635</v>
      </c>
      <c r="M127" s="10" t="s">
        <v>718</v>
      </c>
      <c r="P127" s="27" t="s">
        <v>635</v>
      </c>
      <c r="Q127" s="27" t="s">
        <v>636</v>
      </c>
    </row>
    <row r="128" spans="6:17" ht="54.95" hidden="1" customHeight="1" x14ac:dyDescent="0.25">
      <c r="I128" s="10" t="s">
        <v>659</v>
      </c>
      <c r="L128" s="10" t="s">
        <v>638</v>
      </c>
      <c r="P128" s="27" t="s">
        <v>638</v>
      </c>
    </row>
    <row r="129" spans="9:17" ht="54.95" hidden="1" customHeight="1" x14ac:dyDescent="0.25">
      <c r="L129" s="10" t="s">
        <v>639</v>
      </c>
      <c r="P129" s="29" t="s">
        <v>639</v>
      </c>
    </row>
    <row r="130" spans="9:17" ht="54.95" hidden="1" customHeight="1" x14ac:dyDescent="0.25">
      <c r="K130" s="10" t="s">
        <v>641</v>
      </c>
      <c r="L130" s="10" t="s">
        <v>640</v>
      </c>
      <c r="M130" s="10" t="s">
        <v>716</v>
      </c>
      <c r="P130" s="27" t="s">
        <v>640</v>
      </c>
    </row>
    <row r="131" spans="9:17" ht="54.95" hidden="1" customHeight="1" x14ac:dyDescent="0.25">
      <c r="L131" s="10" t="s">
        <v>642</v>
      </c>
      <c r="P131" s="27" t="s">
        <v>642</v>
      </c>
    </row>
    <row r="132" spans="9:17" ht="54.95" hidden="1" customHeight="1" x14ac:dyDescent="0.25">
      <c r="L132" s="10" t="s">
        <v>643</v>
      </c>
      <c r="P132" s="27" t="s">
        <v>643</v>
      </c>
    </row>
    <row r="133" spans="9:17" ht="45" customHeight="1" x14ac:dyDescent="0.25">
      <c r="I133" s="10" t="s">
        <v>722</v>
      </c>
      <c r="K133" s="10" t="s">
        <v>701</v>
      </c>
      <c r="L133" s="10" t="s">
        <v>644</v>
      </c>
      <c r="M133" s="10" t="s">
        <v>716</v>
      </c>
      <c r="P133" s="27" t="s">
        <v>644</v>
      </c>
      <c r="Q133" s="27" t="s">
        <v>645</v>
      </c>
    </row>
    <row r="134" spans="9:17" ht="60" customHeight="1" x14ac:dyDescent="0.25">
      <c r="I134" s="10" t="s">
        <v>722</v>
      </c>
      <c r="K134" s="10" t="s">
        <v>647</v>
      </c>
      <c r="L134" s="10" t="s">
        <v>646</v>
      </c>
      <c r="M134" s="10" t="s">
        <v>716</v>
      </c>
      <c r="P134" s="27" t="s">
        <v>646</v>
      </c>
      <c r="Q134" s="27" t="s">
        <v>655</v>
      </c>
    </row>
    <row r="135" spans="9:17" ht="54.95" hidden="1" customHeight="1" x14ac:dyDescent="0.25">
      <c r="I135" s="10" t="s">
        <v>650</v>
      </c>
      <c r="K135" s="10" t="s">
        <v>649</v>
      </c>
      <c r="L135" s="10" t="s">
        <v>665</v>
      </c>
      <c r="M135" s="10" t="s">
        <v>716</v>
      </c>
      <c r="P135" s="27" t="s">
        <v>648</v>
      </c>
      <c r="Q135" s="27" t="s">
        <v>666</v>
      </c>
    </row>
    <row r="136" spans="9:17" ht="54.95" hidden="1" customHeight="1" x14ac:dyDescent="0.25">
      <c r="I136" s="10" t="s">
        <v>650</v>
      </c>
      <c r="K136" s="10" t="s">
        <v>695</v>
      </c>
      <c r="L136" s="10" t="s">
        <v>653</v>
      </c>
      <c r="M136" s="10" t="s">
        <v>716</v>
      </c>
      <c r="P136" s="27" t="s">
        <v>653</v>
      </c>
      <c r="Q136" s="27" t="s">
        <v>654</v>
      </c>
    </row>
    <row r="137" spans="9:17" ht="15" x14ac:dyDescent="0.25">
      <c r="I137" s="10" t="s">
        <v>722</v>
      </c>
      <c r="K137" s="10" t="s">
        <v>696</v>
      </c>
      <c r="L137" s="10" t="s">
        <v>656</v>
      </c>
      <c r="M137" s="10" t="s">
        <v>718</v>
      </c>
      <c r="P137" s="27" t="s">
        <v>656</v>
      </c>
      <c r="Q137" s="27" t="s">
        <v>657</v>
      </c>
    </row>
    <row r="138" spans="9:17" ht="54.95" hidden="1" customHeight="1" x14ac:dyDescent="0.25">
      <c r="I138" s="10" t="s">
        <v>650</v>
      </c>
      <c r="K138" s="10" t="s">
        <v>670</v>
      </c>
      <c r="L138" s="10" t="s">
        <v>660</v>
      </c>
      <c r="M138" s="10" t="s">
        <v>716</v>
      </c>
      <c r="P138" s="27" t="s">
        <v>660</v>
      </c>
      <c r="Q138" s="27" t="s">
        <v>661</v>
      </c>
    </row>
    <row r="139" spans="9:17" ht="54.95" hidden="1" customHeight="1" x14ac:dyDescent="0.25">
      <c r="I139" s="10" t="s">
        <v>650</v>
      </c>
      <c r="K139" s="10" t="s">
        <v>671</v>
      </c>
      <c r="L139" s="10" t="s">
        <v>667</v>
      </c>
      <c r="M139" s="10" t="s">
        <v>718</v>
      </c>
      <c r="P139" s="27" t="s">
        <v>667</v>
      </c>
      <c r="Q139" s="1" t="s">
        <v>672</v>
      </c>
    </row>
    <row r="140" spans="9:17" ht="54.95" hidden="1" customHeight="1" x14ac:dyDescent="0.25">
      <c r="I140" s="10" t="s">
        <v>650</v>
      </c>
      <c r="K140" s="10" t="s">
        <v>675</v>
      </c>
      <c r="L140" s="10" t="s">
        <v>674</v>
      </c>
      <c r="M140" s="10" t="s">
        <v>718</v>
      </c>
      <c r="P140" s="27" t="s">
        <v>674</v>
      </c>
      <c r="Q140" s="1" t="s">
        <v>694</v>
      </c>
    </row>
    <row r="141" spans="9:17" ht="54.95" hidden="1" customHeight="1" x14ac:dyDescent="0.25">
      <c r="I141" s="10" t="s">
        <v>650</v>
      </c>
      <c r="K141" s="10" t="s">
        <v>689</v>
      </c>
      <c r="L141" s="10" t="s">
        <v>688</v>
      </c>
      <c r="P141" s="27" t="s">
        <v>688</v>
      </c>
      <c r="Q141" s="1" t="s">
        <v>690</v>
      </c>
    </row>
    <row r="142" spans="9:17" ht="15" hidden="1" customHeight="1" x14ac:dyDescent="0.25">
      <c r="I142" s="10" t="s">
        <v>650</v>
      </c>
      <c r="K142" s="10" t="s">
        <v>693</v>
      </c>
      <c r="L142" s="10" t="s">
        <v>691</v>
      </c>
      <c r="M142" s="10" t="s">
        <v>718</v>
      </c>
      <c r="P142" s="30" t="s">
        <v>691</v>
      </c>
      <c r="Q142" s="27" t="s">
        <v>692</v>
      </c>
    </row>
  </sheetData>
  <autoFilter ref="A1:Q142">
    <filterColumn colId="8">
      <filters>
        <filter val="VR11,VR24,VR25,VR35"/>
        <filter val="VR11,VR38,VR24,VR25,VR35"/>
      </filters>
    </filterColumn>
  </autoFilter>
  <mergeCells count="3">
    <mergeCell ref="Q2:Q6"/>
    <mergeCell ref="A2:A6"/>
    <mergeCell ref="B2:B6"/>
  </mergeCells>
  <hyperlinks>
    <hyperlink ref="F91" r:id="rId1"/>
    <hyperlink ref="Q92" r:id="rId2"/>
    <hyperlink ref="Q95" r:id="rId3"/>
    <hyperlink ref="Q101" r:id="rId4"/>
  </hyperlinks>
  <pageMargins left="0.25" right="0.25" top="0.75" bottom="0.75" header="0.3" footer="0.3"/>
  <pageSetup scale="42" fitToHeight="0" orientation="landscape" r:id="rId5"/>
  <colBreaks count="1" manualBreakCount="1">
    <brk id="17" max="1048575" man="1"/>
  </colBreaks>
  <customProperties>
    <customPr name="Guid" r:id="rId6"/>
  </customProperties>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07"/>
  <sheetViews>
    <sheetView zoomScaleNormal="100" workbookViewId="0">
      <pane xSplit="4" ySplit="1" topLeftCell="G34" activePane="bottomRight" state="frozen"/>
      <selection pane="topRight" activeCell="E1" sqref="E1"/>
      <selection pane="bottomLeft" activeCell="A2" sqref="A2"/>
      <selection pane="bottomRight" activeCell="E34" sqref="E34:G34"/>
    </sheetView>
  </sheetViews>
  <sheetFormatPr defaultColWidth="9.140625" defaultRowHeight="15" x14ac:dyDescent="0.25"/>
  <cols>
    <col min="1" max="1" width="20.5703125" style="107" customWidth="1"/>
    <col min="2" max="2" width="22.28515625" style="102" customWidth="1"/>
    <col min="3" max="3" width="55.5703125" style="102" customWidth="1"/>
    <col min="4" max="4" width="19" style="102" customWidth="1"/>
    <col min="5" max="5" width="74.7109375" style="106" customWidth="1"/>
    <col min="6" max="6" width="45.42578125" style="106" customWidth="1"/>
    <col min="7" max="7" width="50.85546875" style="106" customWidth="1"/>
    <col min="8" max="8" width="32.85546875" style="102" customWidth="1"/>
    <col min="9" max="9" width="17.5703125" style="102" customWidth="1"/>
    <col min="10" max="10" width="48.140625" style="133" customWidth="1"/>
    <col min="11" max="11" width="19.7109375" customWidth="1"/>
    <col min="12" max="12" width="62" style="102" customWidth="1"/>
    <col min="13" max="13" width="48.140625" style="133" customWidth="1"/>
    <col min="14" max="14" width="19" style="102" customWidth="1"/>
    <col min="15" max="15" width="68.7109375" style="108" customWidth="1"/>
    <col min="16" max="16" width="20" style="133" customWidth="1"/>
    <col min="17" max="16384" width="9.140625" style="133"/>
  </cols>
  <sheetData>
    <row r="1" spans="1:15" x14ac:dyDescent="0.25">
      <c r="A1" s="82" t="s">
        <v>377</v>
      </c>
      <c r="B1" s="83" t="s">
        <v>731</v>
      </c>
      <c r="C1" s="83" t="s">
        <v>1542</v>
      </c>
      <c r="D1" s="83" t="s">
        <v>733</v>
      </c>
      <c r="E1" s="84" t="s">
        <v>734</v>
      </c>
      <c r="F1" s="84" t="s">
        <v>736</v>
      </c>
      <c r="G1" s="84" t="s">
        <v>735</v>
      </c>
      <c r="H1" s="83" t="s">
        <v>737</v>
      </c>
      <c r="I1" s="83" t="s">
        <v>738</v>
      </c>
      <c r="J1" s="83" t="s">
        <v>739</v>
      </c>
      <c r="K1" s="134" t="s">
        <v>837</v>
      </c>
      <c r="L1" s="216" t="s">
        <v>2315</v>
      </c>
      <c r="M1" s="83"/>
      <c r="N1" s="133"/>
      <c r="O1" s="133"/>
    </row>
    <row r="2" spans="1:15" ht="135" x14ac:dyDescent="0.25">
      <c r="A2" s="99" t="s">
        <v>1912</v>
      </c>
      <c r="B2" s="42" t="s">
        <v>955</v>
      </c>
      <c r="C2" s="42" t="s">
        <v>2390</v>
      </c>
      <c r="D2" s="42" t="s">
        <v>758</v>
      </c>
      <c r="E2" s="42" t="s">
        <v>1194</v>
      </c>
      <c r="F2" s="62" t="s">
        <v>1190</v>
      </c>
      <c r="G2" s="62" t="s">
        <v>985</v>
      </c>
      <c r="H2" s="42"/>
      <c r="I2" s="42"/>
      <c r="J2" s="42" t="s">
        <v>1001</v>
      </c>
      <c r="K2" s="135"/>
      <c r="L2" s="220" t="s">
        <v>2317</v>
      </c>
      <c r="M2" s="42"/>
      <c r="N2" s="133"/>
      <c r="O2" s="133"/>
    </row>
    <row r="3" spans="1:15" ht="135" x14ac:dyDescent="0.25">
      <c r="A3" s="99" t="s">
        <v>1912</v>
      </c>
      <c r="B3" s="42" t="s">
        <v>1177</v>
      </c>
      <c r="C3" s="42" t="s">
        <v>1599</v>
      </c>
      <c r="D3" s="42" t="s">
        <v>758</v>
      </c>
      <c r="E3" s="42" t="s">
        <v>1543</v>
      </c>
      <c r="F3" s="42" t="s">
        <v>1544</v>
      </c>
      <c r="G3" s="42" t="s">
        <v>1545</v>
      </c>
      <c r="H3" s="42"/>
      <c r="I3" s="42"/>
      <c r="J3" s="42"/>
      <c r="K3" s="135"/>
      <c r="L3" s="220" t="s">
        <v>2316</v>
      </c>
      <c r="M3" s="42"/>
      <c r="N3" s="133"/>
      <c r="O3" s="133"/>
    </row>
    <row r="4" spans="1:15" ht="135" x14ac:dyDescent="0.25">
      <c r="A4" s="99" t="s">
        <v>1913</v>
      </c>
      <c r="B4" s="86" t="s">
        <v>901</v>
      </c>
      <c r="C4" s="42" t="s">
        <v>1600</v>
      </c>
      <c r="D4" s="42" t="s">
        <v>758</v>
      </c>
      <c r="E4" s="62" t="s">
        <v>1500</v>
      </c>
      <c r="F4" s="62" t="s">
        <v>1501</v>
      </c>
      <c r="G4" s="62" t="s">
        <v>1502</v>
      </c>
      <c r="H4" s="42"/>
      <c r="I4" s="42"/>
      <c r="J4" s="42" t="s">
        <v>1002</v>
      </c>
      <c r="K4" s="135"/>
      <c r="L4" s="217" t="s">
        <v>2318</v>
      </c>
      <c r="M4" s="42"/>
      <c r="N4" s="133"/>
      <c r="O4" s="133"/>
    </row>
    <row r="5" spans="1:15" s="102" customFormat="1" ht="135" x14ac:dyDescent="0.25">
      <c r="A5" s="100" t="s">
        <v>1914</v>
      </c>
      <c r="B5" s="42" t="s">
        <v>748</v>
      </c>
      <c r="C5" s="42" t="s">
        <v>2272</v>
      </c>
      <c r="D5" s="42" t="s">
        <v>758</v>
      </c>
      <c r="E5" s="62" t="s">
        <v>2368</v>
      </c>
      <c r="F5" s="62" t="s">
        <v>2369</v>
      </c>
      <c r="G5" s="62" t="s">
        <v>2370</v>
      </c>
      <c r="H5" s="42"/>
      <c r="I5" s="42"/>
      <c r="J5" s="109" t="s">
        <v>1405</v>
      </c>
      <c r="K5" s="135"/>
      <c r="L5" s="136" t="s">
        <v>2341</v>
      </c>
      <c r="M5" s="42"/>
    </row>
    <row r="6" spans="1:15" s="102" customFormat="1" ht="135" x14ac:dyDescent="0.25">
      <c r="A6" s="100" t="s">
        <v>1914</v>
      </c>
      <c r="B6" s="42" t="s">
        <v>749</v>
      </c>
      <c r="C6" s="42" t="s">
        <v>2272</v>
      </c>
      <c r="D6" s="42" t="s">
        <v>758</v>
      </c>
      <c r="E6" s="62" t="s">
        <v>2365</v>
      </c>
      <c r="F6" s="62" t="s">
        <v>2366</v>
      </c>
      <c r="G6" s="62" t="s">
        <v>2367</v>
      </c>
      <c r="H6" s="42"/>
      <c r="I6" s="42"/>
      <c r="J6" s="109" t="s">
        <v>760</v>
      </c>
      <c r="K6" s="135"/>
      <c r="L6" s="136" t="s">
        <v>2341</v>
      </c>
      <c r="M6" s="42"/>
    </row>
    <row r="7" spans="1:15" s="102" customFormat="1" ht="135" x14ac:dyDescent="0.25">
      <c r="A7" s="100" t="s">
        <v>1914</v>
      </c>
      <c r="B7" s="42" t="s">
        <v>750</v>
      </c>
      <c r="C7" s="42" t="s">
        <v>2272</v>
      </c>
      <c r="D7" s="42" t="s">
        <v>758</v>
      </c>
      <c r="E7" s="62" t="s">
        <v>2362</v>
      </c>
      <c r="F7" s="62" t="s">
        <v>2363</v>
      </c>
      <c r="G7" s="62" t="s">
        <v>2364</v>
      </c>
      <c r="H7" s="42"/>
      <c r="I7" s="42"/>
      <c r="J7" s="109" t="s">
        <v>760</v>
      </c>
      <c r="K7" s="135"/>
      <c r="L7" s="136" t="s">
        <v>2341</v>
      </c>
      <c r="M7" s="42"/>
    </row>
    <row r="8" spans="1:15" s="102" customFormat="1" ht="135" x14ac:dyDescent="0.25">
      <c r="A8" s="100" t="s">
        <v>1914</v>
      </c>
      <c r="B8" s="42" t="s">
        <v>751</v>
      </c>
      <c r="C8" s="42" t="s">
        <v>2272</v>
      </c>
      <c r="D8" s="42" t="s">
        <v>758</v>
      </c>
      <c r="E8" s="62" t="s">
        <v>2362</v>
      </c>
      <c r="F8" s="62" t="s">
        <v>2363</v>
      </c>
      <c r="G8" s="62" t="s">
        <v>2364</v>
      </c>
      <c r="H8" s="42"/>
      <c r="I8" s="42"/>
      <c r="J8" s="109" t="s">
        <v>760</v>
      </c>
      <c r="K8" s="135"/>
      <c r="L8" s="136" t="s">
        <v>2341</v>
      </c>
      <c r="M8" s="42"/>
    </row>
    <row r="9" spans="1:15" s="102" customFormat="1" ht="135" x14ac:dyDescent="0.25">
      <c r="A9" s="100" t="s">
        <v>1914</v>
      </c>
      <c r="B9" s="42" t="s">
        <v>752</v>
      </c>
      <c r="C9" s="42" t="s">
        <v>2272</v>
      </c>
      <c r="D9" s="42" t="s">
        <v>758</v>
      </c>
      <c r="E9" s="62" t="s">
        <v>2362</v>
      </c>
      <c r="F9" s="62" t="s">
        <v>2363</v>
      </c>
      <c r="G9" s="62" t="s">
        <v>2364</v>
      </c>
      <c r="H9" s="42"/>
      <c r="I9" s="42"/>
      <c r="J9" s="109" t="s">
        <v>760</v>
      </c>
      <c r="K9" s="135"/>
      <c r="L9" s="136" t="s">
        <v>2341</v>
      </c>
      <c r="M9" s="42"/>
    </row>
    <row r="10" spans="1:15" s="102" customFormat="1" ht="135" x14ac:dyDescent="0.25">
      <c r="A10" s="100" t="s">
        <v>1914</v>
      </c>
      <c r="B10" s="42" t="s">
        <v>753</v>
      </c>
      <c r="C10" s="42" t="s">
        <v>2272</v>
      </c>
      <c r="D10" s="42" t="s">
        <v>758</v>
      </c>
      <c r="E10" s="62" t="s">
        <v>2362</v>
      </c>
      <c r="F10" s="62" t="s">
        <v>2363</v>
      </c>
      <c r="G10" s="62" t="s">
        <v>2364</v>
      </c>
      <c r="H10" s="42"/>
      <c r="I10" s="42"/>
      <c r="J10" s="109" t="s">
        <v>760</v>
      </c>
      <c r="K10" s="135"/>
      <c r="L10" s="136" t="s">
        <v>2341</v>
      </c>
      <c r="M10" s="42"/>
    </row>
    <row r="11" spans="1:15" s="102" customFormat="1" ht="135" x14ac:dyDescent="0.25">
      <c r="A11" s="100" t="s">
        <v>1914</v>
      </c>
      <c r="B11" s="42" t="s">
        <v>754</v>
      </c>
      <c r="C11" s="42" t="s">
        <v>2272</v>
      </c>
      <c r="D11" s="42" t="s">
        <v>758</v>
      </c>
      <c r="E11" s="62" t="s">
        <v>2362</v>
      </c>
      <c r="F11" s="62" t="s">
        <v>2363</v>
      </c>
      <c r="G11" s="62" t="s">
        <v>2364</v>
      </c>
      <c r="H11" s="42"/>
      <c r="I11" s="42"/>
      <c r="J11" s="109" t="s">
        <v>760</v>
      </c>
      <c r="K11" s="135"/>
      <c r="L11" s="136" t="s">
        <v>2341</v>
      </c>
      <c r="M11" s="42"/>
    </row>
    <row r="12" spans="1:15" s="102" customFormat="1" ht="135" x14ac:dyDescent="0.25">
      <c r="A12" s="100" t="s">
        <v>1914</v>
      </c>
      <c r="B12" s="42" t="s">
        <v>755</v>
      </c>
      <c r="C12" s="42" t="s">
        <v>2272</v>
      </c>
      <c r="D12" s="42" t="s">
        <v>758</v>
      </c>
      <c r="E12" s="62" t="s">
        <v>2362</v>
      </c>
      <c r="F12" s="62" t="s">
        <v>2363</v>
      </c>
      <c r="G12" s="62" t="s">
        <v>2364</v>
      </c>
      <c r="H12" s="42"/>
      <c r="I12" s="42"/>
      <c r="J12" s="109" t="s">
        <v>760</v>
      </c>
      <c r="K12" s="135"/>
      <c r="L12" s="136" t="s">
        <v>2341</v>
      </c>
      <c r="M12" s="42"/>
    </row>
    <row r="13" spans="1:15" s="102" customFormat="1" ht="135" x14ac:dyDescent="0.25">
      <c r="A13" s="100" t="s">
        <v>1914</v>
      </c>
      <c r="B13" s="42" t="s">
        <v>756</v>
      </c>
      <c r="C13" s="42" t="s">
        <v>2272</v>
      </c>
      <c r="D13" s="42" t="s">
        <v>758</v>
      </c>
      <c r="E13" s="62" t="s">
        <v>2362</v>
      </c>
      <c r="F13" s="62" t="s">
        <v>2363</v>
      </c>
      <c r="G13" s="62" t="s">
        <v>2364</v>
      </c>
      <c r="H13" s="42"/>
      <c r="I13" s="42"/>
      <c r="J13" s="109" t="s">
        <v>760</v>
      </c>
      <c r="K13" s="135"/>
      <c r="L13" s="136" t="s">
        <v>2341</v>
      </c>
      <c r="M13" s="42"/>
    </row>
    <row r="14" spans="1:15" s="102" customFormat="1" ht="135" x14ac:dyDescent="0.25">
      <c r="A14" s="100" t="s">
        <v>1914</v>
      </c>
      <c r="B14" s="42" t="s">
        <v>757</v>
      </c>
      <c r="C14" s="42" t="s">
        <v>2272</v>
      </c>
      <c r="D14" s="42" t="s">
        <v>758</v>
      </c>
      <c r="E14" s="62" t="s">
        <v>2362</v>
      </c>
      <c r="F14" s="62" t="s">
        <v>2363</v>
      </c>
      <c r="G14" s="62" t="s">
        <v>2364</v>
      </c>
      <c r="H14" s="42"/>
      <c r="I14" s="42"/>
      <c r="J14" s="109" t="s">
        <v>760</v>
      </c>
      <c r="K14" s="135"/>
      <c r="L14" s="136" t="s">
        <v>2341</v>
      </c>
      <c r="M14" s="42"/>
    </row>
    <row r="15" spans="1:15" s="102" customFormat="1" ht="135" x14ac:dyDescent="0.25">
      <c r="A15" s="100" t="s">
        <v>1914</v>
      </c>
      <c r="B15" s="42" t="s">
        <v>726</v>
      </c>
      <c r="C15" s="42" t="s">
        <v>2391</v>
      </c>
      <c r="D15" s="42" t="s">
        <v>763</v>
      </c>
      <c r="E15" s="62" t="s">
        <v>2251</v>
      </c>
      <c r="F15" s="62" t="s">
        <v>2120</v>
      </c>
      <c r="G15" s="62" t="s">
        <v>2121</v>
      </c>
      <c r="H15" s="42"/>
      <c r="I15" s="42" t="s">
        <v>821</v>
      </c>
      <c r="J15" s="109" t="s">
        <v>761</v>
      </c>
      <c r="K15" s="135"/>
      <c r="L15" s="136" t="s">
        <v>2319</v>
      </c>
      <c r="M15" s="42"/>
    </row>
    <row r="16" spans="1:15" s="102" customFormat="1" ht="135" x14ac:dyDescent="0.25">
      <c r="A16" s="100" t="s">
        <v>1914</v>
      </c>
      <c r="B16" s="42" t="s">
        <v>741</v>
      </c>
      <c r="C16" s="42" t="s">
        <v>2392</v>
      </c>
      <c r="D16" s="42" t="s">
        <v>763</v>
      </c>
      <c r="E16" s="62" t="s">
        <v>2251</v>
      </c>
      <c r="F16" s="62" t="s">
        <v>2120</v>
      </c>
      <c r="G16" s="62" t="s">
        <v>2121</v>
      </c>
      <c r="H16" s="42"/>
      <c r="I16" s="42"/>
      <c r="J16" s="42"/>
      <c r="K16" s="135"/>
      <c r="L16" s="136" t="s">
        <v>2319</v>
      </c>
      <c r="M16" s="42"/>
    </row>
    <row r="17" spans="1:13" s="102" customFormat="1" ht="135" x14ac:dyDescent="0.25">
      <c r="A17" s="100" t="s">
        <v>1914</v>
      </c>
      <c r="B17" s="48" t="s">
        <v>1844</v>
      </c>
      <c r="C17" s="42" t="s">
        <v>2393</v>
      </c>
      <c r="D17" s="42"/>
      <c r="E17" s="62" t="s">
        <v>1342</v>
      </c>
      <c r="F17" s="62" t="s">
        <v>1343</v>
      </c>
      <c r="G17" s="62" t="s">
        <v>1344</v>
      </c>
      <c r="H17" s="42"/>
      <c r="I17" s="42"/>
      <c r="J17" s="109" t="s">
        <v>1189</v>
      </c>
      <c r="K17" s="135"/>
      <c r="L17" s="136" t="s">
        <v>2320</v>
      </c>
      <c r="M17" s="42"/>
    </row>
    <row r="18" spans="1:13" s="102" customFormat="1" ht="135" x14ac:dyDescent="0.25">
      <c r="A18" s="100" t="s">
        <v>1914</v>
      </c>
      <c r="B18" s="48" t="s">
        <v>1845</v>
      </c>
      <c r="C18" s="42" t="s">
        <v>2394</v>
      </c>
      <c r="D18" s="42"/>
      <c r="E18" s="62" t="s">
        <v>1345</v>
      </c>
      <c r="F18" s="62" t="s">
        <v>1346</v>
      </c>
      <c r="G18" s="62" t="s">
        <v>1347</v>
      </c>
      <c r="H18" s="42"/>
      <c r="I18" s="42"/>
      <c r="J18" s="109" t="s">
        <v>1189</v>
      </c>
      <c r="K18" s="135"/>
      <c r="L18" s="136" t="s">
        <v>2320</v>
      </c>
      <c r="M18" s="42"/>
    </row>
    <row r="19" spans="1:13" s="102" customFormat="1" ht="135" x14ac:dyDescent="0.25">
      <c r="A19" s="100" t="s">
        <v>1914</v>
      </c>
      <c r="B19" s="42" t="s">
        <v>644</v>
      </c>
      <c r="C19" s="42" t="s">
        <v>1846</v>
      </c>
      <c r="D19" s="42" t="s">
        <v>716</v>
      </c>
      <c r="E19" s="62" t="s">
        <v>1420</v>
      </c>
      <c r="F19" s="62" t="s">
        <v>1421</v>
      </c>
      <c r="G19" s="62" t="s">
        <v>1422</v>
      </c>
      <c r="H19" s="42"/>
      <c r="I19" s="42"/>
      <c r="J19" s="109" t="s">
        <v>881</v>
      </c>
      <c r="K19" s="135"/>
      <c r="L19" s="136" t="s">
        <v>2320</v>
      </c>
      <c r="M19" s="42"/>
    </row>
    <row r="20" spans="1:13" s="102" customFormat="1" ht="135" x14ac:dyDescent="0.25">
      <c r="A20" s="100" t="s">
        <v>1914</v>
      </c>
      <c r="B20" s="42" t="s">
        <v>744</v>
      </c>
      <c r="C20" s="42" t="s">
        <v>1847</v>
      </c>
      <c r="D20" s="42" t="s">
        <v>758</v>
      </c>
      <c r="E20" s="64" t="s">
        <v>970</v>
      </c>
      <c r="F20" s="64" t="s">
        <v>969</v>
      </c>
      <c r="G20" s="64" t="s">
        <v>968</v>
      </c>
      <c r="H20" s="42"/>
      <c r="I20" s="42"/>
      <c r="J20" s="109" t="s">
        <v>816</v>
      </c>
      <c r="K20" s="135"/>
      <c r="L20" s="136" t="s">
        <v>2323</v>
      </c>
      <c r="M20" s="42"/>
    </row>
    <row r="21" spans="1:13" s="102" customFormat="1" ht="135" x14ac:dyDescent="0.25">
      <c r="A21" s="100" t="s">
        <v>1915</v>
      </c>
      <c r="B21" s="86" t="s">
        <v>17</v>
      </c>
      <c r="C21" s="42" t="s">
        <v>1643</v>
      </c>
      <c r="D21" s="42" t="s">
        <v>758</v>
      </c>
      <c r="E21" s="62" t="s">
        <v>403</v>
      </c>
      <c r="F21" s="62" t="s">
        <v>338</v>
      </c>
      <c r="G21" s="62" t="s">
        <v>228</v>
      </c>
      <c r="H21" s="42"/>
      <c r="I21" s="42"/>
      <c r="J21" s="109" t="s">
        <v>817</v>
      </c>
      <c r="K21" s="135"/>
      <c r="L21" s="136" t="s">
        <v>2322</v>
      </c>
      <c r="M21" s="42"/>
    </row>
    <row r="22" spans="1:13" s="102" customFormat="1" ht="135" x14ac:dyDescent="0.25">
      <c r="A22" s="100" t="s">
        <v>1914</v>
      </c>
      <c r="B22" s="42" t="s">
        <v>113</v>
      </c>
      <c r="C22" s="42" t="s">
        <v>1644</v>
      </c>
      <c r="D22" s="42" t="s">
        <v>758</v>
      </c>
      <c r="E22" s="62" t="s">
        <v>404</v>
      </c>
      <c r="F22" s="62" t="s">
        <v>339</v>
      </c>
      <c r="G22" s="62" t="s">
        <v>229</v>
      </c>
      <c r="H22" s="42"/>
      <c r="I22" s="42"/>
      <c r="J22" s="109" t="s">
        <v>818</v>
      </c>
      <c r="K22" s="135"/>
      <c r="L22" s="136" t="s">
        <v>2322</v>
      </c>
      <c r="M22" s="42"/>
    </row>
    <row r="23" spans="1:13" s="102" customFormat="1" ht="135" x14ac:dyDescent="0.25">
      <c r="A23" s="100" t="s">
        <v>1916</v>
      </c>
      <c r="B23" s="86" t="s">
        <v>116</v>
      </c>
      <c r="C23" s="42" t="s">
        <v>1838</v>
      </c>
      <c r="D23" s="42" t="s">
        <v>758</v>
      </c>
      <c r="E23" s="72" t="s">
        <v>442</v>
      </c>
      <c r="F23" s="62" t="s">
        <v>411</v>
      </c>
      <c r="G23" s="62" t="s">
        <v>236</v>
      </c>
      <c r="H23" s="42"/>
      <c r="I23" s="42"/>
      <c r="J23" s="109" t="s">
        <v>815</v>
      </c>
      <c r="K23" s="135"/>
      <c r="L23" s="136" t="s">
        <v>2322</v>
      </c>
      <c r="M23" s="42"/>
    </row>
    <row r="24" spans="1:13" s="102" customFormat="1" ht="180" x14ac:dyDescent="0.25">
      <c r="A24" s="100" t="s">
        <v>1915</v>
      </c>
      <c r="B24" s="86" t="s">
        <v>1529</v>
      </c>
      <c r="C24" s="42" t="s">
        <v>1645</v>
      </c>
      <c r="D24" s="42" t="s">
        <v>763</v>
      </c>
      <c r="E24" s="73" t="s">
        <v>443</v>
      </c>
      <c r="F24" s="62" t="s">
        <v>347</v>
      </c>
      <c r="G24" s="62" t="s">
        <v>237</v>
      </c>
      <c r="H24" s="42"/>
      <c r="I24" s="42" t="s">
        <v>819</v>
      </c>
      <c r="J24" s="109" t="s">
        <v>1252</v>
      </c>
      <c r="K24" s="135"/>
      <c r="L24" s="136" t="s">
        <v>2324</v>
      </c>
      <c r="M24" s="42"/>
    </row>
    <row r="25" spans="1:13" s="102" customFormat="1" ht="135" x14ac:dyDescent="0.25">
      <c r="A25" s="100" t="s">
        <v>1914</v>
      </c>
      <c r="B25" s="42" t="s">
        <v>114</v>
      </c>
      <c r="C25" s="42" t="s">
        <v>1646</v>
      </c>
      <c r="D25" s="42" t="s">
        <v>758</v>
      </c>
      <c r="E25" s="62" t="s">
        <v>405</v>
      </c>
      <c r="F25" s="62" t="s">
        <v>340</v>
      </c>
      <c r="G25" s="62" t="s">
        <v>230</v>
      </c>
      <c r="H25" s="42"/>
      <c r="I25" s="42"/>
      <c r="J25" s="109" t="s">
        <v>820</v>
      </c>
      <c r="K25" s="135"/>
      <c r="L25" s="136" t="s">
        <v>2322</v>
      </c>
      <c r="M25" s="42"/>
    </row>
    <row r="26" spans="1:13" s="102" customFormat="1" ht="135" x14ac:dyDescent="0.25">
      <c r="A26" s="100" t="s">
        <v>1914</v>
      </c>
      <c r="B26" s="42" t="s">
        <v>803</v>
      </c>
      <c r="C26" s="42" t="s">
        <v>1647</v>
      </c>
      <c r="D26" s="42" t="s">
        <v>758</v>
      </c>
      <c r="E26" s="62" t="s">
        <v>406</v>
      </c>
      <c r="F26" s="64" t="s">
        <v>385</v>
      </c>
      <c r="G26" s="62" t="s">
        <v>231</v>
      </c>
      <c r="H26" s="42"/>
      <c r="I26" s="42"/>
      <c r="J26" s="109" t="s">
        <v>824</v>
      </c>
      <c r="K26" s="135"/>
      <c r="L26" s="136" t="s">
        <v>2322</v>
      </c>
      <c r="M26" s="42"/>
    </row>
    <row r="27" spans="1:13" s="102" customFormat="1" ht="135" x14ac:dyDescent="0.25">
      <c r="A27" s="100" t="s">
        <v>1914</v>
      </c>
      <c r="B27" s="42" t="s">
        <v>804</v>
      </c>
      <c r="C27" s="42" t="s">
        <v>1648</v>
      </c>
      <c r="D27" s="42" t="s">
        <v>758</v>
      </c>
      <c r="E27" s="65" t="s">
        <v>407</v>
      </c>
      <c r="F27" s="71" t="s">
        <v>390</v>
      </c>
      <c r="G27" s="65" t="s">
        <v>389</v>
      </c>
      <c r="H27" s="42"/>
      <c r="I27" s="42"/>
      <c r="J27" s="109" t="s">
        <v>825</v>
      </c>
      <c r="K27" s="135"/>
      <c r="L27" s="136" t="s">
        <v>2322</v>
      </c>
      <c r="M27" s="42"/>
    </row>
    <row r="28" spans="1:13" s="102" customFormat="1" ht="135" x14ac:dyDescent="0.25">
      <c r="A28" s="100" t="s">
        <v>1914</v>
      </c>
      <c r="B28" s="42" t="s">
        <v>120</v>
      </c>
      <c r="C28" s="42" t="s">
        <v>1649</v>
      </c>
      <c r="D28" s="42" t="s">
        <v>758</v>
      </c>
      <c r="E28" s="62" t="s">
        <v>408</v>
      </c>
      <c r="F28" s="62" t="s">
        <v>341</v>
      </c>
      <c r="G28" s="62" t="s">
        <v>232</v>
      </c>
      <c r="H28" s="42"/>
      <c r="I28" s="42" t="s">
        <v>827</v>
      </c>
      <c r="J28" s="109" t="s">
        <v>826</v>
      </c>
      <c r="K28" s="135"/>
      <c r="L28" s="136" t="s">
        <v>2322</v>
      </c>
      <c r="M28" s="42"/>
    </row>
    <row r="29" spans="1:13" s="102" customFormat="1" ht="135" x14ac:dyDescent="0.25">
      <c r="A29" s="100" t="s">
        <v>1914</v>
      </c>
      <c r="B29" s="42" t="s">
        <v>121</v>
      </c>
      <c r="C29" s="42" t="s">
        <v>1650</v>
      </c>
      <c r="D29" s="42" t="s">
        <v>758</v>
      </c>
      <c r="E29" s="62" t="s">
        <v>409</v>
      </c>
      <c r="F29" s="62" t="s">
        <v>342</v>
      </c>
      <c r="G29" s="62" t="s">
        <v>233</v>
      </c>
      <c r="H29" s="42"/>
      <c r="I29" s="42"/>
      <c r="J29" s="109" t="s">
        <v>846</v>
      </c>
      <c r="K29" s="135" t="s">
        <v>840</v>
      </c>
      <c r="L29" s="136" t="s">
        <v>2322</v>
      </c>
      <c r="M29" s="42"/>
    </row>
    <row r="30" spans="1:13" s="102" customFormat="1" ht="409.5" x14ac:dyDescent="0.25">
      <c r="A30" s="100" t="s">
        <v>1917</v>
      </c>
      <c r="B30" s="86" t="s">
        <v>996</v>
      </c>
      <c r="C30" s="42" t="s">
        <v>2279</v>
      </c>
      <c r="D30" s="42" t="s">
        <v>758</v>
      </c>
      <c r="E30" s="74" t="s">
        <v>957</v>
      </c>
      <c r="F30" s="64" t="s">
        <v>958</v>
      </c>
      <c r="G30" s="66" t="s">
        <v>959</v>
      </c>
      <c r="H30" s="42"/>
      <c r="I30" s="42"/>
      <c r="J30" s="109" t="s">
        <v>828</v>
      </c>
      <c r="K30" s="136" t="s">
        <v>841</v>
      </c>
      <c r="L30" s="136" t="s">
        <v>2322</v>
      </c>
      <c r="M30" s="42"/>
    </row>
    <row r="31" spans="1:13" s="102" customFormat="1" ht="135" x14ac:dyDescent="0.25">
      <c r="A31" s="100" t="s">
        <v>1914</v>
      </c>
      <c r="B31" s="42" t="s">
        <v>122</v>
      </c>
      <c r="C31" s="42" t="s">
        <v>1893</v>
      </c>
      <c r="D31" s="42" t="s">
        <v>758</v>
      </c>
      <c r="E31" s="64" t="s">
        <v>2111</v>
      </c>
      <c r="F31" s="64" t="s">
        <v>2112</v>
      </c>
      <c r="G31" s="67" t="s">
        <v>2113</v>
      </c>
      <c r="H31" s="42"/>
      <c r="I31" s="42"/>
      <c r="J31" s="109" t="s">
        <v>831</v>
      </c>
      <c r="K31" s="135"/>
      <c r="L31" s="136" t="s">
        <v>2322</v>
      </c>
      <c r="M31" s="42"/>
    </row>
    <row r="32" spans="1:13" s="102" customFormat="1" ht="120" x14ac:dyDescent="0.25">
      <c r="A32" s="100" t="s">
        <v>1010</v>
      </c>
      <c r="B32" s="42" t="s">
        <v>122</v>
      </c>
      <c r="C32" s="42" t="s">
        <v>1894</v>
      </c>
      <c r="D32" s="42" t="s">
        <v>758</v>
      </c>
      <c r="E32" s="64" t="s">
        <v>2116</v>
      </c>
      <c r="F32" s="64" t="s">
        <v>2115</v>
      </c>
      <c r="G32" s="67" t="s">
        <v>2114</v>
      </c>
      <c r="H32" s="42"/>
      <c r="I32" s="42"/>
      <c r="J32" s="109" t="s">
        <v>831</v>
      </c>
      <c r="K32" s="135"/>
      <c r="L32" s="136" t="s">
        <v>2322</v>
      </c>
      <c r="M32" s="42"/>
    </row>
    <row r="33" spans="1:13" s="102" customFormat="1" ht="120" x14ac:dyDescent="0.25">
      <c r="A33" s="100" t="s">
        <v>1046</v>
      </c>
      <c r="B33" s="86" t="s">
        <v>997</v>
      </c>
      <c r="C33" s="42" t="s">
        <v>1848</v>
      </c>
      <c r="D33" s="42" t="s">
        <v>758</v>
      </c>
      <c r="E33" s="62" t="s">
        <v>963</v>
      </c>
      <c r="F33" s="62" t="s">
        <v>964</v>
      </c>
      <c r="G33" s="62" t="s">
        <v>965</v>
      </c>
      <c r="H33" s="42"/>
      <c r="I33" s="42"/>
      <c r="J33" s="109" t="s">
        <v>832</v>
      </c>
      <c r="K33" s="135"/>
      <c r="L33" s="136" t="s">
        <v>2322</v>
      </c>
      <c r="M33" s="42"/>
    </row>
    <row r="34" spans="1:13" s="141" customFormat="1" ht="165" x14ac:dyDescent="0.25">
      <c r="A34" s="100" t="s">
        <v>1914</v>
      </c>
      <c r="B34" s="94" t="s">
        <v>1006</v>
      </c>
      <c r="C34" s="54" t="s">
        <v>2274</v>
      </c>
      <c r="D34" s="54" t="s">
        <v>834</v>
      </c>
      <c r="E34" s="75" t="s">
        <v>419</v>
      </c>
      <c r="F34" s="62" t="s">
        <v>155</v>
      </c>
      <c r="G34" s="62" t="s">
        <v>418</v>
      </c>
      <c r="H34" s="54"/>
      <c r="I34" s="54"/>
      <c r="J34" s="55" t="s">
        <v>835</v>
      </c>
      <c r="K34" s="137" t="s">
        <v>839</v>
      </c>
      <c r="L34" s="136" t="s">
        <v>2325</v>
      </c>
      <c r="M34" s="54"/>
    </row>
    <row r="35" spans="1:13" s="102" customFormat="1" ht="135" x14ac:dyDescent="0.25">
      <c r="A35" s="100" t="s">
        <v>1914</v>
      </c>
      <c r="B35" s="42" t="s">
        <v>806</v>
      </c>
      <c r="C35" s="42" t="s">
        <v>1652</v>
      </c>
      <c r="D35" s="42" t="s">
        <v>758</v>
      </c>
      <c r="E35" s="76" t="s">
        <v>1477</v>
      </c>
      <c r="F35" s="64" t="s">
        <v>966</v>
      </c>
      <c r="G35" s="66" t="s">
        <v>967</v>
      </c>
      <c r="H35" s="42"/>
      <c r="I35" s="42"/>
      <c r="J35" s="109" t="s">
        <v>836</v>
      </c>
      <c r="K35" s="135"/>
      <c r="L35" s="136" t="s">
        <v>2322</v>
      </c>
      <c r="M35" s="42"/>
    </row>
    <row r="36" spans="1:13" s="102" customFormat="1" ht="135" x14ac:dyDescent="0.25">
      <c r="A36" s="100" t="s">
        <v>1914</v>
      </c>
      <c r="B36" s="42" t="s">
        <v>807</v>
      </c>
      <c r="C36" s="42" t="s">
        <v>1653</v>
      </c>
      <c r="D36" s="42" t="s">
        <v>758</v>
      </c>
      <c r="E36" s="76" t="s">
        <v>2360</v>
      </c>
      <c r="F36" s="64" t="s">
        <v>966</v>
      </c>
      <c r="G36" s="66" t="s">
        <v>2361</v>
      </c>
      <c r="H36" s="42"/>
      <c r="I36" s="42"/>
      <c r="J36" s="109" t="s">
        <v>838</v>
      </c>
      <c r="K36" s="135"/>
      <c r="L36" s="136" t="s">
        <v>2325</v>
      </c>
      <c r="M36" s="42"/>
    </row>
    <row r="37" spans="1:13" s="102" customFormat="1" ht="135" x14ac:dyDescent="0.25">
      <c r="A37" s="100" t="s">
        <v>1914</v>
      </c>
      <c r="B37" s="42" t="s">
        <v>125</v>
      </c>
      <c r="C37" s="42" t="s">
        <v>1654</v>
      </c>
      <c r="D37" s="42" t="s">
        <v>758</v>
      </c>
      <c r="E37" s="72" t="s">
        <v>450</v>
      </c>
      <c r="F37" s="68" t="s">
        <v>365</v>
      </c>
      <c r="G37" s="68" t="s">
        <v>239</v>
      </c>
      <c r="H37" s="42"/>
      <c r="I37" s="42"/>
      <c r="J37" s="109" t="s">
        <v>844</v>
      </c>
      <c r="K37" s="135"/>
      <c r="L37" s="136" t="s">
        <v>2322</v>
      </c>
      <c r="M37" s="42"/>
    </row>
    <row r="38" spans="1:13" s="102" customFormat="1" ht="135" x14ac:dyDescent="0.25">
      <c r="A38" s="100" t="s">
        <v>1914</v>
      </c>
      <c r="B38" s="42" t="s">
        <v>890</v>
      </c>
      <c r="C38" s="42" t="s">
        <v>1655</v>
      </c>
      <c r="D38" s="42" t="s">
        <v>758</v>
      </c>
      <c r="E38" s="72" t="s">
        <v>452</v>
      </c>
      <c r="F38" s="68" t="s">
        <v>367</v>
      </c>
      <c r="G38" s="68" t="s">
        <v>241</v>
      </c>
      <c r="H38" s="42"/>
      <c r="I38" s="42"/>
      <c r="J38" s="109" t="s">
        <v>765</v>
      </c>
      <c r="K38" s="135"/>
      <c r="L38" s="136" t="s">
        <v>2322</v>
      </c>
      <c r="M38" s="42"/>
    </row>
    <row r="39" spans="1:13" s="102" customFormat="1" ht="135" x14ac:dyDescent="0.25">
      <c r="A39" s="100" t="s">
        <v>1914</v>
      </c>
      <c r="B39" s="42" t="s">
        <v>891</v>
      </c>
      <c r="C39" s="42" t="s">
        <v>1656</v>
      </c>
      <c r="D39" s="42" t="s">
        <v>758</v>
      </c>
      <c r="E39" s="72" t="s">
        <v>453</v>
      </c>
      <c r="F39" s="68" t="s">
        <v>368</v>
      </c>
      <c r="G39" s="68" t="s">
        <v>242</v>
      </c>
      <c r="H39" s="42"/>
      <c r="I39" s="42"/>
      <c r="J39" s="109"/>
      <c r="K39" s="135"/>
      <c r="L39" s="136" t="s">
        <v>2322</v>
      </c>
      <c r="M39" s="42"/>
    </row>
    <row r="40" spans="1:13" s="102" customFormat="1" ht="135" x14ac:dyDescent="0.25">
      <c r="A40" s="100" t="s">
        <v>1914</v>
      </c>
      <c r="B40" s="42" t="s">
        <v>126</v>
      </c>
      <c r="C40" s="42" t="s">
        <v>1657</v>
      </c>
      <c r="D40" s="42" t="s">
        <v>758</v>
      </c>
      <c r="E40" s="72" t="s">
        <v>451</v>
      </c>
      <c r="F40" s="68" t="s">
        <v>366</v>
      </c>
      <c r="G40" s="68" t="s">
        <v>240</v>
      </c>
      <c r="H40" s="42"/>
      <c r="I40" s="42"/>
      <c r="J40" s="109"/>
      <c r="K40" s="135"/>
      <c r="L40" s="136" t="s">
        <v>2322</v>
      </c>
      <c r="M40" s="42"/>
    </row>
    <row r="41" spans="1:13" s="102" customFormat="1" ht="135" x14ac:dyDescent="0.25">
      <c r="A41" s="100" t="s">
        <v>1914</v>
      </c>
      <c r="B41" s="42" t="s">
        <v>811</v>
      </c>
      <c r="C41" s="42" t="s">
        <v>2275</v>
      </c>
      <c r="D41" s="42" t="s">
        <v>834</v>
      </c>
      <c r="E41" s="191" t="s">
        <v>1506</v>
      </c>
      <c r="F41" s="62" t="s">
        <v>155</v>
      </c>
      <c r="G41" s="64" t="s">
        <v>1507</v>
      </c>
      <c r="H41" s="42"/>
      <c r="I41" s="42"/>
      <c r="J41" s="109" t="s">
        <v>847</v>
      </c>
      <c r="K41" s="135"/>
      <c r="L41" s="136" t="s">
        <v>2325</v>
      </c>
      <c r="M41" s="42"/>
    </row>
    <row r="42" spans="1:13" s="102" customFormat="1" ht="261" customHeight="1" x14ac:dyDescent="0.25">
      <c r="A42" s="100" t="s">
        <v>1914</v>
      </c>
      <c r="B42" s="42" t="s">
        <v>812</v>
      </c>
      <c r="C42" s="42" t="s">
        <v>1658</v>
      </c>
      <c r="D42" s="42" t="s">
        <v>758</v>
      </c>
      <c r="E42" s="76" t="s">
        <v>1508</v>
      </c>
      <c r="F42" s="64" t="s">
        <v>966</v>
      </c>
      <c r="G42" s="66" t="s">
        <v>1509</v>
      </c>
      <c r="H42" s="42"/>
      <c r="I42" s="42"/>
      <c r="J42" s="109" t="s">
        <v>848</v>
      </c>
      <c r="K42" s="135"/>
      <c r="L42" s="136" t="s">
        <v>2322</v>
      </c>
      <c r="M42" s="42"/>
    </row>
    <row r="43" spans="1:13" s="102" customFormat="1" ht="135" x14ac:dyDescent="0.25">
      <c r="A43" s="100" t="s">
        <v>1914</v>
      </c>
      <c r="B43" s="42" t="s">
        <v>130</v>
      </c>
      <c r="C43" s="42" t="s">
        <v>1659</v>
      </c>
      <c r="D43" s="42" t="s">
        <v>758</v>
      </c>
      <c r="E43" s="77" t="s">
        <v>2252</v>
      </c>
      <c r="F43" s="71" t="s">
        <v>300</v>
      </c>
      <c r="G43" s="65" t="s">
        <v>328</v>
      </c>
      <c r="H43" s="42"/>
      <c r="I43" s="42"/>
      <c r="J43" s="109" t="s">
        <v>849</v>
      </c>
      <c r="K43" s="135"/>
      <c r="L43" s="136" t="s">
        <v>2322</v>
      </c>
      <c r="M43" s="42"/>
    </row>
    <row r="44" spans="1:13" s="142" customFormat="1" ht="120" x14ac:dyDescent="0.25">
      <c r="A44" s="100" t="s">
        <v>1010</v>
      </c>
      <c r="B44" s="48" t="s">
        <v>651</v>
      </c>
      <c r="C44" s="42" t="s">
        <v>1660</v>
      </c>
      <c r="D44" s="48" t="s">
        <v>758</v>
      </c>
      <c r="E44" s="81" t="s">
        <v>2117</v>
      </c>
      <c r="F44" s="62" t="s">
        <v>411</v>
      </c>
      <c r="G44" s="69" t="s">
        <v>2118</v>
      </c>
      <c r="H44" s="48"/>
      <c r="I44" s="48"/>
      <c r="J44" s="45" t="s">
        <v>766</v>
      </c>
      <c r="K44" s="138"/>
      <c r="L44" s="218" t="s">
        <v>2326</v>
      </c>
      <c r="M44" s="48"/>
    </row>
    <row r="45" spans="1:13" s="102" customFormat="1" ht="120" x14ac:dyDescent="0.25">
      <c r="A45" s="100" t="s">
        <v>1918</v>
      </c>
      <c r="B45" s="42" t="s">
        <v>131</v>
      </c>
      <c r="C45" s="42" t="s">
        <v>2276</v>
      </c>
      <c r="D45" s="42" t="s">
        <v>758</v>
      </c>
      <c r="E45" s="77" t="s">
        <v>2253</v>
      </c>
      <c r="F45" s="71" t="s">
        <v>310</v>
      </c>
      <c r="G45" s="65" t="s">
        <v>327</v>
      </c>
      <c r="H45" s="42"/>
      <c r="I45" s="42" t="s">
        <v>1897</v>
      </c>
      <c r="J45" s="109" t="s">
        <v>767</v>
      </c>
      <c r="K45" s="135"/>
      <c r="L45" s="136" t="s">
        <v>2322</v>
      </c>
      <c r="M45" s="42"/>
    </row>
    <row r="46" spans="1:13" s="102" customFormat="1" ht="135" x14ac:dyDescent="0.25">
      <c r="A46" s="100" t="s">
        <v>1914</v>
      </c>
      <c r="B46" s="42" t="s">
        <v>132</v>
      </c>
      <c r="C46" s="42" t="s">
        <v>1661</v>
      </c>
      <c r="D46" s="42" t="s">
        <v>758</v>
      </c>
      <c r="E46" s="74" t="s">
        <v>1510</v>
      </c>
      <c r="F46" s="68" t="s">
        <v>365</v>
      </c>
      <c r="G46" s="69" t="s">
        <v>1511</v>
      </c>
      <c r="H46" s="42"/>
      <c r="I46" s="42"/>
      <c r="J46" s="109"/>
      <c r="K46" s="135"/>
      <c r="L46" s="136" t="s">
        <v>2322</v>
      </c>
      <c r="M46" s="42"/>
    </row>
    <row r="47" spans="1:13" s="102" customFormat="1" ht="135" x14ac:dyDescent="0.25">
      <c r="A47" s="100" t="s">
        <v>1914</v>
      </c>
      <c r="B47" s="42" t="s">
        <v>892</v>
      </c>
      <c r="C47" s="42" t="s">
        <v>1642</v>
      </c>
      <c r="D47" s="42" t="s">
        <v>758</v>
      </c>
      <c r="E47" s="74" t="s">
        <v>1512</v>
      </c>
      <c r="F47" s="68" t="s">
        <v>367</v>
      </c>
      <c r="G47" s="69" t="s">
        <v>1513</v>
      </c>
      <c r="H47" s="42"/>
      <c r="I47" s="42"/>
      <c r="J47" s="109" t="s">
        <v>765</v>
      </c>
      <c r="K47" s="135"/>
      <c r="L47" s="136" t="s">
        <v>2322</v>
      </c>
      <c r="M47" s="42"/>
    </row>
    <row r="48" spans="1:13" s="102" customFormat="1" ht="135" x14ac:dyDescent="0.25">
      <c r="A48" s="100" t="s">
        <v>1914</v>
      </c>
      <c r="B48" s="42" t="s">
        <v>893</v>
      </c>
      <c r="C48" s="42" t="s">
        <v>1641</v>
      </c>
      <c r="D48" s="42" t="s">
        <v>758</v>
      </c>
      <c r="E48" s="74" t="s">
        <v>1514</v>
      </c>
      <c r="F48" s="68" t="s">
        <v>368</v>
      </c>
      <c r="G48" s="69" t="s">
        <v>1515</v>
      </c>
      <c r="H48" s="42"/>
      <c r="I48" s="42"/>
      <c r="J48" s="109"/>
      <c r="K48" s="135"/>
      <c r="L48" s="136" t="s">
        <v>2322</v>
      </c>
      <c r="M48" s="42"/>
    </row>
    <row r="49" spans="1:13" s="102" customFormat="1" ht="135" x14ac:dyDescent="0.25">
      <c r="A49" s="100" t="s">
        <v>1914</v>
      </c>
      <c r="B49" s="42" t="s">
        <v>894</v>
      </c>
      <c r="C49" s="42" t="s">
        <v>1640</v>
      </c>
      <c r="D49" s="42" t="s">
        <v>758</v>
      </c>
      <c r="E49" s="74" t="s">
        <v>1516</v>
      </c>
      <c r="F49" s="68" t="s">
        <v>366</v>
      </c>
      <c r="G49" s="69" t="s">
        <v>1517</v>
      </c>
      <c r="H49" s="42"/>
      <c r="I49" s="42"/>
      <c r="J49" s="109"/>
      <c r="K49" s="135"/>
      <c r="L49" s="136" t="s">
        <v>2322</v>
      </c>
      <c r="M49" s="42"/>
    </row>
    <row r="50" spans="1:13" s="102" customFormat="1" ht="120" x14ac:dyDescent="0.25">
      <c r="A50" s="100" t="s">
        <v>1919</v>
      </c>
      <c r="B50" s="42" t="s">
        <v>548</v>
      </c>
      <c r="C50" s="42" t="s">
        <v>1639</v>
      </c>
      <c r="D50" s="42" t="s">
        <v>868</v>
      </c>
      <c r="E50" s="42" t="s">
        <v>2268</v>
      </c>
      <c r="F50" s="62" t="s">
        <v>2269</v>
      </c>
      <c r="G50" s="42" t="s">
        <v>2267</v>
      </c>
      <c r="H50" s="42"/>
      <c r="I50" s="42"/>
      <c r="J50" s="8" t="s">
        <v>549</v>
      </c>
      <c r="K50" s="135"/>
      <c r="L50" s="219" t="s">
        <v>2327</v>
      </c>
      <c r="M50" s="42"/>
    </row>
    <row r="51" spans="1:13" s="102" customFormat="1" ht="120" x14ac:dyDescent="0.25">
      <c r="A51" s="100" t="s">
        <v>1010</v>
      </c>
      <c r="B51" s="42" t="s">
        <v>133</v>
      </c>
      <c r="C51" s="42" t="s">
        <v>2273</v>
      </c>
      <c r="D51" s="42" t="s">
        <v>758</v>
      </c>
      <c r="E51" s="72" t="s">
        <v>475</v>
      </c>
      <c r="F51" s="62" t="s">
        <v>371</v>
      </c>
      <c r="G51" s="70" t="s">
        <v>245</v>
      </c>
      <c r="H51" s="42"/>
      <c r="I51" s="42"/>
      <c r="J51" s="109" t="s">
        <v>769</v>
      </c>
      <c r="K51" s="135"/>
      <c r="L51" s="136" t="s">
        <v>2322</v>
      </c>
      <c r="M51" s="42"/>
    </row>
    <row r="52" spans="1:13" s="102" customFormat="1" ht="135" x14ac:dyDescent="0.25">
      <c r="A52" s="100" t="s">
        <v>1914</v>
      </c>
      <c r="B52" s="42" t="s">
        <v>656</v>
      </c>
      <c r="C52" s="42" t="s">
        <v>1638</v>
      </c>
      <c r="D52" s="42" t="s">
        <v>868</v>
      </c>
      <c r="E52" s="72" t="s">
        <v>973</v>
      </c>
      <c r="F52" s="64" t="s">
        <v>971</v>
      </c>
      <c r="G52" s="64" t="s">
        <v>972</v>
      </c>
      <c r="H52" s="42"/>
      <c r="I52" s="42"/>
      <c r="J52" s="109" t="s">
        <v>657</v>
      </c>
      <c r="K52" s="135"/>
      <c r="L52" s="219" t="s">
        <v>2327</v>
      </c>
      <c r="M52" s="42"/>
    </row>
    <row r="53" spans="1:13" s="102" customFormat="1" ht="135" x14ac:dyDescent="0.25">
      <c r="A53" s="100" t="s">
        <v>1914</v>
      </c>
      <c r="B53" s="42" t="s">
        <v>524</v>
      </c>
      <c r="C53" s="42" t="s">
        <v>1637</v>
      </c>
      <c r="D53" s="42" t="s">
        <v>763</v>
      </c>
      <c r="E53" s="72" t="s">
        <v>974</v>
      </c>
      <c r="F53" s="62" t="s">
        <v>975</v>
      </c>
      <c r="G53" s="64" t="s">
        <v>976</v>
      </c>
      <c r="H53" s="42"/>
      <c r="I53" s="42"/>
      <c r="J53" s="109" t="s">
        <v>770</v>
      </c>
      <c r="K53" s="135"/>
      <c r="L53" s="136" t="s">
        <v>2328</v>
      </c>
      <c r="M53" s="42"/>
    </row>
    <row r="54" spans="1:13" s="102" customFormat="1" ht="135" x14ac:dyDescent="0.25">
      <c r="A54" s="100" t="s">
        <v>1012</v>
      </c>
      <c r="B54" s="42" t="s">
        <v>138</v>
      </c>
      <c r="C54" s="42" t="s">
        <v>1896</v>
      </c>
      <c r="D54" s="42" t="s">
        <v>758</v>
      </c>
      <c r="E54" s="72" t="s">
        <v>474</v>
      </c>
      <c r="F54" s="71" t="s">
        <v>375</v>
      </c>
      <c r="G54" s="64" t="s">
        <v>977</v>
      </c>
      <c r="H54" s="42"/>
      <c r="I54" s="42"/>
      <c r="J54" s="109" t="s">
        <v>771</v>
      </c>
      <c r="K54" s="135"/>
      <c r="L54" s="136" t="s">
        <v>2329</v>
      </c>
      <c r="M54" s="42"/>
    </row>
    <row r="55" spans="1:13" s="102" customFormat="1" ht="120" x14ac:dyDescent="0.25">
      <c r="A55" s="100" t="s">
        <v>1010</v>
      </c>
      <c r="B55" s="42" t="s">
        <v>895</v>
      </c>
      <c r="C55" s="42" t="s">
        <v>1636</v>
      </c>
      <c r="D55" s="42" t="s">
        <v>758</v>
      </c>
      <c r="E55" s="72" t="s">
        <v>476</v>
      </c>
      <c r="F55" s="68" t="s">
        <v>365</v>
      </c>
      <c r="G55" s="70" t="s">
        <v>246</v>
      </c>
      <c r="H55" s="42"/>
      <c r="I55" s="42"/>
      <c r="J55" s="109" t="s">
        <v>853</v>
      </c>
      <c r="K55" s="135"/>
      <c r="L55" s="136" t="s">
        <v>2322</v>
      </c>
      <c r="M55" s="42"/>
    </row>
    <row r="56" spans="1:13" s="102" customFormat="1" ht="135" x14ac:dyDescent="0.25">
      <c r="A56" s="100" t="s">
        <v>1914</v>
      </c>
      <c r="B56" s="42" t="s">
        <v>896</v>
      </c>
      <c r="C56" s="42" t="s">
        <v>1635</v>
      </c>
      <c r="D56" s="42" t="s">
        <v>758</v>
      </c>
      <c r="E56" s="72" t="s">
        <v>477</v>
      </c>
      <c r="F56" s="68" t="s">
        <v>367</v>
      </c>
      <c r="G56" s="70" t="s">
        <v>247</v>
      </c>
      <c r="H56" s="42"/>
      <c r="I56" s="42"/>
      <c r="J56" s="109" t="s">
        <v>856</v>
      </c>
      <c r="K56" s="135"/>
      <c r="L56" s="136" t="s">
        <v>2322</v>
      </c>
      <c r="M56" s="42"/>
    </row>
    <row r="57" spans="1:13" s="102" customFormat="1" ht="120" x14ac:dyDescent="0.25">
      <c r="A57" s="100" t="s">
        <v>1010</v>
      </c>
      <c r="B57" s="42" t="s">
        <v>897</v>
      </c>
      <c r="C57" s="42" t="s">
        <v>1634</v>
      </c>
      <c r="D57" s="42" t="s">
        <v>758</v>
      </c>
      <c r="E57" s="72" t="s">
        <v>478</v>
      </c>
      <c r="F57" s="68" t="s">
        <v>368</v>
      </c>
      <c r="G57" s="70" t="s">
        <v>248</v>
      </c>
      <c r="H57" s="42"/>
      <c r="I57" s="42"/>
      <c r="J57" s="109" t="s">
        <v>855</v>
      </c>
      <c r="K57" s="135"/>
      <c r="L57" s="136" t="s">
        <v>2322</v>
      </c>
      <c r="M57" s="42"/>
    </row>
    <row r="58" spans="1:13" s="102" customFormat="1" ht="120" x14ac:dyDescent="0.25">
      <c r="A58" s="100" t="s">
        <v>1010</v>
      </c>
      <c r="B58" s="42" t="s">
        <v>906</v>
      </c>
      <c r="C58" s="42" t="s">
        <v>1633</v>
      </c>
      <c r="D58" s="42" t="s">
        <v>758</v>
      </c>
      <c r="E58" s="72" t="s">
        <v>479</v>
      </c>
      <c r="F58" s="68" t="s">
        <v>366</v>
      </c>
      <c r="G58" s="70" t="s">
        <v>249</v>
      </c>
      <c r="H58" s="42"/>
      <c r="I58" s="42"/>
      <c r="J58" s="109" t="s">
        <v>854</v>
      </c>
      <c r="K58" s="135"/>
      <c r="L58" s="136" t="s">
        <v>2322</v>
      </c>
      <c r="M58" s="42"/>
    </row>
    <row r="59" spans="1:13" s="102" customFormat="1" ht="120" x14ac:dyDescent="0.25">
      <c r="A59" s="100" t="s">
        <v>1918</v>
      </c>
      <c r="B59" s="42" t="s">
        <v>530</v>
      </c>
      <c r="C59" s="42" t="s">
        <v>1632</v>
      </c>
      <c r="D59" s="42" t="s">
        <v>758</v>
      </c>
      <c r="E59" s="72" t="s">
        <v>2254</v>
      </c>
      <c r="F59" s="64" t="s">
        <v>2119</v>
      </c>
      <c r="G59" s="64" t="s">
        <v>1860</v>
      </c>
      <c r="H59" s="42"/>
      <c r="I59" s="42"/>
      <c r="J59" s="109" t="s">
        <v>772</v>
      </c>
      <c r="K59" s="135"/>
      <c r="L59" s="136" t="s">
        <v>2322</v>
      </c>
      <c r="M59" s="42"/>
    </row>
    <row r="60" spans="1:13" s="102" customFormat="1" ht="120" x14ac:dyDescent="0.25">
      <c r="A60" s="100" t="s">
        <v>1010</v>
      </c>
      <c r="B60" s="42" t="s">
        <v>134</v>
      </c>
      <c r="C60" s="42" t="s">
        <v>2330</v>
      </c>
      <c r="D60" s="42" t="s">
        <v>716</v>
      </c>
      <c r="E60" s="76" t="s">
        <v>434</v>
      </c>
      <c r="F60" s="64" t="s">
        <v>333</v>
      </c>
      <c r="G60" s="64" t="s">
        <v>289</v>
      </c>
      <c r="H60" s="42"/>
      <c r="I60" s="42"/>
      <c r="J60" s="109" t="s">
        <v>773</v>
      </c>
      <c r="K60" s="135"/>
      <c r="L60" s="136" t="s">
        <v>2322</v>
      </c>
      <c r="M60" s="42"/>
    </row>
    <row r="61" spans="1:13" s="102" customFormat="1" ht="135" x14ac:dyDescent="0.25">
      <c r="A61" s="100" t="s">
        <v>1914</v>
      </c>
      <c r="B61" s="42" t="s">
        <v>135</v>
      </c>
      <c r="C61" s="42" t="s">
        <v>1631</v>
      </c>
      <c r="D61" s="42" t="s">
        <v>763</v>
      </c>
      <c r="E61" s="72" t="s">
        <v>486</v>
      </c>
      <c r="F61" s="71" t="s">
        <v>349</v>
      </c>
      <c r="G61" s="70" t="s">
        <v>254</v>
      </c>
      <c r="H61" s="42"/>
      <c r="I61" s="42" t="s">
        <v>1181</v>
      </c>
      <c r="J61" s="109" t="s">
        <v>774</v>
      </c>
      <c r="K61" s="135"/>
      <c r="L61" s="136" t="s">
        <v>2328</v>
      </c>
      <c r="M61" s="42"/>
    </row>
    <row r="62" spans="1:13" s="102" customFormat="1" ht="135" x14ac:dyDescent="0.25">
      <c r="A62" s="100" t="s">
        <v>1914</v>
      </c>
      <c r="B62" s="42" t="s">
        <v>136</v>
      </c>
      <c r="C62" s="42" t="s">
        <v>1849</v>
      </c>
      <c r="D62" s="42" t="s">
        <v>758</v>
      </c>
      <c r="E62" s="78" t="s">
        <v>488</v>
      </c>
      <c r="F62" s="62" t="s">
        <v>359</v>
      </c>
      <c r="G62" s="62" t="s">
        <v>256</v>
      </c>
      <c r="H62" s="42"/>
      <c r="I62" s="42"/>
      <c r="J62" s="109" t="s">
        <v>775</v>
      </c>
      <c r="K62" s="135"/>
      <c r="L62" s="136" t="s">
        <v>2331</v>
      </c>
      <c r="M62" s="42"/>
    </row>
    <row r="63" spans="1:13" s="102" customFormat="1" ht="120" x14ac:dyDescent="0.25">
      <c r="A63" s="100" t="s">
        <v>1010</v>
      </c>
      <c r="B63" s="42" t="s">
        <v>137</v>
      </c>
      <c r="C63" s="42" t="s">
        <v>1630</v>
      </c>
      <c r="D63" s="42" t="s">
        <v>758</v>
      </c>
      <c r="E63" s="78" t="s">
        <v>489</v>
      </c>
      <c r="F63" s="71" t="s">
        <v>360</v>
      </c>
      <c r="G63" s="62" t="s">
        <v>257</v>
      </c>
      <c r="H63" s="42"/>
      <c r="I63" s="42"/>
      <c r="J63" s="109" t="s">
        <v>776</v>
      </c>
      <c r="K63" s="135"/>
      <c r="L63" s="136" t="s">
        <v>2322</v>
      </c>
      <c r="M63" s="42"/>
    </row>
    <row r="64" spans="1:13" s="102" customFormat="1" ht="135" x14ac:dyDescent="0.25">
      <c r="A64" s="100" t="s">
        <v>1920</v>
      </c>
      <c r="B64" s="42" t="s">
        <v>538</v>
      </c>
      <c r="C64" s="42" t="s">
        <v>1850</v>
      </c>
      <c r="D64" s="42" t="s">
        <v>758</v>
      </c>
      <c r="E64" s="72" t="s">
        <v>444</v>
      </c>
      <c r="F64" s="62" t="s">
        <v>411</v>
      </c>
      <c r="G64" s="62" t="s">
        <v>261</v>
      </c>
      <c r="H64" s="42"/>
      <c r="I64" s="42"/>
      <c r="J64" s="109" t="s">
        <v>777</v>
      </c>
      <c r="K64" s="135"/>
      <c r="L64" s="136" t="s">
        <v>2322</v>
      </c>
      <c r="M64" s="42"/>
    </row>
    <row r="65" spans="1:13" s="102" customFormat="1" ht="135" x14ac:dyDescent="0.25">
      <c r="A65" s="100" t="s">
        <v>1920</v>
      </c>
      <c r="B65" s="42" t="s">
        <v>1530</v>
      </c>
      <c r="C65" s="42" t="s">
        <v>1786</v>
      </c>
      <c r="D65" s="42" t="s">
        <v>758</v>
      </c>
      <c r="E65" s="73" t="s">
        <v>445</v>
      </c>
      <c r="F65" s="62" t="s">
        <v>347</v>
      </c>
      <c r="G65" s="62" t="s">
        <v>272</v>
      </c>
      <c r="H65" s="42"/>
      <c r="I65" s="42"/>
      <c r="J65" s="109" t="s">
        <v>778</v>
      </c>
      <c r="K65" s="135"/>
      <c r="L65" s="136" t="s">
        <v>2328</v>
      </c>
      <c r="M65" s="42"/>
    </row>
    <row r="66" spans="1:13" s="102" customFormat="1" ht="105" x14ac:dyDescent="0.25">
      <c r="A66" s="100" t="s">
        <v>1921</v>
      </c>
      <c r="B66" s="42" t="s">
        <v>544</v>
      </c>
      <c r="C66" s="42" t="s">
        <v>1629</v>
      </c>
      <c r="D66" s="42" t="s">
        <v>758</v>
      </c>
      <c r="E66" s="78" t="s">
        <v>488</v>
      </c>
      <c r="F66" s="62" t="s">
        <v>359</v>
      </c>
      <c r="G66" s="62" t="s">
        <v>256</v>
      </c>
      <c r="H66" s="42"/>
      <c r="I66" s="42"/>
      <c r="J66" s="109" t="s">
        <v>546</v>
      </c>
      <c r="K66" s="135"/>
      <c r="L66" s="136" t="s">
        <v>2321</v>
      </c>
      <c r="M66" s="42"/>
    </row>
    <row r="67" spans="1:13" s="102" customFormat="1" ht="135" x14ac:dyDescent="0.25">
      <c r="A67" s="100" t="s">
        <v>1914</v>
      </c>
      <c r="B67" s="42" t="s">
        <v>551</v>
      </c>
      <c r="C67" s="42" t="s">
        <v>1628</v>
      </c>
      <c r="D67" s="42" t="s">
        <v>758</v>
      </c>
      <c r="E67" s="71" t="s">
        <v>1861</v>
      </c>
      <c r="F67" s="71" t="s">
        <v>1862</v>
      </c>
      <c r="G67" s="71" t="s">
        <v>1863</v>
      </c>
      <c r="H67" s="42"/>
      <c r="I67" s="42"/>
      <c r="J67" s="109" t="s">
        <v>552</v>
      </c>
      <c r="K67" s="135"/>
      <c r="L67" s="136" t="s">
        <v>2332</v>
      </c>
      <c r="M67" s="42"/>
    </row>
    <row r="68" spans="1:13" s="102" customFormat="1" ht="135" x14ac:dyDescent="0.25">
      <c r="A68" s="100" t="s">
        <v>1914</v>
      </c>
      <c r="B68" s="42" t="s">
        <v>554</v>
      </c>
      <c r="C68" s="42" t="s">
        <v>1627</v>
      </c>
      <c r="D68" s="42" t="s">
        <v>763</v>
      </c>
      <c r="E68" s="71" t="s">
        <v>1864</v>
      </c>
      <c r="F68" s="71" t="s">
        <v>1865</v>
      </c>
      <c r="G68" s="71" t="s">
        <v>1866</v>
      </c>
      <c r="H68" s="42"/>
      <c r="I68" s="42"/>
      <c r="J68" s="109" t="s">
        <v>555</v>
      </c>
      <c r="K68" s="135"/>
      <c r="L68" s="136" t="s">
        <v>2328</v>
      </c>
      <c r="M68" s="42"/>
    </row>
    <row r="69" spans="1:13" s="102" customFormat="1" ht="135" x14ac:dyDescent="0.25">
      <c r="A69" s="100" t="s">
        <v>1914</v>
      </c>
      <c r="B69" s="42" t="s">
        <v>556</v>
      </c>
      <c r="C69" s="42" t="s">
        <v>1626</v>
      </c>
      <c r="D69" s="42" t="s">
        <v>758</v>
      </c>
      <c r="E69" s="71" t="s">
        <v>1867</v>
      </c>
      <c r="F69" s="71" t="s">
        <v>1868</v>
      </c>
      <c r="G69" s="71" t="s">
        <v>1869</v>
      </c>
      <c r="H69" s="42"/>
      <c r="I69" s="42"/>
      <c r="J69" s="109" t="s">
        <v>557</v>
      </c>
      <c r="K69" s="135"/>
      <c r="L69" s="136" t="s">
        <v>2332</v>
      </c>
      <c r="M69" s="42"/>
    </row>
    <row r="70" spans="1:13" s="102" customFormat="1" ht="135" x14ac:dyDescent="0.25">
      <c r="A70" s="100" t="s">
        <v>1914</v>
      </c>
      <c r="B70" s="42" t="s">
        <v>560</v>
      </c>
      <c r="C70" s="42" t="s">
        <v>1625</v>
      </c>
      <c r="D70" s="42" t="s">
        <v>763</v>
      </c>
      <c r="E70" s="71" t="s">
        <v>1870</v>
      </c>
      <c r="F70" s="71" t="s">
        <v>1871</v>
      </c>
      <c r="G70" s="71" t="s">
        <v>1872</v>
      </c>
      <c r="H70" s="42"/>
      <c r="I70" s="42"/>
      <c r="J70" s="109" t="s">
        <v>562</v>
      </c>
      <c r="K70" s="135"/>
      <c r="L70" s="136" t="s">
        <v>2328</v>
      </c>
      <c r="M70" s="42"/>
    </row>
    <row r="71" spans="1:13" s="102" customFormat="1" ht="135" x14ac:dyDescent="0.25">
      <c r="A71" s="100" t="s">
        <v>1914</v>
      </c>
      <c r="B71" s="42" t="s">
        <v>563</v>
      </c>
      <c r="C71" s="42" t="s">
        <v>1840</v>
      </c>
      <c r="D71" s="42" t="s">
        <v>758</v>
      </c>
      <c r="E71" s="64" t="s">
        <v>2255</v>
      </c>
      <c r="F71" s="64" t="s">
        <v>1205</v>
      </c>
      <c r="G71" s="64" t="s">
        <v>1206</v>
      </c>
      <c r="H71" s="42"/>
      <c r="I71" s="42"/>
      <c r="J71" s="109" t="s">
        <v>564</v>
      </c>
      <c r="K71" s="135"/>
      <c r="L71" s="136" t="s">
        <v>2331</v>
      </c>
      <c r="M71" s="42"/>
    </row>
    <row r="72" spans="1:13" s="102" customFormat="1" ht="105" x14ac:dyDescent="0.25">
      <c r="A72" s="100" t="s">
        <v>1921</v>
      </c>
      <c r="B72" s="42" t="s">
        <v>566</v>
      </c>
      <c r="C72" s="42" t="s">
        <v>1624</v>
      </c>
      <c r="D72" s="42" t="s">
        <v>758</v>
      </c>
      <c r="E72" s="77" t="s">
        <v>2357</v>
      </c>
      <c r="F72" s="71" t="s">
        <v>2358</v>
      </c>
      <c r="G72" s="71" t="s">
        <v>2359</v>
      </c>
      <c r="H72" s="42"/>
      <c r="I72" s="42"/>
      <c r="J72" s="109" t="s">
        <v>567</v>
      </c>
      <c r="K72" s="135"/>
      <c r="L72" s="136" t="s">
        <v>2331</v>
      </c>
      <c r="M72" s="42"/>
    </row>
    <row r="73" spans="1:13" s="102" customFormat="1" ht="135" x14ac:dyDescent="0.25">
      <c r="A73" s="100" t="s">
        <v>1920</v>
      </c>
      <c r="B73" s="42" t="s">
        <v>210</v>
      </c>
      <c r="C73" s="42" t="s">
        <v>1623</v>
      </c>
      <c r="D73" s="42" t="s">
        <v>868</v>
      </c>
      <c r="E73" s="72" t="s">
        <v>490</v>
      </c>
      <c r="F73" s="71" t="s">
        <v>351</v>
      </c>
      <c r="G73" s="62" t="s">
        <v>258</v>
      </c>
      <c r="H73" s="42"/>
      <c r="I73" s="42"/>
      <c r="J73" s="109" t="s">
        <v>570</v>
      </c>
      <c r="K73" s="135"/>
      <c r="L73" s="219" t="s">
        <v>2327</v>
      </c>
      <c r="M73" s="42"/>
    </row>
    <row r="74" spans="1:13" s="102" customFormat="1" ht="135" x14ac:dyDescent="0.25">
      <c r="A74" s="100" t="s">
        <v>1916</v>
      </c>
      <c r="B74" s="42" t="s">
        <v>571</v>
      </c>
      <c r="C74" s="42" t="s">
        <v>1622</v>
      </c>
      <c r="D74" s="42" t="s">
        <v>758</v>
      </c>
      <c r="E74" s="79" t="s">
        <v>2256</v>
      </c>
      <c r="F74" s="71" t="s">
        <v>298</v>
      </c>
      <c r="G74" s="71" t="s">
        <v>286</v>
      </c>
      <c r="H74" s="42"/>
      <c r="I74" s="42"/>
      <c r="J74" s="109" t="s">
        <v>572</v>
      </c>
      <c r="K74" s="135"/>
      <c r="L74" s="136" t="s">
        <v>2322</v>
      </c>
      <c r="M74" s="42"/>
    </row>
    <row r="75" spans="1:13" s="102" customFormat="1" ht="120" x14ac:dyDescent="0.25">
      <c r="A75" s="100" t="s">
        <v>1922</v>
      </c>
      <c r="B75" s="42" t="s">
        <v>139</v>
      </c>
      <c r="C75" s="42" t="s">
        <v>1621</v>
      </c>
      <c r="D75" s="42" t="s">
        <v>763</v>
      </c>
      <c r="E75" s="72" t="s">
        <v>2122</v>
      </c>
      <c r="F75" s="71" t="s">
        <v>2123</v>
      </c>
      <c r="G75" s="70" t="s">
        <v>2124</v>
      </c>
      <c r="H75" s="42"/>
      <c r="I75" s="42"/>
      <c r="J75" s="109" t="s">
        <v>575</v>
      </c>
      <c r="K75" s="135"/>
      <c r="L75" s="136" t="s">
        <v>2328</v>
      </c>
      <c r="M75" s="42"/>
    </row>
    <row r="76" spans="1:13" s="102" customFormat="1" ht="120" x14ac:dyDescent="0.25">
      <c r="A76" s="100" t="s">
        <v>1922</v>
      </c>
      <c r="B76" s="42" t="s">
        <v>576</v>
      </c>
      <c r="C76" s="42" t="s">
        <v>1620</v>
      </c>
      <c r="D76" s="42" t="s">
        <v>763</v>
      </c>
      <c r="E76" s="72" t="s">
        <v>2257</v>
      </c>
      <c r="F76" s="71" t="s">
        <v>2258</v>
      </c>
      <c r="G76" s="70" t="s">
        <v>2259</v>
      </c>
      <c r="H76" s="42"/>
      <c r="I76" s="42"/>
      <c r="J76" s="109" t="s">
        <v>577</v>
      </c>
      <c r="K76" s="135"/>
      <c r="L76" s="136" t="s">
        <v>2328</v>
      </c>
      <c r="M76" s="42"/>
    </row>
    <row r="77" spans="1:13" s="102" customFormat="1" ht="120" x14ac:dyDescent="0.25">
      <c r="A77" s="100" t="s">
        <v>1922</v>
      </c>
      <c r="B77" s="42" t="s">
        <v>579</v>
      </c>
      <c r="C77" s="42" t="s">
        <v>1619</v>
      </c>
      <c r="D77" s="42" t="s">
        <v>868</v>
      </c>
      <c r="E77" s="72" t="s">
        <v>496</v>
      </c>
      <c r="F77" s="71" t="s">
        <v>353</v>
      </c>
      <c r="G77" s="62" t="s">
        <v>264</v>
      </c>
      <c r="H77" s="42"/>
      <c r="I77" s="42"/>
      <c r="J77" s="109" t="s">
        <v>869</v>
      </c>
      <c r="K77" s="135"/>
      <c r="L77" s="219" t="s">
        <v>2327</v>
      </c>
      <c r="M77" s="42"/>
    </row>
    <row r="78" spans="1:13" s="102" customFormat="1" ht="150" x14ac:dyDescent="0.25">
      <c r="A78" s="100" t="s">
        <v>1922</v>
      </c>
      <c r="B78" s="42" t="s">
        <v>107</v>
      </c>
      <c r="C78" s="42" t="s">
        <v>1618</v>
      </c>
      <c r="D78" s="42" t="s">
        <v>758</v>
      </c>
      <c r="E78" s="62" t="s">
        <v>1397</v>
      </c>
      <c r="F78" s="62" t="s">
        <v>1191</v>
      </c>
      <c r="G78" s="62" t="s">
        <v>987</v>
      </c>
      <c r="H78" s="42"/>
      <c r="I78" s="42"/>
      <c r="J78" s="109" t="s">
        <v>583</v>
      </c>
      <c r="K78" s="135"/>
      <c r="L78" s="136" t="s">
        <v>2322</v>
      </c>
      <c r="M78" s="42"/>
    </row>
    <row r="79" spans="1:13" s="102" customFormat="1" ht="120" x14ac:dyDescent="0.25">
      <c r="A79" s="100" t="s">
        <v>1923</v>
      </c>
      <c r="B79" s="42" t="s">
        <v>223</v>
      </c>
      <c r="C79" s="42" t="s">
        <v>1899</v>
      </c>
      <c r="D79" s="42" t="s">
        <v>758</v>
      </c>
      <c r="E79" s="62" t="s">
        <v>2260</v>
      </c>
      <c r="F79" s="62" t="s">
        <v>1910</v>
      </c>
      <c r="G79" s="62" t="s">
        <v>1911</v>
      </c>
      <c r="H79" s="42"/>
      <c r="I79" s="42"/>
      <c r="J79" s="109" t="s">
        <v>585</v>
      </c>
      <c r="K79" s="135"/>
      <c r="L79" s="136" t="s">
        <v>2322</v>
      </c>
      <c r="M79" s="42"/>
    </row>
    <row r="80" spans="1:13" s="102" customFormat="1" ht="120" x14ac:dyDescent="0.25">
      <c r="A80" s="100" t="s">
        <v>1923</v>
      </c>
      <c r="B80" s="42" t="s">
        <v>586</v>
      </c>
      <c r="C80" s="42" t="s">
        <v>2395</v>
      </c>
      <c r="D80" s="42" t="s">
        <v>758</v>
      </c>
      <c r="E80" s="77" t="s">
        <v>2354</v>
      </c>
      <c r="F80" s="71" t="s">
        <v>2355</v>
      </c>
      <c r="G80" s="71" t="s">
        <v>2356</v>
      </c>
      <c r="H80" s="42"/>
      <c r="I80" s="42"/>
      <c r="J80" s="109" t="s">
        <v>587</v>
      </c>
      <c r="K80" s="135"/>
      <c r="L80" s="136" t="s">
        <v>2331</v>
      </c>
      <c r="M80" s="42"/>
    </row>
    <row r="81" spans="1:13" s="102" customFormat="1" ht="120" x14ac:dyDescent="0.25">
      <c r="A81" s="100" t="s">
        <v>1919</v>
      </c>
      <c r="B81" s="42" t="s">
        <v>165</v>
      </c>
      <c r="C81" s="42" t="s">
        <v>1617</v>
      </c>
      <c r="D81" s="42" t="s">
        <v>868</v>
      </c>
      <c r="E81" s="80" t="s">
        <v>491</v>
      </c>
      <c r="F81" s="71" t="s">
        <v>352</v>
      </c>
      <c r="G81" s="62" t="s">
        <v>260</v>
      </c>
      <c r="H81" s="42"/>
      <c r="I81" s="42"/>
      <c r="J81" s="109" t="s">
        <v>589</v>
      </c>
      <c r="K81" s="135"/>
      <c r="L81" s="219" t="s">
        <v>2327</v>
      </c>
      <c r="M81" s="42"/>
    </row>
    <row r="82" spans="1:13" s="102" customFormat="1" ht="120" x14ac:dyDescent="0.25">
      <c r="A82" s="100" t="s">
        <v>1013</v>
      </c>
      <c r="B82" s="42" t="s">
        <v>1406</v>
      </c>
      <c r="C82" s="42" t="s">
        <v>1616</v>
      </c>
      <c r="D82" s="42" t="s">
        <v>758</v>
      </c>
      <c r="E82" s="77" t="s">
        <v>1195</v>
      </c>
      <c r="F82" s="71" t="s">
        <v>305</v>
      </c>
      <c r="G82" s="71" t="s">
        <v>318</v>
      </c>
      <c r="H82" s="42"/>
      <c r="I82" s="42"/>
      <c r="J82" s="109" t="s">
        <v>779</v>
      </c>
      <c r="K82" s="135"/>
      <c r="L82" s="136" t="s">
        <v>2322</v>
      </c>
      <c r="M82" s="42"/>
    </row>
    <row r="83" spans="1:13" s="102" customFormat="1" ht="120" x14ac:dyDescent="0.25">
      <c r="A83" s="100" t="s">
        <v>1922</v>
      </c>
      <c r="B83" s="42" t="s">
        <v>592</v>
      </c>
      <c r="C83" s="42" t="s">
        <v>1615</v>
      </c>
      <c r="D83" s="42" t="s">
        <v>758</v>
      </c>
      <c r="E83" s="62" t="s">
        <v>1376</v>
      </c>
      <c r="F83" s="62" t="s">
        <v>1377</v>
      </c>
      <c r="G83" s="62" t="s">
        <v>1378</v>
      </c>
      <c r="H83" s="42"/>
      <c r="I83" s="42"/>
      <c r="J83" s="109" t="s">
        <v>593</v>
      </c>
      <c r="K83" s="135"/>
      <c r="L83" s="136" t="s">
        <v>2322</v>
      </c>
      <c r="M83" s="42"/>
    </row>
    <row r="84" spans="1:13" s="102" customFormat="1" ht="120" x14ac:dyDescent="0.25">
      <c r="A84" s="100" t="s">
        <v>1922</v>
      </c>
      <c r="B84" s="42" t="s">
        <v>595</v>
      </c>
      <c r="C84" s="42" t="s">
        <v>1614</v>
      </c>
      <c r="D84" s="42" t="s">
        <v>868</v>
      </c>
      <c r="E84" s="42" t="s">
        <v>2268</v>
      </c>
      <c r="F84" s="62" t="s">
        <v>2269</v>
      </c>
      <c r="G84" s="42" t="s">
        <v>2267</v>
      </c>
      <c r="H84" s="42"/>
      <c r="I84" s="42"/>
      <c r="J84" s="109" t="s">
        <v>780</v>
      </c>
      <c r="K84" s="135"/>
      <c r="L84" s="219" t="s">
        <v>2327</v>
      </c>
      <c r="M84" s="42"/>
    </row>
    <row r="85" spans="1:13" s="102" customFormat="1" ht="120" x14ac:dyDescent="0.25">
      <c r="A85" s="100" t="s">
        <v>1922</v>
      </c>
      <c r="B85" s="42" t="s">
        <v>597</v>
      </c>
      <c r="C85" s="42" t="s">
        <v>1613</v>
      </c>
      <c r="D85" s="42" t="s">
        <v>868</v>
      </c>
      <c r="E85" s="42" t="s">
        <v>2268</v>
      </c>
      <c r="F85" s="62" t="s">
        <v>2269</v>
      </c>
      <c r="G85" s="42" t="s">
        <v>2267</v>
      </c>
      <c r="H85" s="42"/>
      <c r="I85" s="42"/>
      <c r="J85" s="109" t="s">
        <v>599</v>
      </c>
      <c r="K85" s="135"/>
      <c r="L85" s="219" t="s">
        <v>2327</v>
      </c>
      <c r="M85" s="42"/>
    </row>
    <row r="86" spans="1:13" s="102" customFormat="1" ht="120" x14ac:dyDescent="0.25">
      <c r="A86" s="100" t="s">
        <v>1922</v>
      </c>
      <c r="B86" s="42" t="s">
        <v>600</v>
      </c>
      <c r="C86" s="42" t="s">
        <v>1612</v>
      </c>
      <c r="D86" s="42" t="s">
        <v>868</v>
      </c>
      <c r="E86" s="42" t="s">
        <v>2268</v>
      </c>
      <c r="F86" s="62" t="s">
        <v>2269</v>
      </c>
      <c r="G86" s="42" t="s">
        <v>2267</v>
      </c>
      <c r="H86" s="42"/>
      <c r="I86" s="42"/>
      <c r="J86" s="109" t="s">
        <v>781</v>
      </c>
      <c r="K86" s="135"/>
      <c r="L86" s="219" t="s">
        <v>2327</v>
      </c>
      <c r="M86" s="42"/>
    </row>
    <row r="87" spans="1:13" s="102" customFormat="1" ht="120" x14ac:dyDescent="0.25">
      <c r="A87" s="100" t="s">
        <v>1919</v>
      </c>
      <c r="B87" s="42" t="s">
        <v>602</v>
      </c>
      <c r="C87" s="42" t="s">
        <v>1900</v>
      </c>
      <c r="D87" s="42" t="s">
        <v>758</v>
      </c>
      <c r="E87" s="64" t="s">
        <v>2261</v>
      </c>
      <c r="F87" s="64" t="s">
        <v>1873</v>
      </c>
      <c r="G87" s="64" t="s">
        <v>1874</v>
      </c>
      <c r="H87" s="42"/>
      <c r="I87" s="42"/>
      <c r="J87" s="109" t="s">
        <v>782</v>
      </c>
      <c r="K87" s="135"/>
      <c r="L87" s="136" t="s">
        <v>2322</v>
      </c>
      <c r="M87" s="42"/>
    </row>
    <row r="88" spans="1:13" s="102" customFormat="1" ht="120" x14ac:dyDescent="0.25">
      <c r="A88" s="100" t="s">
        <v>1924</v>
      </c>
      <c r="B88" s="42" t="s">
        <v>167</v>
      </c>
      <c r="C88" s="42" t="s">
        <v>1611</v>
      </c>
      <c r="D88" s="42" t="s">
        <v>868</v>
      </c>
      <c r="E88" s="42" t="s">
        <v>2268</v>
      </c>
      <c r="F88" s="62" t="s">
        <v>2269</v>
      </c>
      <c r="G88" s="42" t="s">
        <v>2267</v>
      </c>
      <c r="H88" s="42"/>
      <c r="I88" s="42"/>
      <c r="J88" s="109" t="s">
        <v>783</v>
      </c>
      <c r="K88" s="135"/>
      <c r="L88" s="219" t="s">
        <v>2327</v>
      </c>
      <c r="M88" s="42"/>
    </row>
    <row r="89" spans="1:13" s="102" customFormat="1" ht="120" x14ac:dyDescent="0.25">
      <c r="A89" s="100" t="s">
        <v>1919</v>
      </c>
      <c r="B89" s="42" t="s">
        <v>607</v>
      </c>
      <c r="C89" s="42" t="s">
        <v>1787</v>
      </c>
      <c r="D89" s="42" t="s">
        <v>868</v>
      </c>
      <c r="E89" s="42" t="s">
        <v>2268</v>
      </c>
      <c r="F89" s="62" t="s">
        <v>2269</v>
      </c>
      <c r="G89" s="42" t="s">
        <v>2267</v>
      </c>
      <c r="H89" s="42"/>
      <c r="I89" s="42"/>
      <c r="J89" s="109" t="s">
        <v>608</v>
      </c>
      <c r="K89" s="135"/>
      <c r="L89" s="219" t="s">
        <v>2327</v>
      </c>
      <c r="M89" s="42"/>
    </row>
    <row r="90" spans="1:13" s="102" customFormat="1" ht="120" x14ac:dyDescent="0.25">
      <c r="A90" s="100" t="s">
        <v>1919</v>
      </c>
      <c r="B90" s="42" t="s">
        <v>170</v>
      </c>
      <c r="C90" s="42" t="s">
        <v>1610</v>
      </c>
      <c r="D90" s="42" t="s">
        <v>868</v>
      </c>
      <c r="E90" s="42" t="s">
        <v>2268</v>
      </c>
      <c r="F90" s="62" t="s">
        <v>2269</v>
      </c>
      <c r="G90" s="42" t="s">
        <v>2267</v>
      </c>
      <c r="H90" s="42"/>
      <c r="I90" s="42"/>
      <c r="J90" s="109" t="s">
        <v>784</v>
      </c>
      <c r="K90" s="135"/>
      <c r="L90" s="219" t="s">
        <v>2327</v>
      </c>
      <c r="M90" s="42"/>
    </row>
    <row r="91" spans="1:13" s="102" customFormat="1" ht="120" x14ac:dyDescent="0.25">
      <c r="A91" s="100" t="s">
        <v>1919</v>
      </c>
      <c r="B91" s="42" t="s">
        <v>169</v>
      </c>
      <c r="C91" s="42" t="s">
        <v>2280</v>
      </c>
      <c r="D91" s="42" t="s">
        <v>868</v>
      </c>
      <c r="E91" s="42" t="s">
        <v>2268</v>
      </c>
      <c r="F91" s="62" t="s">
        <v>2269</v>
      </c>
      <c r="G91" s="42" t="s">
        <v>2267</v>
      </c>
      <c r="H91" s="42"/>
      <c r="I91" s="42"/>
      <c r="J91" s="109" t="s">
        <v>720</v>
      </c>
      <c r="K91" s="135"/>
      <c r="L91" s="219" t="s">
        <v>2327</v>
      </c>
      <c r="M91" s="42"/>
    </row>
    <row r="92" spans="1:13" s="102" customFormat="1" ht="135" x14ac:dyDescent="0.25">
      <c r="A92" s="100" t="s">
        <v>1920</v>
      </c>
      <c r="B92" s="42" t="s">
        <v>613</v>
      </c>
      <c r="C92" s="42" t="s">
        <v>1788</v>
      </c>
      <c r="D92" s="42" t="s">
        <v>758</v>
      </c>
      <c r="E92" s="72" t="s">
        <v>1908</v>
      </c>
      <c r="F92" s="64" t="s">
        <v>1907</v>
      </c>
      <c r="G92" s="64" t="s">
        <v>1909</v>
      </c>
      <c r="H92" s="42"/>
      <c r="I92" s="42"/>
      <c r="J92" s="109" t="s">
        <v>189</v>
      </c>
      <c r="K92" s="135"/>
      <c r="L92" s="136" t="s">
        <v>2322</v>
      </c>
      <c r="M92" s="42"/>
    </row>
    <row r="93" spans="1:13" s="102" customFormat="1" ht="120" x14ac:dyDescent="0.25">
      <c r="A93" s="100" t="s">
        <v>1925</v>
      </c>
      <c r="B93" s="42" t="s">
        <v>188</v>
      </c>
      <c r="C93" s="42" t="s">
        <v>1609</v>
      </c>
      <c r="D93" s="42" t="s">
        <v>758</v>
      </c>
      <c r="E93" s="62" t="s">
        <v>1875</v>
      </c>
      <c r="F93" s="62" t="s">
        <v>1876</v>
      </c>
      <c r="G93" s="62" t="s">
        <v>1877</v>
      </c>
      <c r="H93" s="42"/>
      <c r="I93" s="42"/>
      <c r="J93" s="109" t="s">
        <v>785</v>
      </c>
      <c r="K93" s="135"/>
      <c r="L93" s="136" t="s">
        <v>2334</v>
      </c>
      <c r="M93" s="42"/>
    </row>
    <row r="94" spans="1:13" s="102" customFormat="1" ht="120" x14ac:dyDescent="0.25">
      <c r="A94" s="100" t="s">
        <v>1924</v>
      </c>
      <c r="B94" s="42" t="s">
        <v>615</v>
      </c>
      <c r="C94" s="42" t="s">
        <v>1851</v>
      </c>
      <c r="D94" s="42" t="s">
        <v>834</v>
      </c>
      <c r="E94" s="64" t="s">
        <v>978</v>
      </c>
      <c r="F94" s="64" t="s">
        <v>979</v>
      </c>
      <c r="G94" s="64" t="s">
        <v>980</v>
      </c>
      <c r="H94" s="42"/>
      <c r="I94" s="42"/>
      <c r="J94" s="109" t="s">
        <v>616</v>
      </c>
      <c r="K94" s="135"/>
      <c r="L94" s="136" t="s">
        <v>2322</v>
      </c>
      <c r="M94" s="42"/>
    </row>
    <row r="95" spans="1:13" s="102" customFormat="1" ht="120" x14ac:dyDescent="0.25">
      <c r="A95" s="100" t="s">
        <v>1919</v>
      </c>
      <c r="B95" s="86" t="s">
        <v>990</v>
      </c>
      <c r="C95" s="42" t="s">
        <v>1608</v>
      </c>
      <c r="D95" s="42" t="s">
        <v>868</v>
      </c>
      <c r="E95" s="64" t="s">
        <v>1878</v>
      </c>
      <c r="F95" s="64" t="s">
        <v>1879</v>
      </c>
      <c r="G95" s="64" t="s">
        <v>1880</v>
      </c>
      <c r="H95" s="42"/>
      <c r="I95" s="42"/>
      <c r="J95" s="109" t="s">
        <v>786</v>
      </c>
      <c r="K95" s="135"/>
      <c r="L95" s="219" t="s">
        <v>2327</v>
      </c>
      <c r="M95" s="42"/>
    </row>
    <row r="96" spans="1:13" s="102" customFormat="1" ht="120" x14ac:dyDescent="0.25">
      <c r="A96" s="100" t="s">
        <v>1924</v>
      </c>
      <c r="B96" s="42" t="s">
        <v>216</v>
      </c>
      <c r="C96" s="42" t="s">
        <v>1607</v>
      </c>
      <c r="D96" s="42" t="s">
        <v>758</v>
      </c>
      <c r="E96" s="72" t="s">
        <v>487</v>
      </c>
      <c r="F96" s="62" t="s">
        <v>350</v>
      </c>
      <c r="G96" s="62" t="s">
        <v>255</v>
      </c>
      <c r="H96" s="42"/>
      <c r="I96" s="42"/>
      <c r="J96" s="109" t="s">
        <v>620</v>
      </c>
      <c r="K96" s="135"/>
      <c r="L96" s="136" t="s">
        <v>2331</v>
      </c>
      <c r="M96" s="42"/>
    </row>
    <row r="97" spans="1:15" s="102" customFormat="1" ht="120" x14ac:dyDescent="0.25">
      <c r="A97" s="100" t="s">
        <v>1924</v>
      </c>
      <c r="B97" s="42" t="s">
        <v>622</v>
      </c>
      <c r="C97" s="42" t="s">
        <v>1606</v>
      </c>
      <c r="D97" s="42" t="s">
        <v>763</v>
      </c>
      <c r="E97" s="64" t="s">
        <v>1197</v>
      </c>
      <c r="F97" s="64" t="s">
        <v>1193</v>
      </c>
      <c r="G97" s="64" t="s">
        <v>981</v>
      </c>
      <c r="H97" s="42"/>
      <c r="I97" s="42"/>
      <c r="J97" s="109" t="s">
        <v>871</v>
      </c>
      <c r="K97" s="135"/>
      <c r="L97" s="136" t="s">
        <v>2328</v>
      </c>
      <c r="M97" s="42"/>
    </row>
    <row r="98" spans="1:15" s="102" customFormat="1" ht="120" x14ac:dyDescent="0.25">
      <c r="A98" s="100" t="s">
        <v>1015</v>
      </c>
      <c r="B98" s="42" t="s">
        <v>140</v>
      </c>
      <c r="C98" s="42" t="s">
        <v>1601</v>
      </c>
      <c r="D98" s="42" t="s">
        <v>758</v>
      </c>
      <c r="E98" s="62" t="s">
        <v>1518</v>
      </c>
      <c r="F98" s="62" t="s">
        <v>1519</v>
      </c>
      <c r="G98" s="62" t="s">
        <v>1520</v>
      </c>
      <c r="H98" s="42"/>
      <c r="I98" s="42"/>
      <c r="J98" s="109" t="s">
        <v>787</v>
      </c>
      <c r="K98" s="135"/>
      <c r="L98" s="136" t="s">
        <v>2322</v>
      </c>
      <c r="M98" s="42"/>
    </row>
    <row r="99" spans="1:15" s="102" customFormat="1" ht="105" x14ac:dyDescent="0.25">
      <c r="A99" s="100" t="s">
        <v>1011</v>
      </c>
      <c r="B99" s="42" t="s">
        <v>626</v>
      </c>
      <c r="C99" s="42" t="s">
        <v>1898</v>
      </c>
      <c r="D99" s="42" t="s">
        <v>716</v>
      </c>
      <c r="E99" s="64" t="s">
        <v>1905</v>
      </c>
      <c r="F99" s="64" t="s">
        <v>1904</v>
      </c>
      <c r="G99" s="64" t="s">
        <v>1906</v>
      </c>
      <c r="H99" s="42"/>
      <c r="I99" s="42"/>
      <c r="J99" s="109" t="s">
        <v>1182</v>
      </c>
      <c r="K99" s="135"/>
      <c r="L99" s="136" t="s">
        <v>2322</v>
      </c>
      <c r="M99" s="42"/>
    </row>
    <row r="100" spans="1:15" s="102" customFormat="1" ht="135" x14ac:dyDescent="0.25">
      <c r="A100" s="100" t="s">
        <v>1920</v>
      </c>
      <c r="B100" s="42" t="s">
        <v>106</v>
      </c>
      <c r="C100" s="42" t="s">
        <v>1602</v>
      </c>
      <c r="D100" s="42" t="s">
        <v>758</v>
      </c>
      <c r="E100" s="62" t="s">
        <v>982</v>
      </c>
      <c r="F100" s="62" t="s">
        <v>983</v>
      </c>
      <c r="G100" s="62" t="s">
        <v>984</v>
      </c>
      <c r="H100" s="42"/>
      <c r="I100" s="42"/>
      <c r="J100" s="109" t="s">
        <v>873</v>
      </c>
      <c r="K100" s="135"/>
      <c r="L100" s="136" t="s">
        <v>2322</v>
      </c>
      <c r="M100" s="42"/>
    </row>
    <row r="101" spans="1:15" s="102" customFormat="1" ht="105" x14ac:dyDescent="0.25">
      <c r="A101" s="100" t="s">
        <v>1012</v>
      </c>
      <c r="B101" s="42" t="s">
        <v>747</v>
      </c>
      <c r="C101" s="42" t="s">
        <v>1603</v>
      </c>
      <c r="D101" s="42" t="s">
        <v>758</v>
      </c>
      <c r="E101" s="79" t="s">
        <v>2262</v>
      </c>
      <c r="F101" s="71" t="s">
        <v>301</v>
      </c>
      <c r="G101" s="71" t="s">
        <v>330</v>
      </c>
      <c r="H101" s="42"/>
      <c r="I101" s="42"/>
      <c r="J101" s="109" t="s">
        <v>874</v>
      </c>
      <c r="K101" s="135"/>
      <c r="L101" s="136" t="s">
        <v>2322</v>
      </c>
      <c r="M101" s="42"/>
    </row>
    <row r="102" spans="1:15" s="102" customFormat="1" ht="105" x14ac:dyDescent="0.25">
      <c r="A102" s="100" t="s">
        <v>1012</v>
      </c>
      <c r="B102" s="42" t="s">
        <v>175</v>
      </c>
      <c r="C102" s="42" t="s">
        <v>1895</v>
      </c>
      <c r="D102" s="42" t="s">
        <v>716</v>
      </c>
      <c r="E102" s="77" t="s">
        <v>2351</v>
      </c>
      <c r="F102" s="65" t="s">
        <v>2352</v>
      </c>
      <c r="G102" s="65" t="s">
        <v>2353</v>
      </c>
      <c r="H102" s="42"/>
      <c r="I102" s="42"/>
      <c r="J102" s="109" t="s">
        <v>789</v>
      </c>
      <c r="K102" s="135"/>
      <c r="L102" s="136" t="s">
        <v>2322</v>
      </c>
      <c r="M102" s="42"/>
    </row>
    <row r="103" spans="1:15" s="107" customFormat="1" ht="120" x14ac:dyDescent="0.25">
      <c r="A103" s="100" t="s">
        <v>1924</v>
      </c>
      <c r="B103" s="42" t="s">
        <v>648</v>
      </c>
      <c r="C103" s="42" t="s">
        <v>1895</v>
      </c>
      <c r="D103" s="42" t="s">
        <v>716</v>
      </c>
      <c r="E103" s="77" t="s">
        <v>2351</v>
      </c>
      <c r="F103" s="65" t="s">
        <v>2352</v>
      </c>
      <c r="G103" s="65" t="s">
        <v>2353</v>
      </c>
      <c r="H103" s="44"/>
      <c r="I103" s="44"/>
      <c r="J103" s="44" t="s">
        <v>956</v>
      </c>
      <c r="K103" s="139"/>
      <c r="L103" s="136" t="s">
        <v>2322</v>
      </c>
      <c r="M103" s="42"/>
    </row>
    <row r="104" spans="1:15" s="102" customFormat="1" ht="120" x14ac:dyDescent="0.25">
      <c r="A104" s="100" t="s">
        <v>1926</v>
      </c>
      <c r="B104" s="42" t="s">
        <v>174</v>
      </c>
      <c r="C104" s="42" t="s">
        <v>1605</v>
      </c>
      <c r="D104" s="42" t="s">
        <v>758</v>
      </c>
      <c r="E104" s="72" t="s">
        <v>1901</v>
      </c>
      <c r="F104" s="71" t="s">
        <v>1902</v>
      </c>
      <c r="G104" s="62" t="s">
        <v>1903</v>
      </c>
      <c r="H104" s="42"/>
      <c r="I104" s="42"/>
      <c r="J104" s="109" t="s">
        <v>875</v>
      </c>
      <c r="K104" s="135"/>
      <c r="L104" s="136" t="s">
        <v>2322</v>
      </c>
      <c r="M104" s="42"/>
    </row>
    <row r="105" spans="1:15" s="102" customFormat="1" ht="120" x14ac:dyDescent="0.25">
      <c r="A105" s="100" t="s">
        <v>1919</v>
      </c>
      <c r="B105" s="42" t="s">
        <v>1065</v>
      </c>
      <c r="C105" s="42" t="s">
        <v>1604</v>
      </c>
      <c r="D105" s="42" t="s">
        <v>868</v>
      </c>
      <c r="E105" s="42" t="s">
        <v>2268</v>
      </c>
      <c r="F105" s="62" t="s">
        <v>2269</v>
      </c>
      <c r="G105" s="42" t="s">
        <v>2267</v>
      </c>
      <c r="H105" s="42"/>
      <c r="I105" s="42"/>
      <c r="J105" s="109" t="s">
        <v>876</v>
      </c>
      <c r="K105" s="135"/>
      <c r="L105" s="136" t="s">
        <v>2327</v>
      </c>
      <c r="M105" s="42"/>
    </row>
    <row r="106" spans="1:15" s="143" customFormat="1" ht="45" x14ac:dyDescent="0.25">
      <c r="A106" s="150" t="s">
        <v>1014</v>
      </c>
      <c r="B106" s="88" t="s">
        <v>638</v>
      </c>
      <c r="C106" s="88" t="s">
        <v>1840</v>
      </c>
      <c r="D106" s="88" t="s">
        <v>758</v>
      </c>
      <c r="E106" s="147" t="s">
        <v>2255</v>
      </c>
      <c r="F106" s="147" t="s">
        <v>1205</v>
      </c>
      <c r="G106" s="147" t="s">
        <v>1206</v>
      </c>
      <c r="H106" s="88"/>
      <c r="I106" s="88"/>
      <c r="J106" s="151" t="s">
        <v>1832</v>
      </c>
      <c r="K106" s="140"/>
      <c r="L106" s="136" t="s">
        <v>2335</v>
      </c>
      <c r="M106" s="88"/>
    </row>
    <row r="107" spans="1:15" s="143" customFormat="1" ht="30" x14ac:dyDescent="0.25">
      <c r="A107" s="150" t="s">
        <v>790</v>
      </c>
      <c r="B107" s="88" t="s">
        <v>639</v>
      </c>
      <c r="C107" s="42" t="s">
        <v>1819</v>
      </c>
      <c r="D107" s="88" t="s">
        <v>764</v>
      </c>
      <c r="E107" s="62" t="s">
        <v>1373</v>
      </c>
      <c r="F107" s="62" t="s">
        <v>1374</v>
      </c>
      <c r="G107" s="62" t="s">
        <v>1375</v>
      </c>
      <c r="H107" s="88"/>
      <c r="I107" s="88"/>
      <c r="J107" s="151" t="s">
        <v>1833</v>
      </c>
      <c r="K107" s="140"/>
      <c r="L107" s="136" t="s">
        <v>2335</v>
      </c>
      <c r="M107" s="88"/>
    </row>
    <row r="108" spans="1:15" ht="300" x14ac:dyDescent="0.25">
      <c r="A108" s="100" t="s">
        <v>1014</v>
      </c>
      <c r="B108" s="42" t="s">
        <v>903</v>
      </c>
      <c r="C108" s="42" t="s">
        <v>2389</v>
      </c>
      <c r="D108" s="42" t="s">
        <v>758</v>
      </c>
      <c r="E108" s="62" t="s">
        <v>2348</v>
      </c>
      <c r="F108" s="62" t="s">
        <v>2350</v>
      </c>
      <c r="G108" s="62" t="s">
        <v>2349</v>
      </c>
      <c r="H108" s="42"/>
      <c r="I108" s="42"/>
      <c r="J108" s="87" t="s">
        <v>993</v>
      </c>
      <c r="K108" s="135"/>
      <c r="L108" s="136" t="s">
        <v>2322</v>
      </c>
      <c r="M108" s="42"/>
      <c r="N108" s="133"/>
      <c r="O108" s="133"/>
    </row>
    <row r="109" spans="1:15" x14ac:dyDescent="0.25">
      <c r="A109" s="100" t="s">
        <v>1014</v>
      </c>
      <c r="B109" s="42" t="s">
        <v>904</v>
      </c>
      <c r="C109" s="42" t="s">
        <v>1820</v>
      </c>
      <c r="D109" s="42" t="s">
        <v>758</v>
      </c>
      <c r="E109" s="62" t="s">
        <v>2347</v>
      </c>
      <c r="F109" s="62" t="s">
        <v>2346</v>
      </c>
      <c r="G109" s="62" t="s">
        <v>2345</v>
      </c>
      <c r="H109" s="42"/>
      <c r="I109" s="42"/>
      <c r="J109" s="87" t="s">
        <v>994</v>
      </c>
      <c r="K109" s="135"/>
      <c r="L109" s="136" t="s">
        <v>2322</v>
      </c>
      <c r="M109" s="42"/>
      <c r="N109" s="133"/>
      <c r="O109" s="133"/>
    </row>
    <row r="110" spans="1:15" x14ac:dyDescent="0.25">
      <c r="A110" s="100" t="s">
        <v>1014</v>
      </c>
      <c r="B110" s="42" t="s">
        <v>905</v>
      </c>
      <c r="C110" s="42" t="s">
        <v>1820</v>
      </c>
      <c r="D110" s="42" t="s">
        <v>758</v>
      </c>
      <c r="E110" s="62" t="s">
        <v>2342</v>
      </c>
      <c r="F110" s="62" t="s">
        <v>2343</v>
      </c>
      <c r="G110" s="62" t="s">
        <v>2344</v>
      </c>
      <c r="H110" s="42"/>
      <c r="I110" s="42"/>
      <c r="J110" s="87" t="s">
        <v>994</v>
      </c>
      <c r="K110" s="135"/>
      <c r="L110" s="136" t="s">
        <v>2322</v>
      </c>
      <c r="M110" s="42"/>
      <c r="N110" s="133"/>
      <c r="O110" s="133"/>
    </row>
    <row r="111" spans="1:15" s="143" customFormat="1" ht="45" x14ac:dyDescent="0.25">
      <c r="A111" s="150" t="s">
        <v>1014</v>
      </c>
      <c r="B111" s="88" t="s">
        <v>642</v>
      </c>
      <c r="C111" s="88" t="s">
        <v>2277</v>
      </c>
      <c r="D111" s="88" t="s">
        <v>758</v>
      </c>
      <c r="E111" s="88" t="s">
        <v>1427</v>
      </c>
      <c r="F111" s="88" t="s">
        <v>1425</v>
      </c>
      <c r="G111" s="88" t="s">
        <v>1423</v>
      </c>
      <c r="H111" s="88"/>
      <c r="I111" s="88"/>
      <c r="J111" s="151" t="s">
        <v>1834</v>
      </c>
      <c r="K111" s="140"/>
      <c r="L111" s="136" t="s">
        <v>2331</v>
      </c>
      <c r="M111" s="88"/>
    </row>
    <row r="112" spans="1:15" s="143" customFormat="1" ht="45" x14ac:dyDescent="0.25">
      <c r="A112" s="150" t="s">
        <v>1014</v>
      </c>
      <c r="B112" s="88" t="s">
        <v>643</v>
      </c>
      <c r="C112" s="88" t="s">
        <v>2278</v>
      </c>
      <c r="D112" s="88" t="s">
        <v>758</v>
      </c>
      <c r="E112" s="88" t="s">
        <v>1428</v>
      </c>
      <c r="F112" s="88" t="s">
        <v>1426</v>
      </c>
      <c r="G112" s="88" t="s">
        <v>1424</v>
      </c>
      <c r="H112" s="88"/>
      <c r="I112" s="88"/>
      <c r="J112" s="151" t="s">
        <v>1835</v>
      </c>
      <c r="K112" s="140"/>
      <c r="L112" s="136" t="s">
        <v>2331</v>
      </c>
      <c r="M112" s="88"/>
    </row>
    <row r="113" spans="1:15" ht="45" x14ac:dyDescent="0.25">
      <c r="A113" s="100" t="s">
        <v>790</v>
      </c>
      <c r="B113" s="42" t="s">
        <v>660</v>
      </c>
      <c r="C113" s="42" t="s">
        <v>1814</v>
      </c>
      <c r="D113" s="42" t="s">
        <v>868</v>
      </c>
      <c r="E113" s="42" t="s">
        <v>2268</v>
      </c>
      <c r="F113" s="62" t="s">
        <v>2269</v>
      </c>
      <c r="G113" s="42" t="s">
        <v>2267</v>
      </c>
      <c r="H113" s="42"/>
      <c r="I113" s="42"/>
      <c r="J113" s="109" t="s">
        <v>999</v>
      </c>
      <c r="K113" s="135"/>
      <c r="L113" s="136" t="s">
        <v>2327</v>
      </c>
      <c r="M113" s="42"/>
      <c r="N113" s="133"/>
      <c r="O113" s="133"/>
    </row>
    <row r="114" spans="1:15" ht="45" x14ac:dyDescent="0.25">
      <c r="A114" s="100" t="s">
        <v>790</v>
      </c>
      <c r="B114" s="42" t="s">
        <v>653</v>
      </c>
      <c r="C114" s="42" t="s">
        <v>1821</v>
      </c>
      <c r="D114" s="42" t="s">
        <v>868</v>
      </c>
      <c r="E114" s="42" t="s">
        <v>2268</v>
      </c>
      <c r="F114" s="62" t="s">
        <v>2269</v>
      </c>
      <c r="G114" s="42" t="s">
        <v>2267</v>
      </c>
      <c r="H114" s="42"/>
      <c r="I114" s="42"/>
      <c r="J114" s="109" t="s">
        <v>999</v>
      </c>
      <c r="K114" s="135"/>
      <c r="L114" s="136" t="s">
        <v>2327</v>
      </c>
      <c r="M114" s="42"/>
      <c r="N114" s="133"/>
      <c r="O114" s="133"/>
    </row>
    <row r="115" spans="1:15" x14ac:dyDescent="0.25">
      <c r="A115" s="100" t="s">
        <v>790</v>
      </c>
      <c r="B115" s="42" t="s">
        <v>791</v>
      </c>
      <c r="C115" s="42" t="s">
        <v>1792</v>
      </c>
      <c r="D115" s="42" t="s">
        <v>868</v>
      </c>
      <c r="E115" s="42" t="s">
        <v>2268</v>
      </c>
      <c r="F115" s="62" t="s">
        <v>2269</v>
      </c>
      <c r="G115" s="42" t="s">
        <v>2267</v>
      </c>
      <c r="H115" s="42"/>
      <c r="I115" s="42"/>
      <c r="J115" s="146" t="s">
        <v>1264</v>
      </c>
      <c r="K115" s="135"/>
      <c r="L115" s="49" t="s">
        <v>2327</v>
      </c>
      <c r="M115" s="42"/>
      <c r="N115" s="133"/>
      <c r="O115" s="133"/>
    </row>
    <row r="116" spans="1:15" x14ac:dyDescent="0.25">
      <c r="A116" s="100" t="s">
        <v>790</v>
      </c>
      <c r="B116" s="88" t="s">
        <v>792</v>
      </c>
      <c r="C116" s="88" t="s">
        <v>1824</v>
      </c>
      <c r="D116" s="42" t="s">
        <v>758</v>
      </c>
      <c r="E116" s="42" t="s">
        <v>2268</v>
      </c>
      <c r="F116" s="62" t="s">
        <v>2269</v>
      </c>
      <c r="G116" s="42" t="s">
        <v>2267</v>
      </c>
      <c r="H116" s="42"/>
      <c r="I116" s="42"/>
      <c r="J116" s="146" t="s">
        <v>1255</v>
      </c>
      <c r="K116" s="135"/>
      <c r="L116" s="49" t="s">
        <v>2336</v>
      </c>
      <c r="M116" s="42"/>
      <c r="N116" s="133"/>
      <c r="O116" s="133"/>
    </row>
    <row r="117" spans="1:15" x14ac:dyDescent="0.25">
      <c r="A117" s="100" t="s">
        <v>790</v>
      </c>
      <c r="B117" s="88" t="s">
        <v>793</v>
      </c>
      <c r="C117" s="88" t="s">
        <v>1823</v>
      </c>
      <c r="D117" s="42" t="s">
        <v>758</v>
      </c>
      <c r="E117" s="42" t="s">
        <v>2268</v>
      </c>
      <c r="F117" s="62" t="s">
        <v>2269</v>
      </c>
      <c r="G117" s="42" t="s">
        <v>2267</v>
      </c>
      <c r="H117" s="42"/>
      <c r="I117" s="42"/>
      <c r="J117" s="146" t="s">
        <v>1255</v>
      </c>
      <c r="K117" s="135"/>
      <c r="L117" s="49" t="s">
        <v>2336</v>
      </c>
      <c r="M117" s="42"/>
      <c r="N117" s="133"/>
      <c r="O117" s="133"/>
    </row>
    <row r="118" spans="1:15" x14ac:dyDescent="0.25">
      <c r="A118" s="100" t="s">
        <v>790</v>
      </c>
      <c r="B118" s="88" t="s">
        <v>794</v>
      </c>
      <c r="C118" s="88" t="s">
        <v>1822</v>
      </c>
      <c r="D118" s="42" t="s">
        <v>758</v>
      </c>
      <c r="E118" s="42" t="s">
        <v>2268</v>
      </c>
      <c r="F118" s="62" t="s">
        <v>2269</v>
      </c>
      <c r="G118" s="42" t="s">
        <v>2267</v>
      </c>
      <c r="H118" s="42"/>
      <c r="I118" s="42"/>
      <c r="J118" s="146" t="s">
        <v>1255</v>
      </c>
      <c r="K118" s="135"/>
      <c r="L118" s="49" t="s">
        <v>2336</v>
      </c>
      <c r="M118" s="42"/>
      <c r="N118" s="133"/>
      <c r="O118" s="133"/>
    </row>
    <row r="119" spans="1:15" x14ac:dyDescent="0.25">
      <c r="A119" s="100" t="s">
        <v>790</v>
      </c>
      <c r="B119" s="42" t="s">
        <v>795</v>
      </c>
      <c r="C119" s="42" t="s">
        <v>1825</v>
      </c>
      <c r="D119" s="42" t="s">
        <v>868</v>
      </c>
      <c r="E119" s="42" t="s">
        <v>2268</v>
      </c>
      <c r="F119" s="62" t="s">
        <v>2269</v>
      </c>
      <c r="G119" s="42" t="s">
        <v>2267</v>
      </c>
      <c r="H119" s="42"/>
      <c r="I119" s="109"/>
      <c r="J119" s="146" t="s">
        <v>1256</v>
      </c>
      <c r="K119" s="135"/>
      <c r="L119" s="49" t="s">
        <v>2327</v>
      </c>
      <c r="M119" s="42"/>
      <c r="N119" s="133"/>
      <c r="O119" s="133"/>
    </row>
    <row r="120" spans="1:15" x14ac:dyDescent="0.25">
      <c r="A120" s="100" t="s">
        <v>790</v>
      </c>
      <c r="B120" s="42" t="s">
        <v>796</v>
      </c>
      <c r="C120" s="42" t="s">
        <v>1826</v>
      </c>
      <c r="D120" s="42" t="s">
        <v>868</v>
      </c>
      <c r="E120" s="42" t="s">
        <v>2268</v>
      </c>
      <c r="F120" s="62" t="s">
        <v>2269</v>
      </c>
      <c r="G120" s="42" t="s">
        <v>2267</v>
      </c>
      <c r="H120" s="42"/>
      <c r="I120" s="42"/>
      <c r="J120" s="146" t="s">
        <v>1257</v>
      </c>
      <c r="K120" s="135"/>
      <c r="L120" s="49" t="s">
        <v>2327</v>
      </c>
      <c r="M120" s="42"/>
      <c r="N120" s="133"/>
      <c r="O120" s="133"/>
    </row>
    <row r="121" spans="1:15" x14ac:dyDescent="0.25">
      <c r="A121" s="100" t="s">
        <v>790</v>
      </c>
      <c r="B121" s="42" t="s">
        <v>797</v>
      </c>
      <c r="C121" s="42" t="s">
        <v>1794</v>
      </c>
      <c r="D121" s="42" t="s">
        <v>868</v>
      </c>
      <c r="E121" s="42" t="s">
        <v>2268</v>
      </c>
      <c r="F121" s="62" t="s">
        <v>2269</v>
      </c>
      <c r="G121" s="42" t="s">
        <v>2267</v>
      </c>
      <c r="H121" s="42"/>
      <c r="I121" s="42"/>
      <c r="J121" s="87" t="s">
        <v>1000</v>
      </c>
      <c r="K121" s="135"/>
      <c r="L121" s="49" t="s">
        <v>2327</v>
      </c>
      <c r="M121" s="42"/>
      <c r="N121" s="133"/>
      <c r="O121" s="133"/>
    </row>
    <row r="122" spans="1:15" ht="45" x14ac:dyDescent="0.25">
      <c r="A122" s="100" t="s">
        <v>790</v>
      </c>
      <c r="B122" s="42" t="s">
        <v>674</v>
      </c>
      <c r="C122" s="42" t="s">
        <v>1795</v>
      </c>
      <c r="D122" s="42" t="s">
        <v>868</v>
      </c>
      <c r="E122" s="42" t="s">
        <v>2268</v>
      </c>
      <c r="F122" s="62" t="s">
        <v>2269</v>
      </c>
      <c r="G122" s="42" t="s">
        <v>2267</v>
      </c>
      <c r="H122" s="42"/>
      <c r="I122" s="42"/>
      <c r="J122" s="87" t="s">
        <v>998</v>
      </c>
      <c r="K122" s="135"/>
      <c r="L122" s="49" t="s">
        <v>2327</v>
      </c>
      <c r="M122" s="42"/>
      <c r="N122" s="133"/>
      <c r="O122" s="133"/>
    </row>
    <row r="123" spans="1:15" s="199" customFormat="1" x14ac:dyDescent="0.25">
      <c r="A123" s="196" t="s">
        <v>790</v>
      </c>
      <c r="B123" s="54" t="s">
        <v>1415</v>
      </c>
      <c r="C123" s="54" t="s">
        <v>1805</v>
      </c>
      <c r="D123" s="42" t="s">
        <v>868</v>
      </c>
      <c r="E123" s="42" t="s">
        <v>2268</v>
      </c>
      <c r="F123" s="62" t="s">
        <v>2269</v>
      </c>
      <c r="G123" s="42" t="s">
        <v>2267</v>
      </c>
      <c r="H123" s="54"/>
      <c r="I123" s="54"/>
      <c r="J123" s="197" t="s">
        <v>1263</v>
      </c>
      <c r="K123" s="198"/>
      <c r="L123" s="49" t="s">
        <v>2327</v>
      </c>
      <c r="M123" s="42"/>
    </row>
    <row r="124" spans="1:15" ht="45" x14ac:dyDescent="0.25">
      <c r="A124" s="100" t="s">
        <v>790</v>
      </c>
      <c r="B124" s="42" t="s">
        <v>676</v>
      </c>
      <c r="C124" s="42" t="s">
        <v>1827</v>
      </c>
      <c r="D124" s="42" t="s">
        <v>868</v>
      </c>
      <c r="E124" s="42" t="s">
        <v>2268</v>
      </c>
      <c r="F124" s="62" t="s">
        <v>2269</v>
      </c>
      <c r="G124" s="42" t="s">
        <v>2267</v>
      </c>
      <c r="H124" s="42"/>
      <c r="I124" s="42"/>
      <c r="J124" s="109" t="s">
        <v>798</v>
      </c>
      <c r="K124" s="135"/>
      <c r="L124" s="49" t="s">
        <v>2327</v>
      </c>
      <c r="M124" s="42"/>
      <c r="N124" s="133"/>
      <c r="O124" s="133"/>
    </row>
    <row r="125" spans="1:15" ht="30" x14ac:dyDescent="0.25">
      <c r="A125" s="100" t="s">
        <v>790</v>
      </c>
      <c r="B125" s="42" t="s">
        <v>995</v>
      </c>
      <c r="C125" s="42" t="s">
        <v>1790</v>
      </c>
      <c r="D125" s="42" t="s">
        <v>868</v>
      </c>
      <c r="E125" s="42" t="s">
        <v>2268</v>
      </c>
      <c r="F125" s="62" t="s">
        <v>2269</v>
      </c>
      <c r="G125" s="42" t="s">
        <v>2267</v>
      </c>
      <c r="H125" s="42"/>
      <c r="I125" s="42"/>
      <c r="J125" s="109" t="s">
        <v>799</v>
      </c>
      <c r="K125" s="135"/>
      <c r="L125" s="49" t="s">
        <v>2327</v>
      </c>
      <c r="M125" s="42"/>
      <c r="N125" s="133"/>
      <c r="O125" s="133"/>
    </row>
    <row r="126" spans="1:15" x14ac:dyDescent="0.25">
      <c r="A126" s="100" t="s">
        <v>790</v>
      </c>
      <c r="B126" s="42" t="s">
        <v>682</v>
      </c>
      <c r="C126" s="42" t="s">
        <v>1818</v>
      </c>
      <c r="D126" s="42" t="s">
        <v>868</v>
      </c>
      <c r="E126" s="42" t="s">
        <v>2268</v>
      </c>
      <c r="F126" s="62" t="s">
        <v>2269</v>
      </c>
      <c r="G126" s="42" t="s">
        <v>2267</v>
      </c>
      <c r="H126" s="42"/>
      <c r="I126" s="42"/>
      <c r="J126" s="109" t="s">
        <v>800</v>
      </c>
      <c r="K126" s="135"/>
      <c r="L126" s="49" t="s">
        <v>2327</v>
      </c>
      <c r="M126" s="42"/>
      <c r="N126" s="133"/>
      <c r="O126" s="133"/>
    </row>
    <row r="127" spans="1:15" x14ac:dyDescent="0.25">
      <c r="A127" s="100" t="s">
        <v>790</v>
      </c>
      <c r="B127" s="42" t="s">
        <v>952</v>
      </c>
      <c r="C127" s="42" t="s">
        <v>1831</v>
      </c>
      <c r="D127" s="42" t="s">
        <v>868</v>
      </c>
      <c r="E127" s="42" t="s">
        <v>2268</v>
      </c>
      <c r="F127" s="62" t="s">
        <v>2269</v>
      </c>
      <c r="G127" s="42" t="s">
        <v>2267</v>
      </c>
      <c r="H127" s="42"/>
      <c r="I127" s="42"/>
      <c r="J127" s="109" t="s">
        <v>801</v>
      </c>
      <c r="K127" s="135"/>
      <c r="L127" s="49" t="s">
        <v>2327</v>
      </c>
      <c r="M127" s="42"/>
      <c r="N127" s="133"/>
      <c r="O127" s="133"/>
    </row>
    <row r="128" spans="1:15" ht="45" x14ac:dyDescent="0.25">
      <c r="A128" s="100" t="s">
        <v>790</v>
      </c>
      <c r="B128" s="42" t="s">
        <v>688</v>
      </c>
      <c r="C128" s="42" t="s">
        <v>1809</v>
      </c>
      <c r="D128" s="42" t="s">
        <v>758</v>
      </c>
      <c r="E128" s="42" t="s">
        <v>2268</v>
      </c>
      <c r="F128" s="62" t="s">
        <v>2269</v>
      </c>
      <c r="G128" s="42" t="s">
        <v>2267</v>
      </c>
      <c r="H128" s="42"/>
      <c r="I128" s="42"/>
      <c r="J128" s="109" t="s">
        <v>992</v>
      </c>
      <c r="K128" s="135"/>
      <c r="L128" s="49" t="s">
        <v>2327</v>
      </c>
      <c r="M128" s="42"/>
      <c r="N128" s="133"/>
      <c r="O128" s="133"/>
    </row>
    <row r="129" spans="1:15" x14ac:dyDescent="0.25">
      <c r="A129" s="100" t="s">
        <v>790</v>
      </c>
      <c r="B129" s="42" t="s">
        <v>691</v>
      </c>
      <c r="C129" s="42" t="s">
        <v>1816</v>
      </c>
      <c r="D129" s="42" t="s">
        <v>868</v>
      </c>
      <c r="E129" s="42" t="s">
        <v>2268</v>
      </c>
      <c r="F129" s="62" t="s">
        <v>2269</v>
      </c>
      <c r="G129" s="42" t="s">
        <v>2267</v>
      </c>
      <c r="H129" s="42"/>
      <c r="I129" s="42"/>
      <c r="J129" s="109" t="s">
        <v>802</v>
      </c>
      <c r="K129" s="135"/>
      <c r="L129" s="49" t="s">
        <v>2327</v>
      </c>
      <c r="M129" s="42"/>
      <c r="N129" s="133"/>
      <c r="O129" s="133"/>
    </row>
    <row r="130" spans="1:15" s="143" customFormat="1" ht="45" x14ac:dyDescent="0.25">
      <c r="A130" s="144" t="s">
        <v>927</v>
      </c>
      <c r="B130" s="88" t="s">
        <v>954</v>
      </c>
      <c r="C130" s="88"/>
      <c r="D130" s="88"/>
      <c r="E130" s="88"/>
      <c r="F130" s="88"/>
      <c r="G130" s="88"/>
      <c r="H130" s="88"/>
      <c r="I130" s="88"/>
      <c r="J130" s="147" t="s">
        <v>1258</v>
      </c>
      <c r="K130" s="140"/>
      <c r="L130" s="49" t="s">
        <v>2336</v>
      </c>
      <c r="M130" s="88"/>
    </row>
    <row r="131" spans="1:15" x14ac:dyDescent="0.25">
      <c r="A131" s="99" t="s">
        <v>938</v>
      </c>
      <c r="B131" s="42" t="s">
        <v>1008</v>
      </c>
      <c r="C131" s="42" t="s">
        <v>1830</v>
      </c>
      <c r="D131" s="42"/>
      <c r="E131" s="42" t="s">
        <v>443</v>
      </c>
      <c r="F131" s="62" t="s">
        <v>347</v>
      </c>
      <c r="G131" s="62" t="s">
        <v>237</v>
      </c>
      <c r="H131" s="42"/>
      <c r="I131" s="42" t="s">
        <v>1412</v>
      </c>
      <c r="J131" s="42" t="s">
        <v>1413</v>
      </c>
      <c r="K131" s="135"/>
      <c r="L131" s="136" t="s">
        <v>2322</v>
      </c>
      <c r="M131" s="42"/>
      <c r="N131" s="133"/>
      <c r="O131" s="133"/>
    </row>
    <row r="132" spans="1:15" s="143" customFormat="1" x14ac:dyDescent="0.25">
      <c r="A132" s="200" t="s">
        <v>1251</v>
      </c>
      <c r="B132" s="88" t="s">
        <v>1250</v>
      </c>
      <c r="C132" s="88"/>
      <c r="D132" s="88" t="s">
        <v>764</v>
      </c>
      <c r="E132" s="88"/>
      <c r="F132" s="88"/>
      <c r="G132" s="88"/>
      <c r="H132" s="88"/>
      <c r="I132" s="88"/>
      <c r="J132" s="88" t="s">
        <v>1829</v>
      </c>
      <c r="K132" s="140"/>
      <c r="L132" s="49" t="s">
        <v>2336</v>
      </c>
      <c r="M132" s="88"/>
    </row>
    <row r="133" spans="1:15" ht="45" x14ac:dyDescent="0.25">
      <c r="A133" s="85" t="s">
        <v>937</v>
      </c>
      <c r="B133" s="42" t="s">
        <v>1853</v>
      </c>
      <c r="C133" s="42" t="s">
        <v>1852</v>
      </c>
      <c r="D133" s="42" t="s">
        <v>758</v>
      </c>
      <c r="E133" s="86" t="s">
        <v>2263</v>
      </c>
      <c r="F133" s="86" t="s">
        <v>1367</v>
      </c>
      <c r="G133" s="86" t="s">
        <v>1368</v>
      </c>
      <c r="H133" s="42"/>
      <c r="I133" s="42"/>
      <c r="J133" s="86" t="s">
        <v>1262</v>
      </c>
      <c r="K133" s="135"/>
      <c r="L133" s="220" t="s">
        <v>2334</v>
      </c>
      <c r="M133" s="42"/>
      <c r="N133" s="133"/>
      <c r="O133" s="133"/>
    </row>
    <row r="134" spans="1:15" ht="195" x14ac:dyDescent="0.25">
      <c r="A134" s="85" t="s">
        <v>1251</v>
      </c>
      <c r="B134" s="42" t="s">
        <v>1854</v>
      </c>
      <c r="C134" s="42" t="s">
        <v>1855</v>
      </c>
      <c r="D134" s="42" t="s">
        <v>716</v>
      </c>
      <c r="E134" s="86" t="s">
        <v>1503</v>
      </c>
      <c r="F134" s="64" t="s">
        <v>1504</v>
      </c>
      <c r="G134" s="64" t="s">
        <v>1505</v>
      </c>
      <c r="H134" s="42"/>
      <c r="I134" s="42"/>
      <c r="J134" s="86" t="s">
        <v>1261</v>
      </c>
      <c r="K134" s="135"/>
      <c r="L134" s="136" t="s">
        <v>2333</v>
      </c>
      <c r="M134" s="42"/>
      <c r="N134" s="133"/>
      <c r="O134" s="133"/>
    </row>
    <row r="135" spans="1:15" ht="30" x14ac:dyDescent="0.25">
      <c r="A135" s="85" t="s">
        <v>1251</v>
      </c>
      <c r="B135" s="42" t="s">
        <v>1857</v>
      </c>
      <c r="C135" s="42" t="s">
        <v>1856</v>
      </c>
      <c r="D135" s="42" t="s">
        <v>758</v>
      </c>
      <c r="E135" s="64" t="s">
        <v>1431</v>
      </c>
      <c r="F135" s="64" t="s">
        <v>1429</v>
      </c>
      <c r="G135" s="64" t="s">
        <v>1430</v>
      </c>
      <c r="H135" s="42"/>
      <c r="I135" s="42"/>
      <c r="J135" s="42"/>
      <c r="K135" s="135"/>
      <c r="L135" s="136" t="s">
        <v>2322</v>
      </c>
      <c r="M135" s="42"/>
      <c r="N135" s="133"/>
      <c r="O135" s="133"/>
    </row>
    <row r="136" spans="1:15" ht="120" x14ac:dyDescent="0.25">
      <c r="A136" s="85" t="s">
        <v>1251</v>
      </c>
      <c r="B136" s="42" t="s">
        <v>1272</v>
      </c>
      <c r="C136" s="42" t="s">
        <v>1828</v>
      </c>
      <c r="D136" s="42" t="s">
        <v>758</v>
      </c>
      <c r="E136" s="62" t="s">
        <v>1196</v>
      </c>
      <c r="F136" s="62" t="s">
        <v>1192</v>
      </c>
      <c r="G136" s="62" t="s">
        <v>986</v>
      </c>
      <c r="H136" s="42"/>
      <c r="I136" s="42"/>
      <c r="J136" s="86" t="s">
        <v>2313</v>
      </c>
      <c r="K136" s="135"/>
      <c r="L136" s="136" t="s">
        <v>2322</v>
      </c>
      <c r="M136" s="42"/>
      <c r="N136" s="133"/>
      <c r="O136" s="133"/>
    </row>
    <row r="137" spans="1:15" ht="30" x14ac:dyDescent="0.25">
      <c r="A137" s="85" t="s">
        <v>790</v>
      </c>
      <c r="B137" s="42" t="s">
        <v>953</v>
      </c>
      <c r="C137" s="42" t="s">
        <v>2311</v>
      </c>
      <c r="D137" s="42" t="s">
        <v>868</v>
      </c>
      <c r="E137" s="42" t="s">
        <v>2268</v>
      </c>
      <c r="F137" s="62" t="s">
        <v>2269</v>
      </c>
      <c r="G137" s="42" t="s">
        <v>2267</v>
      </c>
      <c r="H137" s="42"/>
      <c r="I137" s="42"/>
      <c r="J137" s="86" t="s">
        <v>2312</v>
      </c>
      <c r="K137" s="135"/>
      <c r="L137" s="136" t="s">
        <v>2327</v>
      </c>
      <c r="M137" s="42"/>
      <c r="N137" s="133"/>
      <c r="O137" s="133"/>
    </row>
    <row r="138" spans="1:15" x14ac:dyDescent="0.25">
      <c r="A138" s="85"/>
      <c r="B138" s="42"/>
      <c r="C138" s="42"/>
      <c r="D138" s="42"/>
      <c r="E138" s="62"/>
      <c r="F138" s="62"/>
      <c r="G138" s="62"/>
      <c r="H138" s="42"/>
      <c r="I138" s="42"/>
      <c r="J138" s="42"/>
      <c r="K138" s="135"/>
      <c r="L138" s="136"/>
      <c r="M138" s="42"/>
      <c r="N138" s="133"/>
      <c r="O138" s="133"/>
    </row>
    <row r="139" spans="1:15" x14ac:dyDescent="0.25">
      <c r="A139" s="85"/>
      <c r="B139" s="42"/>
      <c r="C139" s="42"/>
      <c r="D139" s="42"/>
      <c r="E139" s="62"/>
      <c r="F139" s="62"/>
      <c r="G139" s="62"/>
      <c r="H139" s="42"/>
      <c r="I139" s="42"/>
      <c r="J139" s="42"/>
      <c r="K139" s="135"/>
      <c r="L139" s="136"/>
      <c r="M139" s="42"/>
      <c r="N139" s="133"/>
      <c r="O139" s="133"/>
    </row>
    <row r="140" spans="1:15" x14ac:dyDescent="0.25">
      <c r="A140" s="85"/>
      <c r="B140" s="42"/>
      <c r="C140" s="42"/>
      <c r="D140" s="42"/>
      <c r="E140" s="62"/>
      <c r="F140" s="62"/>
      <c r="G140" s="62"/>
      <c r="H140" s="42"/>
      <c r="I140" s="42"/>
      <c r="J140" s="42"/>
      <c r="K140" s="135"/>
      <c r="L140" s="136"/>
      <c r="M140" s="42"/>
      <c r="N140" s="133"/>
      <c r="O140" s="133"/>
    </row>
    <row r="141" spans="1:15" x14ac:dyDescent="0.25">
      <c r="A141" s="85"/>
      <c r="B141" s="42"/>
      <c r="C141" s="42"/>
      <c r="D141" s="42"/>
      <c r="E141" s="62"/>
      <c r="F141" s="62"/>
      <c r="G141" s="62"/>
      <c r="H141" s="42"/>
      <c r="I141" s="42"/>
      <c r="J141" s="42"/>
      <c r="K141" s="135"/>
      <c r="L141" s="136"/>
      <c r="M141" s="42"/>
      <c r="N141" s="133"/>
      <c r="O141" s="133"/>
    </row>
    <row r="142" spans="1:15" x14ac:dyDescent="0.25">
      <c r="A142" s="85"/>
      <c r="B142" s="42"/>
      <c r="C142" s="42"/>
      <c r="D142" s="42"/>
      <c r="E142" s="62"/>
      <c r="F142" s="62"/>
      <c r="G142" s="62"/>
      <c r="H142" s="42"/>
      <c r="I142" s="42"/>
      <c r="J142" s="42"/>
      <c r="K142" s="135"/>
      <c r="L142" s="136"/>
      <c r="M142" s="42"/>
      <c r="N142" s="133"/>
      <c r="O142" s="133"/>
    </row>
    <row r="143" spans="1:15" x14ac:dyDescent="0.25">
      <c r="A143" s="85"/>
      <c r="B143" s="42"/>
      <c r="C143" s="42"/>
      <c r="D143" s="42"/>
      <c r="E143" s="62"/>
      <c r="F143" s="62"/>
      <c r="G143" s="62"/>
      <c r="H143" s="42"/>
      <c r="I143" s="42"/>
      <c r="J143" s="42"/>
      <c r="K143" s="135"/>
      <c r="L143" s="136"/>
      <c r="M143" s="42"/>
      <c r="N143" s="133"/>
      <c r="O143" s="133"/>
    </row>
    <row r="144" spans="1:15" x14ac:dyDescent="0.25">
      <c r="A144" s="85"/>
      <c r="B144" s="42"/>
      <c r="C144" s="42"/>
      <c r="D144" s="42"/>
      <c r="E144" s="62"/>
      <c r="F144" s="62"/>
      <c r="G144" s="62"/>
      <c r="H144" s="42"/>
      <c r="I144" s="42"/>
      <c r="J144" s="42"/>
      <c r="K144" s="135"/>
      <c r="L144" s="136"/>
      <c r="M144" s="42"/>
      <c r="N144" s="133"/>
      <c r="O144" s="133"/>
    </row>
    <row r="145" spans="1:15" x14ac:dyDescent="0.25">
      <c r="A145" s="85"/>
      <c r="B145" s="42"/>
      <c r="C145" s="42"/>
      <c r="D145" s="42"/>
      <c r="E145" s="62"/>
      <c r="F145" s="62"/>
      <c r="G145" s="62"/>
      <c r="H145" s="42"/>
      <c r="I145" s="42"/>
      <c r="J145" s="42"/>
      <c r="K145" s="135"/>
      <c r="L145" s="136"/>
      <c r="M145" s="42"/>
      <c r="N145" s="133"/>
      <c r="O145" s="133"/>
    </row>
    <row r="146" spans="1:15" x14ac:dyDescent="0.25">
      <c r="A146" s="85"/>
      <c r="B146" s="42"/>
      <c r="C146" s="42"/>
      <c r="D146" s="42"/>
      <c r="E146" s="62"/>
      <c r="F146" s="62"/>
      <c r="G146" s="62"/>
      <c r="H146" s="42"/>
      <c r="I146" s="42"/>
      <c r="J146" s="42"/>
      <c r="K146" s="135"/>
      <c r="L146" s="136"/>
      <c r="M146" s="42"/>
      <c r="N146" s="133"/>
      <c r="O146" s="133"/>
    </row>
    <row r="147" spans="1:15" x14ac:dyDescent="0.25">
      <c r="A147" s="85"/>
      <c r="B147" s="42"/>
      <c r="C147" s="42"/>
      <c r="D147" s="42"/>
      <c r="E147" s="62"/>
      <c r="F147" s="62"/>
      <c r="G147" s="62"/>
      <c r="H147" s="42"/>
      <c r="I147" s="42"/>
      <c r="J147" s="42"/>
      <c r="K147" s="135"/>
      <c r="L147" s="136"/>
      <c r="M147" s="42"/>
      <c r="N147" s="133"/>
      <c r="O147" s="133"/>
    </row>
    <row r="148" spans="1:15" x14ac:dyDescent="0.25">
      <c r="A148" s="85"/>
      <c r="B148" s="42"/>
      <c r="C148" s="42"/>
      <c r="D148" s="42"/>
      <c r="E148" s="62"/>
      <c r="F148" s="62"/>
      <c r="G148" s="62"/>
      <c r="H148" s="42"/>
      <c r="I148" s="42"/>
      <c r="J148" s="42"/>
      <c r="K148" s="135"/>
      <c r="L148" s="136"/>
      <c r="M148" s="42"/>
      <c r="N148" s="133"/>
      <c r="O148" s="133"/>
    </row>
    <row r="149" spans="1:15" x14ac:dyDescent="0.25">
      <c r="A149" s="85"/>
      <c r="B149" s="42"/>
      <c r="C149" s="42"/>
      <c r="D149" s="42"/>
      <c r="E149" s="62"/>
      <c r="F149" s="62"/>
      <c r="G149" s="62"/>
      <c r="H149" s="42"/>
      <c r="I149" s="42"/>
      <c r="J149" s="42"/>
      <c r="K149" s="135"/>
      <c r="L149" s="136"/>
      <c r="M149" s="42"/>
      <c r="N149" s="133"/>
      <c r="O149" s="133"/>
    </row>
    <row r="150" spans="1:15" x14ac:dyDescent="0.25">
      <c r="A150" s="85"/>
      <c r="B150" s="42"/>
      <c r="C150" s="42"/>
      <c r="D150" s="42"/>
      <c r="E150" s="62"/>
      <c r="F150" s="62"/>
      <c r="G150" s="62"/>
      <c r="H150" s="42"/>
      <c r="I150" s="42"/>
      <c r="J150" s="42"/>
      <c r="K150" s="135"/>
      <c r="L150" s="136"/>
      <c r="M150" s="42"/>
      <c r="N150" s="133"/>
      <c r="O150" s="133"/>
    </row>
    <row r="151" spans="1:15" x14ac:dyDescent="0.25">
      <c r="A151" s="85"/>
      <c r="B151" s="42"/>
      <c r="C151" s="42"/>
      <c r="D151" s="42"/>
      <c r="E151" s="62"/>
      <c r="F151" s="62"/>
      <c r="G151" s="62"/>
      <c r="H151" s="42"/>
      <c r="I151" s="42"/>
      <c r="J151" s="42"/>
      <c r="K151" s="135"/>
      <c r="L151" s="136"/>
      <c r="M151" s="42"/>
      <c r="N151" s="133"/>
      <c r="O151" s="133"/>
    </row>
    <row r="152" spans="1:15" x14ac:dyDescent="0.25">
      <c r="A152" s="85"/>
      <c r="B152" s="42"/>
      <c r="C152" s="42"/>
      <c r="D152" s="42"/>
      <c r="E152" s="62"/>
      <c r="F152" s="62"/>
      <c r="G152" s="62"/>
      <c r="H152" s="42"/>
      <c r="I152" s="42"/>
      <c r="J152" s="42"/>
      <c r="K152" s="135"/>
      <c r="L152" s="136"/>
      <c r="M152" s="42"/>
      <c r="N152" s="133"/>
      <c r="O152" s="133"/>
    </row>
    <row r="153" spans="1:15" x14ac:dyDescent="0.25">
      <c r="A153" s="85"/>
      <c r="B153" s="42"/>
      <c r="C153" s="42"/>
      <c r="D153" s="42"/>
      <c r="E153" s="62"/>
      <c r="F153" s="62"/>
      <c r="G153" s="62"/>
      <c r="H153" s="42"/>
      <c r="I153" s="42"/>
      <c r="J153" s="42"/>
      <c r="K153" s="135"/>
      <c r="L153" s="136"/>
      <c r="M153" s="42"/>
      <c r="N153" s="133"/>
      <c r="O153" s="133"/>
    </row>
    <row r="154" spans="1:15" x14ac:dyDescent="0.25">
      <c r="A154" s="85"/>
      <c r="B154" s="42"/>
      <c r="C154" s="42"/>
      <c r="D154" s="42"/>
      <c r="E154" s="62"/>
      <c r="F154" s="62"/>
      <c r="G154" s="62"/>
      <c r="H154" s="42"/>
      <c r="I154" s="42"/>
      <c r="J154" s="42"/>
      <c r="K154" s="135"/>
      <c r="L154" s="136"/>
      <c r="M154" s="42"/>
      <c r="N154" s="133"/>
      <c r="O154" s="133"/>
    </row>
    <row r="155" spans="1:15" x14ac:dyDescent="0.25">
      <c r="A155" s="85"/>
      <c r="B155" s="42"/>
      <c r="C155" s="42"/>
      <c r="D155" s="42"/>
      <c r="E155" s="62"/>
      <c r="F155" s="62"/>
      <c r="G155" s="62"/>
      <c r="H155" s="42"/>
      <c r="I155" s="42"/>
      <c r="J155" s="42"/>
      <c r="K155" s="135"/>
      <c r="L155" s="136"/>
      <c r="M155" s="42"/>
      <c r="N155" s="133"/>
      <c r="O155" s="133"/>
    </row>
    <row r="156" spans="1:15" x14ac:dyDescent="0.25">
      <c r="A156" s="85"/>
      <c r="B156" s="42"/>
      <c r="C156" s="42"/>
      <c r="D156" s="42"/>
      <c r="E156" s="62"/>
      <c r="F156" s="62"/>
      <c r="G156" s="62"/>
      <c r="H156" s="42"/>
      <c r="I156" s="42"/>
      <c r="J156" s="42"/>
      <c r="K156" s="135"/>
      <c r="L156" s="136"/>
      <c r="M156" s="42"/>
      <c r="N156" s="133"/>
      <c r="O156" s="133"/>
    </row>
    <row r="157" spans="1:15" x14ac:dyDescent="0.25">
      <c r="A157" s="85"/>
      <c r="B157" s="42"/>
      <c r="C157" s="42"/>
      <c r="D157" s="42"/>
      <c r="E157" s="62"/>
      <c r="F157" s="62"/>
      <c r="G157" s="62"/>
      <c r="H157" s="42"/>
      <c r="I157" s="42"/>
      <c r="J157" s="42"/>
      <c r="K157" s="135"/>
      <c r="L157" s="136"/>
      <c r="M157" s="42"/>
      <c r="N157" s="133"/>
      <c r="O157" s="133"/>
    </row>
    <row r="158" spans="1:15" x14ac:dyDescent="0.25">
      <c r="A158" s="85"/>
      <c r="B158" s="42"/>
      <c r="C158" s="42"/>
      <c r="D158" s="42"/>
      <c r="E158" s="62"/>
      <c r="F158" s="62"/>
      <c r="G158" s="62"/>
      <c r="H158" s="42"/>
      <c r="I158" s="42"/>
      <c r="J158" s="42"/>
      <c r="K158" s="135"/>
      <c r="L158" s="136"/>
      <c r="M158" s="42"/>
      <c r="N158" s="133"/>
      <c r="O158" s="133"/>
    </row>
    <row r="159" spans="1:15" x14ac:dyDescent="0.25">
      <c r="A159" s="85"/>
      <c r="B159" s="42"/>
      <c r="C159" s="42"/>
      <c r="D159" s="42"/>
      <c r="E159" s="62"/>
      <c r="F159" s="62"/>
      <c r="G159" s="62"/>
      <c r="H159" s="42"/>
      <c r="I159" s="42"/>
      <c r="J159" s="42"/>
      <c r="K159" s="135"/>
      <c r="L159" s="136"/>
      <c r="M159" s="42"/>
      <c r="N159" s="133"/>
      <c r="O159" s="133"/>
    </row>
    <row r="160" spans="1:15" x14ac:dyDescent="0.25">
      <c r="A160" s="85"/>
      <c r="B160" s="42"/>
      <c r="C160" s="42"/>
      <c r="D160" s="42"/>
      <c r="E160" s="62"/>
      <c r="F160" s="62"/>
      <c r="G160" s="62"/>
      <c r="H160" s="42"/>
      <c r="I160" s="42"/>
      <c r="J160" s="42"/>
      <c r="K160" s="135"/>
      <c r="L160" s="136"/>
      <c r="M160" s="42"/>
      <c r="N160" s="133"/>
      <c r="O160" s="133"/>
    </row>
    <row r="161" spans="1:15" x14ac:dyDescent="0.25">
      <c r="A161" s="85"/>
      <c r="B161" s="42"/>
      <c r="C161" s="42"/>
      <c r="D161" s="42"/>
      <c r="E161" s="62"/>
      <c r="F161" s="62"/>
      <c r="G161" s="62"/>
      <c r="H161" s="42"/>
      <c r="I161" s="42"/>
      <c r="J161" s="42"/>
      <c r="K161" s="135"/>
      <c r="L161" s="136"/>
      <c r="M161" s="42"/>
      <c r="N161" s="133"/>
      <c r="O161" s="133"/>
    </row>
    <row r="162" spans="1:15" x14ac:dyDescent="0.25">
      <c r="A162" s="85"/>
      <c r="B162" s="42"/>
      <c r="C162" s="42"/>
      <c r="D162" s="42"/>
      <c r="E162" s="62"/>
      <c r="F162" s="62"/>
      <c r="G162" s="62"/>
      <c r="H162" s="42"/>
      <c r="I162" s="42"/>
      <c r="J162" s="42"/>
      <c r="K162" s="135"/>
      <c r="L162" s="136"/>
      <c r="M162" s="42"/>
      <c r="N162" s="133"/>
      <c r="O162" s="133"/>
    </row>
    <row r="163" spans="1:15" x14ac:dyDescent="0.25">
      <c r="A163" s="85"/>
      <c r="B163" s="42"/>
      <c r="C163" s="42"/>
      <c r="D163" s="42"/>
      <c r="E163" s="62"/>
      <c r="F163" s="62"/>
      <c r="G163" s="62"/>
      <c r="H163" s="42"/>
      <c r="I163" s="42"/>
      <c r="J163" s="42"/>
      <c r="K163" s="135"/>
      <c r="L163" s="136"/>
      <c r="M163" s="42"/>
      <c r="N163" s="133"/>
      <c r="O163" s="133"/>
    </row>
    <row r="164" spans="1:15" x14ac:dyDescent="0.25">
      <c r="A164" s="85"/>
      <c r="B164" s="42"/>
      <c r="C164" s="42"/>
      <c r="D164" s="42"/>
      <c r="E164" s="62"/>
      <c r="F164" s="62"/>
      <c r="G164" s="62"/>
      <c r="H164" s="42"/>
      <c r="I164" s="42"/>
      <c r="J164" s="42"/>
      <c r="K164" s="135"/>
      <c r="L164" s="136"/>
      <c r="M164" s="42"/>
      <c r="N164" s="133"/>
      <c r="O164" s="133"/>
    </row>
    <row r="165" spans="1:15" x14ac:dyDescent="0.25">
      <c r="A165" s="85"/>
      <c r="B165" s="42"/>
      <c r="C165" s="42"/>
      <c r="D165" s="42"/>
      <c r="E165" s="62"/>
      <c r="F165" s="62"/>
      <c r="G165" s="62"/>
      <c r="H165" s="42"/>
      <c r="I165" s="42"/>
      <c r="J165" s="42"/>
      <c r="K165" s="135"/>
      <c r="L165" s="136"/>
      <c r="M165" s="42"/>
      <c r="N165" s="133"/>
      <c r="O165" s="133"/>
    </row>
    <row r="166" spans="1:15" x14ac:dyDescent="0.25">
      <c r="A166" s="85"/>
      <c r="B166" s="42"/>
      <c r="C166" s="42"/>
      <c r="D166" s="42"/>
      <c r="E166" s="62"/>
      <c r="F166" s="62"/>
      <c r="G166" s="62"/>
      <c r="H166" s="42"/>
      <c r="I166" s="42"/>
      <c r="J166" s="42"/>
      <c r="K166" s="135"/>
      <c r="L166" s="136"/>
      <c r="M166" s="42"/>
      <c r="N166" s="133"/>
      <c r="O166" s="133"/>
    </row>
    <row r="167" spans="1:15" x14ac:dyDescent="0.25">
      <c r="A167" s="85"/>
      <c r="B167" s="42"/>
      <c r="C167" s="42"/>
      <c r="D167" s="42"/>
      <c r="E167" s="62"/>
      <c r="F167" s="62"/>
      <c r="G167" s="62"/>
      <c r="H167" s="42"/>
      <c r="I167" s="42"/>
      <c r="J167" s="42"/>
      <c r="K167" s="135"/>
      <c r="L167" s="136"/>
      <c r="M167" s="42"/>
      <c r="N167" s="133"/>
      <c r="O167" s="133"/>
    </row>
    <row r="168" spans="1:15" x14ac:dyDescent="0.25">
      <c r="A168" s="85"/>
      <c r="B168" s="42"/>
      <c r="C168" s="42"/>
      <c r="D168" s="42"/>
      <c r="E168" s="62"/>
      <c r="F168" s="62"/>
      <c r="G168" s="62"/>
      <c r="H168" s="42"/>
      <c r="I168" s="42"/>
      <c r="J168" s="42"/>
      <c r="K168" s="135"/>
      <c r="L168" s="136"/>
      <c r="M168" s="42"/>
      <c r="N168" s="133"/>
      <c r="O168" s="133"/>
    </row>
    <row r="169" spans="1:15" x14ac:dyDescent="0.25">
      <c r="A169" s="85"/>
      <c r="B169" s="42"/>
      <c r="C169" s="42"/>
      <c r="D169" s="42"/>
      <c r="E169" s="62"/>
      <c r="F169" s="62"/>
      <c r="G169" s="62"/>
      <c r="H169" s="42"/>
      <c r="I169" s="42"/>
      <c r="J169" s="42"/>
      <c r="K169" s="135"/>
      <c r="L169" s="136"/>
      <c r="M169" s="42"/>
      <c r="N169" s="133"/>
      <c r="O169" s="133"/>
    </row>
    <row r="170" spans="1:15" x14ac:dyDescent="0.25">
      <c r="A170" s="85"/>
      <c r="B170" s="42"/>
      <c r="C170" s="42"/>
      <c r="D170" s="42"/>
      <c r="E170" s="62"/>
      <c r="F170" s="62"/>
      <c r="G170" s="62"/>
      <c r="H170" s="42"/>
      <c r="I170" s="42"/>
      <c r="J170" s="42"/>
      <c r="K170" s="135"/>
      <c r="L170" s="136"/>
      <c r="M170" s="42"/>
      <c r="N170" s="133"/>
      <c r="O170" s="133"/>
    </row>
    <row r="171" spans="1:15" x14ac:dyDescent="0.25">
      <c r="A171" s="85"/>
      <c r="B171" s="42"/>
      <c r="C171" s="42"/>
      <c r="D171" s="42"/>
      <c r="E171" s="62"/>
      <c r="F171" s="62"/>
      <c r="G171" s="62"/>
      <c r="H171" s="42"/>
      <c r="I171" s="42"/>
      <c r="J171" s="42"/>
      <c r="K171" s="135"/>
      <c r="L171" s="136"/>
      <c r="M171" s="42"/>
      <c r="N171" s="133"/>
      <c r="O171" s="133"/>
    </row>
    <row r="172" spans="1:15" x14ac:dyDescent="0.25">
      <c r="A172" s="85"/>
      <c r="B172" s="42"/>
      <c r="C172" s="42"/>
      <c r="D172" s="42"/>
      <c r="E172" s="62"/>
      <c r="F172" s="62"/>
      <c r="G172" s="62"/>
      <c r="H172" s="42"/>
      <c r="I172" s="42"/>
      <c r="J172" s="42"/>
      <c r="K172" s="135"/>
      <c r="L172" s="136"/>
      <c r="M172" s="42"/>
      <c r="N172" s="133"/>
      <c r="O172" s="133"/>
    </row>
    <row r="173" spans="1:15" x14ac:dyDescent="0.25">
      <c r="A173" s="85"/>
      <c r="B173" s="42"/>
      <c r="C173" s="42"/>
      <c r="D173" s="42"/>
      <c r="E173" s="62"/>
      <c r="F173" s="62"/>
      <c r="G173" s="62"/>
      <c r="H173" s="42"/>
      <c r="I173" s="42"/>
      <c r="J173" s="42"/>
      <c r="K173" s="135"/>
      <c r="L173" s="136"/>
      <c r="M173" s="42"/>
      <c r="N173" s="133"/>
      <c r="O173" s="133"/>
    </row>
    <row r="174" spans="1:15" x14ac:dyDescent="0.25">
      <c r="A174" s="85"/>
      <c r="B174" s="42"/>
      <c r="C174" s="42"/>
      <c r="D174" s="42"/>
      <c r="E174" s="62"/>
      <c r="F174" s="62"/>
      <c r="G174" s="62"/>
      <c r="H174" s="42"/>
      <c r="I174" s="42"/>
      <c r="J174" s="42"/>
      <c r="K174" s="135"/>
      <c r="L174" s="136"/>
      <c r="M174" s="42"/>
      <c r="N174" s="133"/>
      <c r="O174" s="133"/>
    </row>
    <row r="175" spans="1:15" x14ac:dyDescent="0.25">
      <c r="A175" s="85"/>
      <c r="B175" s="42"/>
      <c r="C175" s="42"/>
      <c r="D175" s="42"/>
      <c r="E175" s="62"/>
      <c r="F175" s="62"/>
      <c r="G175" s="62"/>
      <c r="H175" s="42"/>
      <c r="I175" s="42"/>
      <c r="J175" s="42"/>
      <c r="K175" s="135"/>
      <c r="L175" s="136"/>
      <c r="M175" s="42"/>
      <c r="N175" s="133"/>
      <c r="O175" s="133"/>
    </row>
    <row r="176" spans="1:15" x14ac:dyDescent="0.25">
      <c r="A176" s="85"/>
      <c r="B176" s="42"/>
      <c r="C176" s="42"/>
      <c r="D176" s="42"/>
      <c r="E176" s="62"/>
      <c r="F176" s="62"/>
      <c r="G176" s="62"/>
      <c r="H176" s="42"/>
      <c r="I176" s="42"/>
      <c r="J176" s="42"/>
      <c r="K176" s="135"/>
      <c r="L176" s="136"/>
      <c r="M176" s="42"/>
      <c r="N176" s="133"/>
      <c r="O176" s="133"/>
    </row>
    <row r="177" spans="1:15" x14ac:dyDescent="0.25">
      <c r="A177" s="85"/>
      <c r="B177" s="42"/>
      <c r="C177" s="42"/>
      <c r="D177" s="42"/>
      <c r="E177" s="62"/>
      <c r="F177" s="62"/>
      <c r="G177" s="62"/>
      <c r="H177" s="42"/>
      <c r="I177" s="42"/>
      <c r="J177" s="42"/>
      <c r="K177" s="135"/>
      <c r="L177" s="136"/>
      <c r="M177" s="42"/>
      <c r="N177" s="133"/>
      <c r="O177" s="133"/>
    </row>
    <row r="178" spans="1:15" x14ac:dyDescent="0.25">
      <c r="A178" s="85"/>
      <c r="B178" s="42"/>
      <c r="C178" s="42"/>
      <c r="D178" s="42"/>
      <c r="E178" s="62"/>
      <c r="F178" s="62"/>
      <c r="G178" s="62"/>
      <c r="H178" s="42"/>
      <c r="I178" s="42"/>
      <c r="J178" s="42"/>
      <c r="K178" s="135"/>
      <c r="L178" s="136"/>
      <c r="M178" s="42"/>
      <c r="N178" s="133"/>
      <c r="O178" s="133"/>
    </row>
    <row r="179" spans="1:15" x14ac:dyDescent="0.25">
      <c r="A179" s="85"/>
      <c r="B179" s="42"/>
      <c r="C179" s="42"/>
      <c r="D179" s="42"/>
      <c r="E179" s="62"/>
      <c r="F179" s="62"/>
      <c r="G179" s="62"/>
      <c r="H179" s="42"/>
      <c r="I179" s="42"/>
      <c r="J179" s="42"/>
      <c r="K179" s="135"/>
      <c r="L179" s="136"/>
      <c r="M179" s="42"/>
      <c r="N179" s="133"/>
      <c r="O179" s="133"/>
    </row>
    <row r="180" spans="1:15" x14ac:dyDescent="0.25">
      <c r="A180" s="85"/>
      <c r="B180" s="42"/>
      <c r="C180" s="42"/>
      <c r="D180" s="42"/>
      <c r="E180" s="62"/>
      <c r="F180" s="62"/>
      <c r="G180" s="62"/>
      <c r="H180" s="42"/>
      <c r="I180" s="42"/>
      <c r="J180" s="42"/>
      <c r="K180" s="135"/>
      <c r="L180" s="136"/>
      <c r="M180" s="42"/>
      <c r="N180" s="133"/>
      <c r="O180" s="133"/>
    </row>
    <row r="181" spans="1:15" x14ac:dyDescent="0.25">
      <c r="A181" s="85"/>
      <c r="B181" s="42"/>
      <c r="C181" s="42"/>
      <c r="D181" s="42"/>
      <c r="E181" s="62"/>
      <c r="F181" s="62"/>
      <c r="G181" s="62"/>
      <c r="H181" s="42"/>
      <c r="I181" s="42"/>
      <c r="J181" s="42"/>
      <c r="K181" s="135"/>
      <c r="L181" s="136"/>
      <c r="M181" s="42"/>
      <c r="N181" s="133"/>
      <c r="O181" s="133"/>
    </row>
    <row r="182" spans="1:15" x14ac:dyDescent="0.25">
      <c r="A182" s="85"/>
      <c r="B182" s="42"/>
      <c r="C182" s="42"/>
      <c r="D182" s="42"/>
      <c r="E182" s="62"/>
      <c r="F182" s="62"/>
      <c r="G182" s="62"/>
      <c r="H182" s="42"/>
      <c r="I182" s="42"/>
      <c r="J182" s="42"/>
      <c r="K182" s="135"/>
      <c r="L182" s="136"/>
      <c r="M182" s="42"/>
      <c r="N182" s="133"/>
      <c r="O182" s="133"/>
    </row>
    <row r="183" spans="1:15" x14ac:dyDescent="0.25">
      <c r="A183" s="85"/>
      <c r="B183" s="42"/>
      <c r="C183" s="42"/>
      <c r="D183" s="42"/>
      <c r="E183" s="62"/>
      <c r="F183" s="62"/>
      <c r="G183" s="62"/>
      <c r="H183" s="42"/>
      <c r="I183" s="42"/>
      <c r="J183" s="42"/>
      <c r="K183" s="135"/>
      <c r="L183" s="136"/>
      <c r="M183" s="42"/>
      <c r="N183" s="133"/>
      <c r="O183" s="133"/>
    </row>
    <row r="184" spans="1:15" x14ac:dyDescent="0.25">
      <c r="A184" s="85"/>
      <c r="B184" s="42"/>
      <c r="C184" s="42"/>
      <c r="D184" s="42"/>
      <c r="E184" s="62"/>
      <c r="F184" s="62"/>
      <c r="G184" s="62"/>
      <c r="H184" s="42"/>
      <c r="I184" s="42"/>
      <c r="J184" s="42"/>
      <c r="K184" s="135"/>
      <c r="L184" s="136"/>
      <c r="M184" s="42"/>
      <c r="N184" s="133"/>
      <c r="O184" s="133"/>
    </row>
    <row r="185" spans="1:15" x14ac:dyDescent="0.25">
      <c r="A185" s="85"/>
      <c r="B185" s="42"/>
      <c r="C185" s="42"/>
      <c r="D185" s="42"/>
      <c r="E185" s="62"/>
      <c r="F185" s="62"/>
      <c r="G185" s="62"/>
      <c r="H185" s="42"/>
      <c r="I185" s="42"/>
      <c r="J185" s="42"/>
      <c r="K185" s="135"/>
      <c r="L185" s="136"/>
      <c r="M185" s="42"/>
      <c r="N185" s="133"/>
      <c r="O185" s="133"/>
    </row>
    <row r="186" spans="1:15" x14ac:dyDescent="0.25">
      <c r="A186" s="85"/>
      <c r="B186" s="42"/>
      <c r="C186" s="42"/>
      <c r="D186" s="42"/>
      <c r="E186" s="62"/>
      <c r="F186" s="62"/>
      <c r="G186" s="62"/>
      <c r="H186" s="42"/>
      <c r="I186" s="42"/>
      <c r="J186" s="42"/>
      <c r="K186" s="135"/>
      <c r="L186" s="136"/>
      <c r="M186" s="42"/>
      <c r="N186" s="133"/>
      <c r="O186" s="133"/>
    </row>
    <row r="187" spans="1:15" x14ac:dyDescent="0.25">
      <c r="A187" s="85"/>
      <c r="B187" s="42"/>
      <c r="C187" s="42"/>
      <c r="D187" s="42"/>
      <c r="E187" s="62"/>
      <c r="F187" s="62"/>
      <c r="G187" s="62"/>
      <c r="H187" s="42"/>
      <c r="I187" s="42"/>
      <c r="J187" s="42"/>
      <c r="K187" s="135"/>
      <c r="L187" s="136"/>
      <c r="M187" s="42"/>
      <c r="N187" s="133"/>
      <c r="O187" s="133"/>
    </row>
    <row r="188" spans="1:15" x14ac:dyDescent="0.25">
      <c r="A188" s="85"/>
      <c r="B188" s="42"/>
      <c r="C188" s="42"/>
      <c r="D188" s="42"/>
      <c r="E188" s="62"/>
      <c r="F188" s="62"/>
      <c r="G188" s="62"/>
      <c r="H188" s="42"/>
      <c r="I188" s="42"/>
      <c r="J188" s="42"/>
      <c r="K188" s="135"/>
      <c r="L188" s="136"/>
      <c r="M188" s="42"/>
      <c r="N188" s="133"/>
      <c r="O188" s="133"/>
    </row>
    <row r="189" spans="1:15" x14ac:dyDescent="0.25">
      <c r="A189" s="85"/>
      <c r="B189" s="42"/>
      <c r="C189" s="42"/>
      <c r="D189" s="42"/>
      <c r="E189" s="62"/>
      <c r="F189" s="62"/>
      <c r="G189" s="62"/>
      <c r="H189" s="42"/>
      <c r="I189" s="42"/>
      <c r="J189" s="42"/>
      <c r="K189" s="135"/>
      <c r="L189" s="136"/>
      <c r="M189" s="42"/>
      <c r="N189" s="133"/>
      <c r="O189" s="133"/>
    </row>
    <row r="190" spans="1:15" x14ac:dyDescent="0.25">
      <c r="A190" s="85"/>
      <c r="B190" s="42"/>
      <c r="C190" s="42"/>
      <c r="D190" s="42"/>
      <c r="E190" s="62"/>
      <c r="F190" s="62"/>
      <c r="G190" s="62"/>
      <c r="H190" s="42"/>
      <c r="I190" s="42"/>
      <c r="J190" s="42"/>
      <c r="K190" s="135"/>
      <c r="L190" s="136"/>
      <c r="M190" s="42"/>
      <c r="N190" s="133"/>
      <c r="O190" s="133"/>
    </row>
    <row r="191" spans="1:15" x14ac:dyDescent="0.25">
      <c r="A191" s="85"/>
      <c r="B191" s="42"/>
      <c r="C191" s="42"/>
      <c r="D191" s="42"/>
      <c r="E191" s="62"/>
      <c r="F191" s="62"/>
      <c r="G191" s="62"/>
      <c r="H191" s="42"/>
      <c r="I191" s="42"/>
      <c r="J191" s="42"/>
      <c r="K191" s="135"/>
      <c r="L191" s="136"/>
      <c r="M191" s="42"/>
      <c r="N191" s="133"/>
      <c r="O191" s="133"/>
    </row>
    <row r="192" spans="1:15" x14ac:dyDescent="0.25">
      <c r="A192" s="85"/>
      <c r="B192" s="42"/>
      <c r="C192" s="42"/>
      <c r="D192" s="42"/>
      <c r="E192" s="62"/>
      <c r="F192" s="62"/>
      <c r="G192" s="62"/>
      <c r="H192" s="42"/>
      <c r="I192" s="42"/>
      <c r="J192" s="42"/>
      <c r="K192" s="135"/>
      <c r="L192" s="136"/>
      <c r="M192" s="42"/>
      <c r="N192" s="133"/>
      <c r="O192" s="133"/>
    </row>
    <row r="193" spans="1:15" x14ac:dyDescent="0.25">
      <c r="A193" s="85"/>
      <c r="B193" s="42"/>
      <c r="C193" s="42"/>
      <c r="D193" s="42"/>
      <c r="E193" s="62"/>
      <c r="F193" s="62"/>
      <c r="G193" s="62"/>
      <c r="H193" s="42"/>
      <c r="I193" s="42"/>
      <c r="J193" s="42"/>
      <c r="K193" s="135"/>
      <c r="L193" s="136"/>
      <c r="M193" s="42"/>
      <c r="N193" s="133"/>
      <c r="O193" s="133"/>
    </row>
    <row r="194" spans="1:15" x14ac:dyDescent="0.25">
      <c r="A194" s="85"/>
      <c r="B194" s="42"/>
      <c r="C194" s="42"/>
      <c r="D194" s="42"/>
      <c r="E194" s="62"/>
      <c r="F194" s="62"/>
      <c r="G194" s="62"/>
      <c r="H194" s="42"/>
      <c r="I194" s="42"/>
      <c r="J194" s="42"/>
      <c r="K194" s="135"/>
      <c r="L194" s="136"/>
      <c r="M194" s="42"/>
      <c r="N194" s="133"/>
      <c r="O194" s="133"/>
    </row>
    <row r="195" spans="1:15" x14ac:dyDescent="0.25">
      <c r="A195" s="85"/>
      <c r="B195" s="42"/>
      <c r="C195" s="42"/>
      <c r="D195" s="42"/>
      <c r="E195" s="62"/>
      <c r="F195" s="62"/>
      <c r="G195" s="62"/>
      <c r="H195" s="42"/>
      <c r="I195" s="42"/>
      <c r="J195" s="42"/>
      <c r="K195" s="135"/>
      <c r="L195" s="136"/>
      <c r="M195" s="42"/>
      <c r="N195" s="133"/>
      <c r="O195" s="133"/>
    </row>
    <row r="196" spans="1:15" x14ac:dyDescent="0.25">
      <c r="A196" s="85"/>
      <c r="B196" s="42"/>
      <c r="C196" s="42"/>
      <c r="D196" s="42"/>
      <c r="E196" s="62"/>
      <c r="F196" s="62"/>
      <c r="G196" s="62"/>
      <c r="H196" s="42"/>
      <c r="I196" s="42"/>
      <c r="J196" s="42"/>
      <c r="K196" s="135"/>
      <c r="L196" s="136"/>
      <c r="M196" s="42"/>
      <c r="N196" s="133"/>
      <c r="O196" s="133"/>
    </row>
    <row r="197" spans="1:15" x14ac:dyDescent="0.25">
      <c r="A197" s="85"/>
      <c r="B197" s="42"/>
      <c r="C197" s="42"/>
      <c r="D197" s="42"/>
      <c r="E197" s="62"/>
      <c r="F197" s="62"/>
      <c r="G197" s="62"/>
      <c r="H197" s="42"/>
      <c r="I197" s="42"/>
      <c r="J197" s="42"/>
      <c r="K197" s="135"/>
      <c r="L197" s="136"/>
      <c r="M197" s="42"/>
      <c r="N197" s="133"/>
      <c r="O197" s="133"/>
    </row>
    <row r="198" spans="1:15" x14ac:dyDescent="0.25">
      <c r="A198" s="85"/>
      <c r="B198" s="42"/>
      <c r="C198" s="42"/>
      <c r="D198" s="42"/>
      <c r="E198" s="62"/>
      <c r="F198" s="62"/>
      <c r="G198" s="62"/>
      <c r="H198" s="42"/>
      <c r="I198" s="42"/>
      <c r="J198" s="42"/>
      <c r="K198" s="135"/>
      <c r="L198" s="136"/>
      <c r="M198" s="42"/>
      <c r="N198" s="133"/>
      <c r="O198" s="133"/>
    </row>
    <row r="199" spans="1:15" x14ac:dyDescent="0.25">
      <c r="A199" s="85"/>
      <c r="B199" s="42"/>
      <c r="C199" s="42"/>
      <c r="D199" s="42"/>
      <c r="E199" s="62"/>
      <c r="F199" s="62"/>
      <c r="G199" s="62"/>
      <c r="H199" s="42"/>
      <c r="I199" s="42"/>
      <c r="J199" s="42"/>
      <c r="K199" s="135"/>
      <c r="L199" s="136"/>
      <c r="M199" s="42"/>
      <c r="N199" s="133"/>
      <c r="O199" s="133"/>
    </row>
    <row r="200" spans="1:15" x14ac:dyDescent="0.25">
      <c r="A200" s="85"/>
      <c r="B200" s="42"/>
      <c r="C200" s="42"/>
      <c r="D200" s="42"/>
      <c r="E200" s="62"/>
      <c r="F200" s="62"/>
      <c r="G200" s="62"/>
      <c r="H200" s="42"/>
      <c r="I200" s="42"/>
      <c r="J200" s="42"/>
      <c r="K200" s="135"/>
      <c r="L200" s="136"/>
      <c r="M200" s="42"/>
      <c r="N200" s="133"/>
      <c r="O200" s="133"/>
    </row>
    <row r="201" spans="1:15" x14ac:dyDescent="0.25">
      <c r="A201" s="44"/>
      <c r="B201" s="42"/>
      <c r="C201" s="42"/>
      <c r="D201" s="42"/>
      <c r="E201" s="62"/>
      <c r="F201" s="62"/>
      <c r="G201" s="62"/>
      <c r="H201" s="42"/>
      <c r="I201" s="42"/>
      <c r="J201" s="42"/>
      <c r="K201" s="135"/>
      <c r="L201" s="136"/>
      <c r="M201" s="42"/>
      <c r="N201" s="133"/>
      <c r="O201" s="133"/>
    </row>
    <row r="202" spans="1:15" x14ac:dyDescent="0.25">
      <c r="O202" s="133"/>
    </row>
    <row r="203" spans="1:15" x14ac:dyDescent="0.25">
      <c r="O203" s="133"/>
    </row>
    <row r="204" spans="1:15" x14ac:dyDescent="0.25">
      <c r="O204" s="133"/>
    </row>
    <row r="205" spans="1:15" x14ac:dyDescent="0.25">
      <c r="O205" s="133"/>
    </row>
    <row r="206" spans="1:15" x14ac:dyDescent="0.25">
      <c r="O206" s="133"/>
    </row>
    <row r="207" spans="1:15" x14ac:dyDescent="0.25">
      <c r="O207" s="133"/>
    </row>
    <row r="208" spans="1:15" x14ac:dyDescent="0.25">
      <c r="O208" s="133"/>
    </row>
    <row r="209" spans="15:15" x14ac:dyDescent="0.25">
      <c r="O209" s="133"/>
    </row>
    <row r="210" spans="15:15" x14ac:dyDescent="0.25">
      <c r="O210" s="133"/>
    </row>
    <row r="211" spans="15:15" x14ac:dyDescent="0.25">
      <c r="O211" s="133"/>
    </row>
    <row r="212" spans="15:15" x14ac:dyDescent="0.25">
      <c r="O212" s="133"/>
    </row>
    <row r="213" spans="15:15" x14ac:dyDescent="0.25">
      <c r="O213" s="133"/>
    </row>
    <row r="214" spans="15:15" x14ac:dyDescent="0.25">
      <c r="O214" s="133"/>
    </row>
    <row r="215" spans="15:15" x14ac:dyDescent="0.25">
      <c r="O215" s="133"/>
    </row>
    <row r="216" spans="15:15" x14ac:dyDescent="0.25">
      <c r="O216" s="133"/>
    </row>
    <row r="217" spans="15:15" x14ac:dyDescent="0.25">
      <c r="O217" s="133"/>
    </row>
    <row r="218" spans="15:15" x14ac:dyDescent="0.25">
      <c r="O218" s="133"/>
    </row>
    <row r="219" spans="15:15" x14ac:dyDescent="0.25">
      <c r="O219" s="133"/>
    </row>
    <row r="220" spans="15:15" x14ac:dyDescent="0.25">
      <c r="O220" s="133"/>
    </row>
    <row r="221" spans="15:15" x14ac:dyDescent="0.25">
      <c r="O221" s="133"/>
    </row>
    <row r="222" spans="15:15" x14ac:dyDescent="0.25">
      <c r="O222" s="133"/>
    </row>
    <row r="223" spans="15:15" x14ac:dyDescent="0.25">
      <c r="O223" s="133"/>
    </row>
    <row r="224" spans="15:15" x14ac:dyDescent="0.25">
      <c r="O224" s="133"/>
    </row>
    <row r="225" spans="15:15" x14ac:dyDescent="0.25">
      <c r="O225" s="133"/>
    </row>
    <row r="226" spans="15:15" x14ac:dyDescent="0.25">
      <c r="O226" s="133"/>
    </row>
    <row r="227" spans="15:15" x14ac:dyDescent="0.25">
      <c r="O227" s="133"/>
    </row>
    <row r="228" spans="15:15" x14ac:dyDescent="0.25">
      <c r="O228" s="133"/>
    </row>
    <row r="229" spans="15:15" x14ac:dyDescent="0.25">
      <c r="O229" s="133"/>
    </row>
    <row r="230" spans="15:15" x14ac:dyDescent="0.25">
      <c r="O230" s="133"/>
    </row>
    <row r="231" spans="15:15" x14ac:dyDescent="0.25">
      <c r="O231" s="133"/>
    </row>
    <row r="232" spans="15:15" x14ac:dyDescent="0.25">
      <c r="O232" s="133"/>
    </row>
    <row r="233" spans="15:15" x14ac:dyDescent="0.25">
      <c r="O233" s="133"/>
    </row>
    <row r="234" spans="15:15" x14ac:dyDescent="0.25">
      <c r="O234" s="133"/>
    </row>
    <row r="235" spans="15:15" x14ac:dyDescent="0.25">
      <c r="O235" s="133"/>
    </row>
    <row r="236" spans="15:15" x14ac:dyDescent="0.25">
      <c r="O236" s="133"/>
    </row>
    <row r="237" spans="15:15" x14ac:dyDescent="0.25">
      <c r="O237" s="133"/>
    </row>
    <row r="238" spans="15:15" x14ac:dyDescent="0.25">
      <c r="O238" s="133"/>
    </row>
    <row r="239" spans="15:15" x14ac:dyDescent="0.25">
      <c r="O239" s="133"/>
    </row>
    <row r="240" spans="15:15" x14ac:dyDescent="0.25">
      <c r="O240" s="133"/>
    </row>
    <row r="241" spans="15:15" x14ac:dyDescent="0.25">
      <c r="O241" s="133"/>
    </row>
    <row r="242" spans="15:15" x14ac:dyDescent="0.25">
      <c r="O242" s="133"/>
    </row>
    <row r="243" spans="15:15" x14ac:dyDescent="0.25">
      <c r="O243" s="133"/>
    </row>
    <row r="244" spans="15:15" x14ac:dyDescent="0.25">
      <c r="O244" s="133"/>
    </row>
    <row r="245" spans="15:15" x14ac:dyDescent="0.25">
      <c r="O245" s="133"/>
    </row>
    <row r="246" spans="15:15" x14ac:dyDescent="0.25">
      <c r="O246" s="133"/>
    </row>
    <row r="247" spans="15:15" x14ac:dyDescent="0.25">
      <c r="O247" s="133"/>
    </row>
    <row r="248" spans="15:15" x14ac:dyDescent="0.25">
      <c r="O248" s="133"/>
    </row>
    <row r="249" spans="15:15" x14ac:dyDescent="0.25">
      <c r="O249" s="133"/>
    </row>
    <row r="250" spans="15:15" x14ac:dyDescent="0.25">
      <c r="O250" s="133"/>
    </row>
    <row r="251" spans="15:15" x14ac:dyDescent="0.25">
      <c r="O251" s="133"/>
    </row>
    <row r="252" spans="15:15" x14ac:dyDescent="0.25">
      <c r="O252" s="133"/>
    </row>
    <row r="253" spans="15:15" x14ac:dyDescent="0.25">
      <c r="O253" s="133"/>
    </row>
    <row r="254" spans="15:15" x14ac:dyDescent="0.25">
      <c r="O254" s="133"/>
    </row>
    <row r="255" spans="15:15" x14ac:dyDescent="0.25">
      <c r="O255" s="133"/>
    </row>
    <row r="256" spans="15:15" x14ac:dyDescent="0.25">
      <c r="O256" s="133"/>
    </row>
    <row r="257" spans="15:15" x14ac:dyDescent="0.25">
      <c r="O257" s="133"/>
    </row>
    <row r="258" spans="15:15" x14ac:dyDescent="0.25">
      <c r="O258" s="133"/>
    </row>
    <row r="259" spans="15:15" x14ac:dyDescent="0.25">
      <c r="O259" s="133"/>
    </row>
    <row r="260" spans="15:15" x14ac:dyDescent="0.25">
      <c r="O260" s="133"/>
    </row>
    <row r="261" spans="15:15" x14ac:dyDescent="0.25">
      <c r="O261" s="133"/>
    </row>
    <row r="262" spans="15:15" x14ac:dyDescent="0.25">
      <c r="O262" s="133"/>
    </row>
    <row r="263" spans="15:15" x14ac:dyDescent="0.25">
      <c r="O263" s="133"/>
    </row>
    <row r="264" spans="15:15" x14ac:dyDescent="0.25">
      <c r="O264" s="133"/>
    </row>
    <row r="265" spans="15:15" x14ac:dyDescent="0.25">
      <c r="O265" s="133"/>
    </row>
    <row r="266" spans="15:15" x14ac:dyDescent="0.25">
      <c r="O266" s="133"/>
    </row>
    <row r="267" spans="15:15" x14ac:dyDescent="0.25">
      <c r="O267" s="133"/>
    </row>
    <row r="268" spans="15:15" x14ac:dyDescent="0.25">
      <c r="O268" s="133"/>
    </row>
    <row r="269" spans="15:15" x14ac:dyDescent="0.25">
      <c r="O269" s="133"/>
    </row>
    <row r="270" spans="15:15" x14ac:dyDescent="0.25">
      <c r="O270" s="133"/>
    </row>
    <row r="271" spans="15:15" x14ac:dyDescent="0.25">
      <c r="O271" s="133"/>
    </row>
    <row r="272" spans="15:15" x14ac:dyDescent="0.25">
      <c r="O272" s="133"/>
    </row>
    <row r="273" spans="15:15" x14ac:dyDescent="0.25">
      <c r="O273" s="133"/>
    </row>
    <row r="274" spans="15:15" x14ac:dyDescent="0.25">
      <c r="O274" s="133"/>
    </row>
    <row r="275" spans="15:15" x14ac:dyDescent="0.25">
      <c r="O275" s="133"/>
    </row>
    <row r="276" spans="15:15" x14ac:dyDescent="0.25">
      <c r="O276" s="133"/>
    </row>
    <row r="277" spans="15:15" x14ac:dyDescent="0.25">
      <c r="O277" s="133"/>
    </row>
    <row r="278" spans="15:15" x14ac:dyDescent="0.25">
      <c r="O278" s="133"/>
    </row>
    <row r="279" spans="15:15" x14ac:dyDescent="0.25">
      <c r="O279" s="133"/>
    </row>
    <row r="280" spans="15:15" x14ac:dyDescent="0.25">
      <c r="O280" s="133"/>
    </row>
    <row r="281" spans="15:15" x14ac:dyDescent="0.25">
      <c r="O281" s="133"/>
    </row>
    <row r="282" spans="15:15" x14ac:dyDescent="0.25">
      <c r="O282" s="133"/>
    </row>
    <row r="283" spans="15:15" x14ac:dyDescent="0.25">
      <c r="O283" s="133"/>
    </row>
    <row r="284" spans="15:15" x14ac:dyDescent="0.25">
      <c r="O284" s="133"/>
    </row>
    <row r="285" spans="15:15" x14ac:dyDescent="0.25">
      <c r="O285" s="133"/>
    </row>
    <row r="286" spans="15:15" x14ac:dyDescent="0.25">
      <c r="O286" s="133"/>
    </row>
    <row r="287" spans="15:15" x14ac:dyDescent="0.25">
      <c r="O287" s="133"/>
    </row>
    <row r="288" spans="15:15" x14ac:dyDescent="0.25">
      <c r="O288" s="133"/>
    </row>
    <row r="289" spans="15:15" x14ac:dyDescent="0.25">
      <c r="O289" s="133"/>
    </row>
    <row r="290" spans="15:15" x14ac:dyDescent="0.25">
      <c r="O290" s="133"/>
    </row>
    <row r="291" spans="15:15" x14ac:dyDescent="0.25">
      <c r="O291" s="133"/>
    </row>
    <row r="292" spans="15:15" x14ac:dyDescent="0.25">
      <c r="O292" s="133"/>
    </row>
    <row r="293" spans="15:15" x14ac:dyDescent="0.25">
      <c r="O293" s="133"/>
    </row>
    <row r="294" spans="15:15" x14ac:dyDescent="0.25">
      <c r="O294" s="133"/>
    </row>
    <row r="295" spans="15:15" x14ac:dyDescent="0.25">
      <c r="O295" s="133"/>
    </row>
    <row r="296" spans="15:15" x14ac:dyDescent="0.25">
      <c r="O296" s="133"/>
    </row>
    <row r="297" spans="15:15" x14ac:dyDescent="0.25">
      <c r="O297" s="133"/>
    </row>
    <row r="298" spans="15:15" x14ac:dyDescent="0.25">
      <c r="O298" s="133"/>
    </row>
    <row r="299" spans="15:15" x14ac:dyDescent="0.25">
      <c r="O299" s="133"/>
    </row>
    <row r="300" spans="15:15" x14ac:dyDescent="0.25">
      <c r="O300" s="133"/>
    </row>
    <row r="301" spans="15:15" x14ac:dyDescent="0.25">
      <c r="O301" s="133"/>
    </row>
    <row r="302" spans="15:15" x14ac:dyDescent="0.25">
      <c r="O302" s="133"/>
    </row>
    <row r="303" spans="15:15" x14ac:dyDescent="0.25">
      <c r="O303" s="133"/>
    </row>
    <row r="304" spans="15:15" x14ac:dyDescent="0.25">
      <c r="O304" s="133"/>
    </row>
    <row r="305" spans="15:15" x14ac:dyDescent="0.25">
      <c r="O305" s="133"/>
    </row>
    <row r="306" spans="15:15" x14ac:dyDescent="0.25">
      <c r="O306" s="133"/>
    </row>
    <row r="307" spans="15:15" x14ac:dyDescent="0.25">
      <c r="O307" s="133"/>
    </row>
  </sheetData>
  <pageMargins left="0.7" right="0.7" top="0.75" bottom="0.75" header="0.3" footer="0.3"/>
  <pageSetup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8"/>
  <sheetViews>
    <sheetView workbookViewId="0"/>
  </sheetViews>
  <sheetFormatPr defaultRowHeight="15" x14ac:dyDescent="0.25"/>
  <sheetData>
    <row r="1" spans="1:256" x14ac:dyDescent="0.25">
      <c r="A1" t="s">
        <v>186</v>
      </c>
      <c r="F1" t="e">
        <f>#REF!*";Hb!%"</f>
        <v>#REF!</v>
      </c>
      <c r="G1" t="e">
        <f>#REF!*";Hb!&amp;"</f>
        <v>#REF!</v>
      </c>
      <c r="H1" t="e">
        <f>#REF!*";Hb!'"</f>
        <v>#REF!</v>
      </c>
      <c r="I1" t="e">
        <f>#REF!*";Hb!("</f>
        <v>#REF!</v>
      </c>
      <c r="J1" t="e">
        <f>#REF!*";Hb!)"</f>
        <v>#REF!</v>
      </c>
      <c r="K1" t="e">
        <f>#REF!*";Hb!."</f>
        <v>#REF!</v>
      </c>
      <c r="L1" t="e">
        <f>#REF!*";Hb!/"</f>
        <v>#REF!</v>
      </c>
      <c r="M1" t="e">
        <f>#REF!*";Hb!0"</f>
        <v>#REF!</v>
      </c>
      <c r="N1" t="e">
        <f>#REF!*";Hb!1"</f>
        <v>#REF!</v>
      </c>
      <c r="O1" t="e">
        <f>#REF!*";Hb!2"</f>
        <v>#REF!</v>
      </c>
      <c r="P1" t="e">
        <f>#REF!*";Hb!3"</f>
        <v>#REF!</v>
      </c>
      <c r="Q1" t="e">
        <f>#REF!*";Hb!4"</f>
        <v>#REF!</v>
      </c>
      <c r="R1" t="e">
        <f>#REF!*";Hb!5"</f>
        <v>#REF!</v>
      </c>
      <c r="S1" t="e">
        <f>#REF!*";Hb!6"</f>
        <v>#REF!</v>
      </c>
      <c r="T1" t="e">
        <f>#REF!*";Hb!7"</f>
        <v>#REF!</v>
      </c>
      <c r="U1" t="e">
        <f>#REF!*";Hb!8"</f>
        <v>#REF!</v>
      </c>
      <c r="V1" t="e">
        <f>#REF!*";Hb!9"</f>
        <v>#REF!</v>
      </c>
      <c r="W1" t="e">
        <f>#REF!*";Hb!:"</f>
        <v>#REF!</v>
      </c>
      <c r="X1" t="e">
        <f>#REF!*";Hb!;"</f>
        <v>#REF!</v>
      </c>
      <c r="Y1" t="e">
        <f>#REF!*";Hb!&lt;"</f>
        <v>#REF!</v>
      </c>
      <c r="Z1" t="e">
        <f>#REF!*";Hb!="</f>
        <v>#REF!</v>
      </c>
      <c r="AA1" t="e">
        <f>#REF!*";Hb!&gt;"</f>
        <v>#REF!</v>
      </c>
      <c r="AB1" t="e">
        <f>#REF!*";Hb!?"</f>
        <v>#REF!</v>
      </c>
      <c r="AC1" t="e">
        <f>#REF!*";Hb!@"</f>
        <v>#REF!</v>
      </c>
      <c r="AD1" t="e">
        <f>#REF!*";Hb!A"</f>
        <v>#REF!</v>
      </c>
      <c r="AE1" t="e">
        <f>#REF!*";Hb!B"</f>
        <v>#REF!</v>
      </c>
      <c r="AF1" t="e">
        <f>#REF!*";Hb!C"</f>
        <v>#REF!</v>
      </c>
      <c r="AG1" t="e">
        <f>#REF!*";Hb!D"</f>
        <v>#REF!</v>
      </c>
      <c r="AH1" t="e">
        <f>#REF!*";Hb!E"</f>
        <v>#REF!</v>
      </c>
      <c r="AI1" t="e">
        <f>#REF!*";Hb!F"</f>
        <v>#REF!</v>
      </c>
      <c r="AJ1" t="e">
        <f>#REF!*";Hb!G"</f>
        <v>#REF!</v>
      </c>
      <c r="AK1" t="e">
        <f>#REF!*";Hb!H"</f>
        <v>#REF!</v>
      </c>
      <c r="AL1" t="e">
        <f>#REF!*";Hb!I"</f>
        <v>#REF!</v>
      </c>
      <c r="AM1" t="e">
        <f>#REF!*";Hb!J"</f>
        <v>#REF!</v>
      </c>
      <c r="AN1" t="e">
        <f>#REF!*";Hb!K"</f>
        <v>#REF!</v>
      </c>
      <c r="AO1" t="e">
        <f>#REF!*";Hb!L"</f>
        <v>#REF!</v>
      </c>
      <c r="AP1" t="e">
        <f>#REF!*";Hb!M"</f>
        <v>#REF!</v>
      </c>
      <c r="AQ1" t="e">
        <f>#REF!*";Hb!N"</f>
        <v>#REF!</v>
      </c>
      <c r="AR1" t="e">
        <f>#REF!*";Hb!O"</f>
        <v>#REF!</v>
      </c>
      <c r="AS1" t="e">
        <f>#REF!*";Hb!P"</f>
        <v>#REF!</v>
      </c>
      <c r="AT1" t="e">
        <f>#REF!*";Hb!Q"</f>
        <v>#REF!</v>
      </c>
      <c r="AU1" t="e">
        <f>#REF!*";Hb!R"</f>
        <v>#REF!</v>
      </c>
      <c r="AV1" t="e">
        <f>#REF!*";Hb!S"</f>
        <v>#REF!</v>
      </c>
      <c r="AW1" t="e">
        <f>#REF!*";Hb!T"</f>
        <v>#REF!</v>
      </c>
      <c r="AX1" t="e">
        <f>#REF!*";Hb!U"</f>
        <v>#REF!</v>
      </c>
      <c r="AY1" t="e">
        <f>#REF!*";Hb!V"</f>
        <v>#REF!</v>
      </c>
      <c r="AZ1" t="e">
        <f>#REF!*";Hb!W"</f>
        <v>#REF!</v>
      </c>
      <c r="BA1" t="e">
        <f>#REF!*";Hb!X"</f>
        <v>#REF!</v>
      </c>
      <c r="BB1" t="e">
        <f>#REF!*";Hb!Y"</f>
        <v>#REF!</v>
      </c>
      <c r="BC1" t="e">
        <f>#REF!*";Hb!Z"</f>
        <v>#REF!</v>
      </c>
      <c r="BD1" t="e">
        <f>#REF!*";Hb!["</f>
        <v>#REF!</v>
      </c>
      <c r="BE1" t="e">
        <f>#REF!-";Hb!\"</f>
        <v>#REF!</v>
      </c>
      <c r="BF1" t="e">
        <f>#REF!-";Hb!]"</f>
        <v>#REF!</v>
      </c>
      <c r="BG1" t="e">
        <f>#REF!-";Hb!^"</f>
        <v>#REF!</v>
      </c>
      <c r="BH1" t="e">
        <f>#REF!-";Hb!_"</f>
        <v>#REF!</v>
      </c>
      <c r="BI1" t="e">
        <f>#REF!-";Hb!`"</f>
        <v>#REF!</v>
      </c>
      <c r="BJ1" t="e">
        <f>#REF!-";Hb!a"</f>
        <v>#REF!</v>
      </c>
      <c r="BK1" t="e">
        <f>#REF!-";Hb!b"</f>
        <v>#REF!</v>
      </c>
      <c r="BL1" t="e">
        <f>#REF!-";Hb!c"</f>
        <v>#REF!</v>
      </c>
      <c r="BM1" t="e">
        <f>#REF!-";Hb!d"</f>
        <v>#REF!</v>
      </c>
      <c r="BN1" t="e">
        <f>#REF!-";Hb!e"</f>
        <v>#REF!</v>
      </c>
      <c r="BO1" t="e">
        <f>#REF!-";Hb!f"</f>
        <v>#REF!</v>
      </c>
      <c r="BP1" t="e">
        <f>#REF!-";Hb!g"</f>
        <v>#REF!</v>
      </c>
      <c r="BQ1" t="e">
        <f>#REF!-";Hb!h"</f>
        <v>#REF!</v>
      </c>
      <c r="BR1" t="e">
        <f>#REF!-";Hb!i"</f>
        <v>#REF!</v>
      </c>
      <c r="BS1" t="e">
        <f>#REF!-";Hb!j"</f>
        <v>#REF!</v>
      </c>
      <c r="BT1" t="e">
        <f>#REF!-";Hb!k"</f>
        <v>#REF!</v>
      </c>
      <c r="BU1" t="e">
        <f>#REF!-";Hb!l"</f>
        <v>#REF!</v>
      </c>
      <c r="BV1" t="e">
        <f>#REF!-";Hb!m"</f>
        <v>#REF!</v>
      </c>
      <c r="BW1" t="e">
        <f>#REF!-";Hb!n"</f>
        <v>#REF!</v>
      </c>
      <c r="BX1" t="e">
        <f>#REF!-";Hb!o"</f>
        <v>#REF!</v>
      </c>
      <c r="BY1" t="e">
        <f>#REF!-";Hb!p"</f>
        <v>#REF!</v>
      </c>
      <c r="BZ1" t="e">
        <f>#REF!-";Hb!q"</f>
        <v>#REF!</v>
      </c>
      <c r="CA1" t="e">
        <f>#REF!-";Hb!r"</f>
        <v>#REF!</v>
      </c>
      <c r="CB1" t="e">
        <f>#REF!-";Hb!s"</f>
        <v>#REF!</v>
      </c>
      <c r="CC1" t="e">
        <f>#REF!-";Hb!t"</f>
        <v>#REF!</v>
      </c>
      <c r="CD1" t="e">
        <f>#REF!-";Hb!u"</f>
        <v>#REF!</v>
      </c>
      <c r="CE1" t="e">
        <f>#REF!-";Hb!v"</f>
        <v>#REF!</v>
      </c>
      <c r="CF1" t="e">
        <f>#REF!-";Hb!w"</f>
        <v>#REF!</v>
      </c>
      <c r="CG1" t="e">
        <f>#REF!-";Hb!x"</f>
        <v>#REF!</v>
      </c>
      <c r="CH1" t="e">
        <f>#REF!-";Hb!y"</f>
        <v>#REF!</v>
      </c>
      <c r="CI1" t="e">
        <f>#REF!-";Hb!z"</f>
        <v>#REF!</v>
      </c>
      <c r="CJ1" t="e">
        <f>#REF!-";Hb!{"</f>
        <v>#REF!</v>
      </c>
      <c r="CK1" t="e">
        <f>#REF!-";Hb!|"</f>
        <v>#REF!</v>
      </c>
      <c r="CL1" t="e">
        <f>#REF!-";Hb!}"</f>
        <v>#REF!</v>
      </c>
      <c r="CM1" t="e">
        <f>#REF!-";Hb!~"</f>
        <v>#REF!</v>
      </c>
      <c r="CN1" t="e">
        <f>#REF!-";Hb!$#"</f>
        <v>#REF!</v>
      </c>
      <c r="CO1" t="e">
        <f>#REF!-";Hb!$$"</f>
        <v>#REF!</v>
      </c>
      <c r="CP1" t="e">
        <f>#REF!-";Hb!$%"</f>
        <v>#REF!</v>
      </c>
      <c r="CQ1" t="e">
        <f>#REF!-";Hb!$&amp;"</f>
        <v>#REF!</v>
      </c>
      <c r="CR1" t="e">
        <f>#REF!-";Hb!$'"</f>
        <v>#REF!</v>
      </c>
      <c r="CS1" t="e">
        <f>#REF!-";Hb!$("</f>
        <v>#REF!</v>
      </c>
      <c r="CT1" t="e">
        <f>#REF!-";Hb!$)"</f>
        <v>#REF!</v>
      </c>
      <c r="CU1" t="e">
        <f>#REF!-";Hb!$."</f>
        <v>#REF!</v>
      </c>
      <c r="CV1" t="e">
        <f>#REF!-";Hb!$/"</f>
        <v>#REF!</v>
      </c>
      <c r="CW1" t="e">
        <f>#REF!-";Hb!$0"</f>
        <v>#REF!</v>
      </c>
      <c r="CX1" t="e">
        <f>#REF!-";Hb!$1"</f>
        <v>#REF!</v>
      </c>
      <c r="CY1" t="e">
        <f>#REF!-";Hb!$2"</f>
        <v>#REF!</v>
      </c>
      <c r="CZ1" t="e">
        <f>#REF!-";Hb!$3"</f>
        <v>#REF!</v>
      </c>
      <c r="DA1" t="e">
        <f>#REF!-";Hb!$4"</f>
        <v>#REF!</v>
      </c>
      <c r="DB1" t="e">
        <f>#REF!-";Hb!$5"</f>
        <v>#REF!</v>
      </c>
      <c r="DC1" t="e">
        <f>#REF!-";Hb!$6"</f>
        <v>#REF!</v>
      </c>
      <c r="DD1" t="e">
        <f>#REF!-";Hb!$7"</f>
        <v>#REF!</v>
      </c>
      <c r="DE1" t="e">
        <f>#REF!-";Hb!$8"</f>
        <v>#REF!</v>
      </c>
      <c r="DF1" t="e">
        <f>#REF!-";Hb!$9"</f>
        <v>#REF!</v>
      </c>
      <c r="DG1" t="e">
        <f>#REF!-";Hb!$:"</f>
        <v>#REF!</v>
      </c>
      <c r="DH1" t="e">
        <f>#REF!-";Hb!$;"</f>
        <v>#REF!</v>
      </c>
      <c r="DI1" t="e">
        <f>#REF!-";Hb!$&lt;"</f>
        <v>#REF!</v>
      </c>
      <c r="DJ1" t="e">
        <f>#REF!-";Hb!$="</f>
        <v>#REF!</v>
      </c>
      <c r="DK1" t="e">
        <f>#REF!-";Hb!$&gt;"</f>
        <v>#REF!</v>
      </c>
      <c r="DL1" t="e">
        <f>#REF!-";Hb!$?"</f>
        <v>#REF!</v>
      </c>
      <c r="DM1" t="e">
        <f>#REF!-";Hb!$@"</f>
        <v>#REF!</v>
      </c>
      <c r="DN1" t="e">
        <f>#REF!-";Hb!$A"</f>
        <v>#REF!</v>
      </c>
      <c r="DO1" t="e">
        <f>#REF!-";Hb!$B"</f>
        <v>#REF!</v>
      </c>
      <c r="DP1" t="e">
        <f>#REF!-";Hb!$C"</f>
        <v>#REF!</v>
      </c>
      <c r="DQ1" t="e">
        <f>#REF!-";Hb!$D"</f>
        <v>#REF!</v>
      </c>
      <c r="DR1" t="e">
        <f>#REF!-";Hb!$E"</f>
        <v>#REF!</v>
      </c>
      <c r="DS1" t="e">
        <f>#REF!-";Hb!$F"</f>
        <v>#REF!</v>
      </c>
      <c r="DT1" t="e">
        <f>#REF!-";Hb!$G"</f>
        <v>#REF!</v>
      </c>
      <c r="DU1" t="e">
        <f>#REF!-";Hb!$H"</f>
        <v>#REF!</v>
      </c>
      <c r="DV1" t="e">
        <f>#REF!-";Hb!$I"</f>
        <v>#REF!</v>
      </c>
      <c r="DW1" t="e">
        <f>#REF!-";Hb!$J"</f>
        <v>#REF!</v>
      </c>
      <c r="DX1" t="e">
        <f>#REF!-";Hb!$K"</f>
        <v>#REF!</v>
      </c>
      <c r="DY1" t="e">
        <f>#REF!-";Hb!$L"</f>
        <v>#REF!</v>
      </c>
      <c r="DZ1" t="e">
        <f>#REF!-";Hb!$M"</f>
        <v>#REF!</v>
      </c>
      <c r="EA1" t="e">
        <f>#REF!-";Hb!$N"</f>
        <v>#REF!</v>
      </c>
      <c r="EB1" t="e">
        <f>#REF!-";Hb!$O"</f>
        <v>#REF!</v>
      </c>
      <c r="EC1" t="e">
        <f>#REF!-";Hb!$P"</f>
        <v>#REF!</v>
      </c>
      <c r="ED1" t="e">
        <f>#REF!-";Hb!$Q"</f>
        <v>#REF!</v>
      </c>
      <c r="EE1" t="e">
        <f>#REF!-";Hb!$R"</f>
        <v>#REF!</v>
      </c>
      <c r="EF1" t="e">
        <f>#REF!-";Hb!$S"</f>
        <v>#REF!</v>
      </c>
      <c r="EG1" t="e">
        <f>#REF!-";Hb!$T"</f>
        <v>#REF!</v>
      </c>
      <c r="EH1" t="e">
        <f>#REF!-";Hb!$U"</f>
        <v>#REF!</v>
      </c>
      <c r="EI1" t="e">
        <f>#REF!-";Hb!$V"</f>
        <v>#REF!</v>
      </c>
      <c r="EJ1" t="e">
        <f>#REF!-";Hb!$W"</f>
        <v>#REF!</v>
      </c>
      <c r="EK1" t="e">
        <f>#REF!-";Hb!$X"</f>
        <v>#REF!</v>
      </c>
      <c r="EL1" t="e">
        <f>#REF!-";Hb!$Y"</f>
        <v>#REF!</v>
      </c>
      <c r="EM1" t="e">
        <f>#REF!-";Hb!$Z"</f>
        <v>#REF!</v>
      </c>
      <c r="EN1" t="e">
        <f>#REF!-";Hb!$["</f>
        <v>#REF!</v>
      </c>
      <c r="EO1" t="e">
        <f>#REF!-";Hb!$\"</f>
        <v>#REF!</v>
      </c>
      <c r="EP1" t="e">
        <f>#REF!-";Hb!$]"</f>
        <v>#REF!</v>
      </c>
      <c r="EQ1" t="e">
        <f>#REF!-";Hb!$^"</f>
        <v>#REF!</v>
      </c>
      <c r="ER1" t="e">
        <f>#REF!-";Hb!$_"</f>
        <v>#REF!</v>
      </c>
      <c r="ES1" t="e">
        <f>#REF!-";Hb!$`"</f>
        <v>#REF!</v>
      </c>
      <c r="ET1" t="e">
        <f>#REF!-";Hb!$a"</f>
        <v>#REF!</v>
      </c>
      <c r="EU1" t="e">
        <f>#REF!-";Hb!$b"</f>
        <v>#REF!</v>
      </c>
      <c r="EV1" t="e">
        <f>#REF!-";Hb!$c"</f>
        <v>#REF!</v>
      </c>
      <c r="EW1" t="e">
        <f>#REF!-";Hb!$d"</f>
        <v>#REF!</v>
      </c>
      <c r="EX1" t="e">
        <f>#REF!-";Hb!$e"</f>
        <v>#REF!</v>
      </c>
      <c r="EY1" t="e">
        <f>#REF!-";Hb!$f"</f>
        <v>#REF!</v>
      </c>
      <c r="EZ1" t="e">
        <f>#REF!-";Hb!$g"</f>
        <v>#REF!</v>
      </c>
      <c r="FA1" t="e">
        <f>#REF!-";Hb!$h"</f>
        <v>#REF!</v>
      </c>
      <c r="FB1" t="e">
        <f>#REF!-";Hb!$i"</f>
        <v>#REF!</v>
      </c>
      <c r="FC1" t="e">
        <f>#REF!-";Hb!$j"</f>
        <v>#REF!</v>
      </c>
      <c r="FD1" t="e">
        <f>#REF!-";Hb!$k"</f>
        <v>#REF!</v>
      </c>
      <c r="FE1" t="e">
        <f>#REF!-";Hb!$l"</f>
        <v>#REF!</v>
      </c>
      <c r="FF1" t="e">
        <f>#REF!-";Hb!$m"</f>
        <v>#REF!</v>
      </c>
      <c r="FG1" t="e">
        <f>#REF!-";Hb!$n"</f>
        <v>#REF!</v>
      </c>
      <c r="FH1" t="e">
        <f>#REF!-";Hb!$o"</f>
        <v>#REF!</v>
      </c>
      <c r="FI1" t="e">
        <f>#REF!-";Hb!$p"</f>
        <v>#REF!</v>
      </c>
      <c r="FJ1" t="e">
        <f>#REF!-";Hb!$q"</f>
        <v>#REF!</v>
      </c>
      <c r="FK1" t="e">
        <f>#REF!-";Hb!$r"</f>
        <v>#REF!</v>
      </c>
      <c r="FL1" t="e">
        <f>#REF!-";Hb!$s"</f>
        <v>#REF!</v>
      </c>
      <c r="FM1" t="e">
        <f>#REF!-";Hb!$t"</f>
        <v>#REF!</v>
      </c>
      <c r="FN1" t="e">
        <f>#REF!-";Hb!$u"</f>
        <v>#REF!</v>
      </c>
      <c r="FO1" t="e">
        <f>#REF!-";Hb!$v"</f>
        <v>#REF!</v>
      </c>
      <c r="FP1" t="e">
        <f>#REF!-";Hb!$w"</f>
        <v>#REF!</v>
      </c>
      <c r="FQ1" t="e">
        <f>#REF!-";Hb!$x"</f>
        <v>#REF!</v>
      </c>
      <c r="FR1" t="e">
        <f>#REF!-";Hb!$y"</f>
        <v>#REF!</v>
      </c>
      <c r="FS1" t="e">
        <f>#REF!-";Hb!$z"</f>
        <v>#REF!</v>
      </c>
      <c r="FT1" t="e">
        <f>#REF!-";Hb!${"</f>
        <v>#REF!</v>
      </c>
      <c r="FU1" t="e">
        <f>#REF!-";Hb!$|"</f>
        <v>#REF!</v>
      </c>
      <c r="FV1" t="e">
        <f>#REF!-";Hb!$}"</f>
        <v>#REF!</v>
      </c>
      <c r="FW1" t="e">
        <f>#REF!-";Hb!$~"</f>
        <v>#REF!</v>
      </c>
      <c r="FX1" t="e">
        <f>#REF!-";Hb!%#"</f>
        <v>#REF!</v>
      </c>
      <c r="FY1" t="e">
        <f>#REF!-";Hb!%$"</f>
        <v>#REF!</v>
      </c>
      <c r="FZ1" t="e">
        <f>#REF!-";Hb!%%"</f>
        <v>#REF!</v>
      </c>
      <c r="GA1" t="e">
        <f>#REF!-";Hb!%&amp;"</f>
        <v>#REF!</v>
      </c>
      <c r="GB1" t="e">
        <f>#REF!-";Hb!%'"</f>
        <v>#REF!</v>
      </c>
      <c r="GC1" t="e">
        <f>#REF!-";Hb!%("</f>
        <v>#REF!</v>
      </c>
      <c r="GD1" t="e">
        <f>#REF!-";Hb!%)"</f>
        <v>#REF!</v>
      </c>
      <c r="GE1" t="e">
        <f>#REF!-";Hb!%."</f>
        <v>#REF!</v>
      </c>
      <c r="GF1" t="e">
        <f>#REF!-";Hb!%/"</f>
        <v>#REF!</v>
      </c>
      <c r="GG1" t="e">
        <f>#REF!-";Hb!%0"</f>
        <v>#REF!</v>
      </c>
      <c r="GH1" t="e">
        <f>#REF!-";Hb!%1"</f>
        <v>#REF!</v>
      </c>
      <c r="GI1" t="e">
        <f>#REF!-";Hb!%2"</f>
        <v>#REF!</v>
      </c>
      <c r="GJ1" t="e">
        <f>#REF!-";Hb!%3"</f>
        <v>#REF!</v>
      </c>
      <c r="GK1" t="e">
        <f>#REF!-";Hb!%4"</f>
        <v>#REF!</v>
      </c>
      <c r="GL1" t="e">
        <f>#REF!-";Hb!%5"</f>
        <v>#REF!</v>
      </c>
      <c r="GM1" t="e">
        <f>#REF!-";Hb!%6"</f>
        <v>#REF!</v>
      </c>
      <c r="GN1" t="e">
        <f>#REF!-";Hb!%7"</f>
        <v>#REF!</v>
      </c>
      <c r="GO1" t="e">
        <f>#REF!-";Hb!%8"</f>
        <v>#REF!</v>
      </c>
      <c r="GP1" t="e">
        <f>#REF!-";Hb!%9"</f>
        <v>#REF!</v>
      </c>
      <c r="GQ1" t="e">
        <f>#REF!-";Hb!%:"</f>
        <v>#REF!</v>
      </c>
      <c r="GR1" t="e">
        <f>#REF!-";Hb!%;"</f>
        <v>#REF!</v>
      </c>
      <c r="GS1" t="e">
        <f>#REF!-";Hb!%&lt;"</f>
        <v>#REF!</v>
      </c>
      <c r="GT1" t="e">
        <f>#REF!-";Hb!%="</f>
        <v>#REF!</v>
      </c>
      <c r="GU1" t="e">
        <f>#REF!-";Hb!%&gt;"</f>
        <v>#REF!</v>
      </c>
      <c r="GV1" t="e">
        <f>#REF!-";Hb!%?"</f>
        <v>#REF!</v>
      </c>
      <c r="GW1" t="e">
        <f>#REF!-";Hb!%@"</f>
        <v>#REF!</v>
      </c>
      <c r="GX1" t="e">
        <f>#REF!-";Hb!%A"</f>
        <v>#REF!</v>
      </c>
      <c r="GY1" t="e">
        <f>#REF!-";Hb!%B"</f>
        <v>#REF!</v>
      </c>
      <c r="GZ1" t="e">
        <f>#REF!-";Hb!%C"</f>
        <v>#REF!</v>
      </c>
      <c r="HA1" t="e">
        <f>#REF!-";Hb!%D"</f>
        <v>#REF!</v>
      </c>
      <c r="HB1" t="e">
        <f>#REF!-";Hb!%E"</f>
        <v>#REF!</v>
      </c>
      <c r="HC1" t="e">
        <f>#REF!-";Hb!%F"</f>
        <v>#REF!</v>
      </c>
      <c r="HD1" t="e">
        <f>#REF!-";Hb!%G"</f>
        <v>#REF!</v>
      </c>
      <c r="HE1" t="e">
        <f>#REF!-";Hb!%H"</f>
        <v>#REF!</v>
      </c>
      <c r="HF1" t="e">
        <f>#REF!-";Hb!%I"</f>
        <v>#REF!</v>
      </c>
      <c r="HG1" t="e">
        <f>#REF!-";Hb!%J"</f>
        <v>#REF!</v>
      </c>
      <c r="HH1" t="e">
        <f>#REF!-";Hb!%K"</f>
        <v>#REF!</v>
      </c>
      <c r="HI1" t="e">
        <f>#REF!-";Hb!%L"</f>
        <v>#REF!</v>
      </c>
      <c r="HJ1" t="e">
        <f>#REF!-";Hb!%M"</f>
        <v>#REF!</v>
      </c>
      <c r="HK1" t="e">
        <f>#REF!-";Hb!%N"</f>
        <v>#REF!</v>
      </c>
      <c r="HL1" t="e">
        <f>#REF!-";Hb!%O"</f>
        <v>#REF!</v>
      </c>
      <c r="HM1" t="e">
        <f>#REF!-";Hb!%P"</f>
        <v>#REF!</v>
      </c>
      <c r="HN1" t="e">
        <f>#REF!-";Hb!%Q"</f>
        <v>#REF!</v>
      </c>
      <c r="HO1" t="e">
        <f>#REF!-";Hb!%R"</f>
        <v>#REF!</v>
      </c>
      <c r="HP1" t="e">
        <f>#REF!-";Hb!%S"</f>
        <v>#REF!</v>
      </c>
      <c r="HQ1" t="e">
        <f>#REF!-";Hb!%T"</f>
        <v>#REF!</v>
      </c>
      <c r="HR1" t="e">
        <f>#REF!-";Hb!%U"</f>
        <v>#REF!</v>
      </c>
      <c r="HS1" t="e">
        <f>#REF!-";Hb!%V"</f>
        <v>#REF!</v>
      </c>
      <c r="HT1" t="e">
        <f>#REF!-";Hb!%W"</f>
        <v>#REF!</v>
      </c>
      <c r="HU1" t="e">
        <f>#REF!-";Hb!%X"</f>
        <v>#REF!</v>
      </c>
      <c r="HV1" t="e">
        <f>#REF!-";Hb!%Y"</f>
        <v>#REF!</v>
      </c>
      <c r="HW1" t="e">
        <f>#REF!-";Hb!%Z"</f>
        <v>#REF!</v>
      </c>
      <c r="HX1" t="e">
        <f>#REF!-";Hb!%["</f>
        <v>#REF!</v>
      </c>
      <c r="HY1" t="e">
        <f>#REF!-";Hb!%\"</f>
        <v>#REF!</v>
      </c>
      <c r="HZ1" t="e">
        <f>#REF!-";Hb!%]"</f>
        <v>#REF!</v>
      </c>
      <c r="IA1" t="e">
        <f>#REF!-";Hb!%^"</f>
        <v>#REF!</v>
      </c>
      <c r="IB1" t="e">
        <f>#REF!-";Hb!%_"</f>
        <v>#REF!</v>
      </c>
      <c r="IC1" t="e">
        <f>#REF!-";Hb!%`"</f>
        <v>#REF!</v>
      </c>
      <c r="ID1" t="e">
        <f>#REF!-";Hb!%a"</f>
        <v>#REF!</v>
      </c>
      <c r="IE1" t="e">
        <f>#REF!-";Hb!%b"</f>
        <v>#REF!</v>
      </c>
      <c r="IF1" t="e">
        <f>#REF!-";Hb!%c"</f>
        <v>#REF!</v>
      </c>
      <c r="IG1" t="e">
        <f>#REF!-";Hb!%d"</f>
        <v>#REF!</v>
      </c>
      <c r="IH1" t="e">
        <f>#REF!-";Hb!%e"</f>
        <v>#REF!</v>
      </c>
      <c r="II1" t="e">
        <f>#REF!-";Hb!%f"</f>
        <v>#REF!</v>
      </c>
      <c r="IJ1" t="e">
        <f>#REF!-";Hb!%g"</f>
        <v>#REF!</v>
      </c>
      <c r="IK1" t="e">
        <f>#REF!-";Hb!%h"</f>
        <v>#REF!</v>
      </c>
      <c r="IL1" t="e">
        <f>#REF!-";Hb!%i"</f>
        <v>#REF!</v>
      </c>
      <c r="IM1" t="e">
        <f>#REF!-";Hb!%j"</f>
        <v>#REF!</v>
      </c>
      <c r="IN1" t="e">
        <f>#REF!-";Hb!%k"</f>
        <v>#REF!</v>
      </c>
      <c r="IO1" t="e">
        <f>#REF!-";Hb!%l"</f>
        <v>#REF!</v>
      </c>
      <c r="IP1" t="e">
        <f>#REF!-";Hb!%m"</f>
        <v>#REF!</v>
      </c>
      <c r="IQ1" t="e">
        <f>#REF!-";Hb!%n"</f>
        <v>#REF!</v>
      </c>
      <c r="IR1" t="e">
        <f>#REF!-";Hb!%o"</f>
        <v>#REF!</v>
      </c>
      <c r="IS1" t="e">
        <f>#REF!-";Hb!%p"</f>
        <v>#REF!</v>
      </c>
      <c r="IT1" t="e">
        <f>#REF!-";Hb!%q"</f>
        <v>#REF!</v>
      </c>
      <c r="IU1" t="e">
        <f>#REF!-";Hb!%r"</f>
        <v>#REF!</v>
      </c>
      <c r="IV1" t="e">
        <f>#REF!-";Hb!%s"</f>
        <v>#REF!</v>
      </c>
    </row>
    <row r="2" spans="1:256" x14ac:dyDescent="0.25">
      <c r="A2" t="s">
        <v>226</v>
      </c>
      <c r="F2" t="e">
        <f>#REF!-";Hb!%t"</f>
        <v>#REF!</v>
      </c>
      <c r="G2" t="e">
        <f>#REF!-";Hb!%u"</f>
        <v>#REF!</v>
      </c>
      <c r="H2" t="e">
        <f>#REF!-";Hb!%v"</f>
        <v>#REF!</v>
      </c>
      <c r="I2" t="e">
        <f>#REF!-";Hb!%w"</f>
        <v>#REF!</v>
      </c>
      <c r="J2" t="e">
        <f>#REF!-";Hb!%x"</f>
        <v>#REF!</v>
      </c>
      <c r="K2" t="e">
        <f>#REF!-";Hb!%y"</f>
        <v>#REF!</v>
      </c>
      <c r="L2" t="e">
        <f>#REF!-";Hb!%z"</f>
        <v>#REF!</v>
      </c>
      <c r="M2" t="e">
        <f>#REF!-";Hb!%{"</f>
        <v>#REF!</v>
      </c>
      <c r="N2" t="e">
        <f>#REF!-";Hb!%|"</f>
        <v>#REF!</v>
      </c>
      <c r="O2" t="e">
        <f>#REF!-";Hb!%}"</f>
        <v>#REF!</v>
      </c>
      <c r="P2" t="e">
        <f>#REF!-";Hb!%~"</f>
        <v>#REF!</v>
      </c>
      <c r="Q2" t="e">
        <f>#REF!+";Hb!&amp;#"</f>
        <v>#REF!</v>
      </c>
      <c r="R2" t="e">
        <f>#REF!+";Hb!&amp;$"</f>
        <v>#REF!</v>
      </c>
      <c r="S2" t="e">
        <f>#REF!+";Hb!&amp;%"</f>
        <v>#REF!</v>
      </c>
      <c r="T2" t="e">
        <f>#REF!+";Hb!&amp;&amp;"</f>
        <v>#REF!</v>
      </c>
      <c r="U2" t="e">
        <f>#REF!+";Hb!&amp;'"</f>
        <v>#REF!</v>
      </c>
      <c r="V2" t="e">
        <f>#REF!+";Hb!&amp;("</f>
        <v>#REF!</v>
      </c>
      <c r="W2" t="e">
        <f>#REF!+";Hb!&amp;)"</f>
        <v>#REF!</v>
      </c>
      <c r="X2" t="e">
        <f>#REF!+";Hb!&amp;."</f>
        <v>#REF!</v>
      </c>
      <c r="Y2" t="e">
        <f>#REF!+";Hb!&amp;/"</f>
        <v>#REF!</v>
      </c>
      <c r="Z2" t="e">
        <f>#REF!+";Hb!&amp;0"</f>
        <v>#REF!</v>
      </c>
      <c r="AA2" t="e">
        <f>#REF!+";Hb!&amp;1"</f>
        <v>#REF!</v>
      </c>
      <c r="AB2" t="e">
        <f>Fields!A:A*";Hb!&amp;2"</f>
        <v>#VALUE!</v>
      </c>
      <c r="AC2" t="e">
        <f>Fields!B:B*";Hb!&amp;3"</f>
        <v>#VALUE!</v>
      </c>
      <c r="AD2" t="e">
        <f>Fields!C:C*";Hb!&amp;4"</f>
        <v>#VALUE!</v>
      </c>
      <c r="AE2" t="e">
        <f>Fields!E:E*";Hb!&amp;5"</f>
        <v>#VALUE!</v>
      </c>
      <c r="AF2" t="e">
        <f>Fields!F:F*";Hb!&amp;6"</f>
        <v>#VALUE!</v>
      </c>
      <c r="AG2" t="e">
        <f>Fields!P:P*";Hb!&amp;7"</f>
        <v>#VALUE!</v>
      </c>
      <c r="AH2" t="e">
        <f>Fields!Q:Q*";Hb!&amp;8"</f>
        <v>#VALUE!</v>
      </c>
      <c r="AI2" t="e">
        <f>Fields!R:R*";Hb!&amp;9"</f>
        <v>#VALUE!</v>
      </c>
      <c r="AJ2" t="e">
        <f>Fields!#REF!*";Hb!&amp;:"</f>
        <v>#REF!</v>
      </c>
      <c r="AK2" t="e">
        <f>Fields!S:S*";Hb!&amp;;"</f>
        <v>#VALUE!</v>
      </c>
      <c r="AL2" t="e">
        <f>Fields!T:T*";Hb!&amp;&lt;"</f>
        <v>#VALUE!</v>
      </c>
      <c r="AM2" t="e">
        <f>Fields!U:U*";Hb!&amp;="</f>
        <v>#VALUE!</v>
      </c>
      <c r="AN2" t="e">
        <f>Fields!V:V*";Hb!&amp;&gt;"</f>
        <v>#VALUE!</v>
      </c>
      <c r="AO2" t="e">
        <f>Fields!W:W*";Hb!&amp;?"</f>
        <v>#VALUE!</v>
      </c>
      <c r="AP2" t="e">
        <f>Fields!X:X*";Hb!&amp;@"</f>
        <v>#VALUE!</v>
      </c>
      <c r="AQ2" t="e">
        <f>Fields!Y:Y*";Hb!&amp;A"</f>
        <v>#VALUE!</v>
      </c>
      <c r="AR2" t="e">
        <f>Fields!Z:Z*";Hb!&amp;B"</f>
        <v>#VALUE!</v>
      </c>
      <c r="AS2" t="e">
        <f>Fields!AA:AA*";Hb!&amp;C"</f>
        <v>#VALUE!</v>
      </c>
      <c r="AT2" t="e">
        <f>Fields!AB:AB*";Hb!&amp;D"</f>
        <v>#VALUE!</v>
      </c>
      <c r="AU2" t="e">
        <f>Fields!AC:AC*";Hb!&amp;E"</f>
        <v>#VALUE!</v>
      </c>
      <c r="AV2" t="e">
        <f>Fields!AD:AD*";Hb!&amp;F"</f>
        <v>#VALUE!</v>
      </c>
      <c r="AW2" t="e">
        <f>Fields!AE:AE*";Hb!&amp;G"</f>
        <v>#VALUE!</v>
      </c>
      <c r="AX2" t="e">
        <f>Fields!AF:AF*";Hb!&amp;H"</f>
        <v>#VALUE!</v>
      </c>
      <c r="AY2" t="e">
        <f>Fields!AG:AG*";Hb!&amp;I"</f>
        <v>#VALUE!</v>
      </c>
      <c r="AZ2" t="e">
        <f>Fields!AH:AH*";Hb!&amp;J"</f>
        <v>#VALUE!</v>
      </c>
      <c r="BA2" t="e">
        <f>Fields!AI:AI*";Hb!&amp;K"</f>
        <v>#VALUE!</v>
      </c>
      <c r="BB2" t="e">
        <f>Fields!AJ:AJ*";Hb!&amp;L"</f>
        <v>#VALUE!</v>
      </c>
      <c r="BC2" t="e">
        <f>Fields!AK:AK*";Hb!&amp;M"</f>
        <v>#VALUE!</v>
      </c>
      <c r="BD2" t="e">
        <f>Fields!AL:AL*";Hb!&amp;N"</f>
        <v>#VALUE!</v>
      </c>
      <c r="BE2" t="e">
        <f>Fields!AM:AM*";Hb!&amp;O"</f>
        <v>#VALUE!</v>
      </c>
      <c r="BF2" t="e">
        <f>Fields!AN:AN*";Hb!&amp;P"</f>
        <v>#VALUE!</v>
      </c>
      <c r="BG2" t="e">
        <f>Fields!AO:AO*";Hb!&amp;Q"</f>
        <v>#VALUE!</v>
      </c>
      <c r="BH2" t="e">
        <f>Fields!AP:AP*";Hb!&amp;R"</f>
        <v>#VALUE!</v>
      </c>
      <c r="BI2" t="e">
        <f>Fields!AQ:AQ*";Hb!&amp;S"</f>
        <v>#VALUE!</v>
      </c>
      <c r="BJ2" t="e">
        <f>Fields!AR:AR*";Hb!&amp;T"</f>
        <v>#VALUE!</v>
      </c>
      <c r="BK2" t="e">
        <f>Fields!AS:AS*";Hb!&amp;U"</f>
        <v>#VALUE!</v>
      </c>
      <c r="BL2" t="e">
        <f>Fields!AT:AT*";Hb!&amp;V"</f>
        <v>#VALUE!</v>
      </c>
      <c r="BM2" t="e">
        <f>Fields!AU:AU*";Hb!&amp;W"</f>
        <v>#VALUE!</v>
      </c>
      <c r="BN2" t="e">
        <f>Fields!AV:AV*";Hb!&amp;X"</f>
        <v>#VALUE!</v>
      </c>
      <c r="BO2" t="e">
        <f>Fields!AW:AW*";Hb!&amp;Y"</f>
        <v>#VALUE!</v>
      </c>
      <c r="BP2" t="e">
        <f>Fields!AX:AX*";Hb!&amp;Z"</f>
        <v>#VALUE!</v>
      </c>
      <c r="BQ2" t="e">
        <f>Fields!AY:AY*";Hb!&amp;["</f>
        <v>#VALUE!</v>
      </c>
      <c r="BR2" t="e">
        <f>Fields!AZ:AZ*";Hb!&amp;\"</f>
        <v>#VALUE!</v>
      </c>
      <c r="BS2" t="e">
        <f>Fields!BA:BA*";Hb!&amp;]"</f>
        <v>#VALUE!</v>
      </c>
      <c r="BT2" t="e">
        <f>Fields!BB:BB*";Hb!&amp;^"</f>
        <v>#VALUE!</v>
      </c>
      <c r="BU2" t="e">
        <f>Fields!BC:BC*";Hb!&amp;_"</f>
        <v>#VALUE!</v>
      </c>
      <c r="BV2" t="e">
        <f>Fields!BD:BD*";Hb!&amp;`"</f>
        <v>#VALUE!</v>
      </c>
      <c r="BW2" t="e">
        <f>Fields!BE:BE*";Hb!&amp;a"</f>
        <v>#VALUE!</v>
      </c>
      <c r="BX2" t="e">
        <f>Fields!BF:BF*";Hb!&amp;b"</f>
        <v>#VALUE!</v>
      </c>
      <c r="BY2" t="e">
        <f>Fields!BG:BG*";Hb!&amp;c"</f>
        <v>#VALUE!</v>
      </c>
      <c r="BZ2" t="e">
        <f>Fields!BH:BH*";Hb!&amp;d"</f>
        <v>#VALUE!</v>
      </c>
      <c r="CA2" t="e">
        <f>Fields!BI:BI*";Hb!&amp;e"</f>
        <v>#VALUE!</v>
      </c>
      <c r="CB2" t="e">
        <f>Fields!BJ:BJ*";Hb!&amp;f"</f>
        <v>#VALUE!</v>
      </c>
      <c r="CC2" t="e">
        <f>Fields!BK:BK*";Hb!&amp;g"</f>
        <v>#VALUE!</v>
      </c>
      <c r="CD2" t="e">
        <f>Fields!BL:BL*";Hb!&amp;h"</f>
        <v>#VALUE!</v>
      </c>
      <c r="CE2" t="e">
        <f>Fields!BM:BM*";Hb!&amp;i"</f>
        <v>#VALUE!</v>
      </c>
      <c r="CF2" t="e">
        <f>Fields!BN:BN*";Hb!&amp;j"</f>
        <v>#VALUE!</v>
      </c>
      <c r="CG2" t="e">
        <f>Fields!BO:BO*";Hb!&amp;k"</f>
        <v>#VALUE!</v>
      </c>
      <c r="CH2" t="e">
        <f>Fields!BP:BP*";Hb!&amp;l"</f>
        <v>#VALUE!</v>
      </c>
      <c r="CI2" t="e">
        <f>Fields!1:1-";Hb!&amp;m"</f>
        <v>#VALUE!</v>
      </c>
      <c r="CJ2" t="e">
        <f>Fields!2:2-";Hb!&amp;n"</f>
        <v>#VALUE!</v>
      </c>
      <c r="CK2" t="e">
        <f>Fields!3:3-";Hb!&amp;o"</f>
        <v>#VALUE!</v>
      </c>
      <c r="CL2" t="e">
        <f>Fields!4:4-";Hb!&amp;p"</f>
        <v>#VALUE!</v>
      </c>
      <c r="CM2" t="e">
        <f>Fields!6:6-";Hb!&amp;q"</f>
        <v>#VALUE!</v>
      </c>
      <c r="CN2" t="e">
        <f>Fields!7:7-";Hb!&amp;r"</f>
        <v>#VALUE!</v>
      </c>
      <c r="CO2" t="e">
        <f>Fields!8:8-";Hb!&amp;s"</f>
        <v>#VALUE!</v>
      </c>
      <c r="CP2" t="e">
        <f>Fields!9:9-";Hb!&amp;t"</f>
        <v>#VALUE!</v>
      </c>
      <c r="CQ2" t="e">
        <f>Fields!10:10-";Hb!&amp;u"</f>
        <v>#VALUE!</v>
      </c>
      <c r="CR2" t="e">
        <f>Fields!11:11-";Hb!&amp;v"</f>
        <v>#VALUE!</v>
      </c>
      <c r="CS2" t="e">
        <f>Fields!12:12-";Hb!&amp;w"</f>
        <v>#VALUE!</v>
      </c>
      <c r="CT2" t="e">
        <f>Fields!13:13-";Hb!&amp;x"</f>
        <v>#VALUE!</v>
      </c>
      <c r="CU2" t="e">
        <f>Fields!14:14-";Hb!&amp;y"</f>
        <v>#VALUE!</v>
      </c>
      <c r="CV2" t="e">
        <f>Fields!15:15-";Hb!&amp;z"</f>
        <v>#VALUE!</v>
      </c>
      <c r="CW2" t="e">
        <f>Fields!16:16-";Hb!&amp;{"</f>
        <v>#VALUE!</v>
      </c>
      <c r="CX2" t="e">
        <f>Fields!18:18-";Hb!&amp;|"</f>
        <v>#VALUE!</v>
      </c>
      <c r="CY2" t="e">
        <f>Fields!20:20-";Hb!&amp;}"</f>
        <v>#VALUE!</v>
      </c>
      <c r="CZ2" t="e">
        <f>Fields!21:21-";Hb!&amp;~"</f>
        <v>#VALUE!</v>
      </c>
      <c r="DA2" t="e">
        <f>Fields!22:22-";Hb!'#"</f>
        <v>#VALUE!</v>
      </c>
      <c r="DB2" t="e">
        <f>Fields!23:23-";Hb!'$"</f>
        <v>#VALUE!</v>
      </c>
      <c r="DC2" t="e">
        <f>Fields!24:24-";Hb!'%"</f>
        <v>#VALUE!</v>
      </c>
      <c r="DD2" t="e">
        <f>Fields!27:27-";Hb!'&amp;"</f>
        <v>#VALUE!</v>
      </c>
      <c r="DE2" t="e">
        <f>Fields!28:28-";Hb!''"</f>
        <v>#VALUE!</v>
      </c>
      <c r="DF2" t="e">
        <f>Fields!29:29-";Hb!'("</f>
        <v>#VALUE!</v>
      </c>
      <c r="DG2" t="e">
        <f>Fields!30:30-";Hb!')"</f>
        <v>#VALUE!</v>
      </c>
      <c r="DH2" t="e">
        <f>Fields!31:31-";Hb!'."</f>
        <v>#VALUE!</v>
      </c>
      <c r="DI2" t="e">
        <f>Fields!32:32-";Hb!'/"</f>
        <v>#VALUE!</v>
      </c>
      <c r="DJ2" t="e">
        <f>Fields!33:33-";Hb!'0"</f>
        <v>#VALUE!</v>
      </c>
      <c r="DK2" s="6" t="e">
        <f>Fields!34:34-";Hb!'1"</f>
        <v>#VALUE!</v>
      </c>
      <c r="DL2" t="e">
        <f>Fields!35:35-";Hb!'2"</f>
        <v>#VALUE!</v>
      </c>
      <c r="DM2" t="e">
        <f>Fields!36:36-";Hb!'3"</f>
        <v>#VALUE!</v>
      </c>
      <c r="DN2" t="e">
        <f>Fields!37:37-";Hb!'4"</f>
        <v>#VALUE!</v>
      </c>
      <c r="DO2" t="e">
        <f>Fields!38:38-";Hb!'5"</f>
        <v>#VALUE!</v>
      </c>
      <c r="DP2" t="e">
        <f>Fields!39:39-";Hb!'6"</f>
        <v>#VALUE!</v>
      </c>
      <c r="DQ2" t="e">
        <f>Fields!40:40-";Hb!'7"</f>
        <v>#VALUE!</v>
      </c>
      <c r="DR2" t="e">
        <f>Fields!41:41-";Hb!'8"</f>
        <v>#VALUE!</v>
      </c>
      <c r="DS2" t="e">
        <f>Fields!42:42-";Hb!'9"</f>
        <v>#VALUE!</v>
      </c>
      <c r="DT2" t="e">
        <f>Fields!43:43-";Hb!':"</f>
        <v>#VALUE!</v>
      </c>
      <c r="DU2" t="e">
        <f>Fields!44:44-";Hb!';"</f>
        <v>#VALUE!</v>
      </c>
      <c r="DV2" t="e">
        <f>Fields!45:45-";Hb!'&lt;"</f>
        <v>#VALUE!</v>
      </c>
      <c r="DW2" t="e">
        <f>Fields!46:46-";Hb!'="</f>
        <v>#VALUE!</v>
      </c>
      <c r="DX2" t="e">
        <f>Fields!47:47-";Hb!'&gt;"</f>
        <v>#VALUE!</v>
      </c>
      <c r="DY2" t="e">
        <f>Fields!48:48-";Hb!'?"</f>
        <v>#VALUE!</v>
      </c>
      <c r="DZ2" t="e">
        <f>Fields!49:49-";Hb!'@"</f>
        <v>#VALUE!</v>
      </c>
      <c r="EA2" t="e">
        <f>Fields!50:50-";Hb!'A"</f>
        <v>#VALUE!</v>
      </c>
      <c r="EB2" t="e">
        <f>Fields!51:51-";Hb!'B"</f>
        <v>#VALUE!</v>
      </c>
      <c r="EC2" t="e">
        <f>Fields!52:52-";Hb!'C"</f>
        <v>#VALUE!</v>
      </c>
      <c r="ED2" t="e">
        <f>Fields!53:53-";Hb!'D"</f>
        <v>#VALUE!</v>
      </c>
      <c r="EE2" t="e">
        <f>Fields!54:54-";Hb!'E"</f>
        <v>#VALUE!</v>
      </c>
      <c r="EF2" t="e">
        <f>Fields!55:55-";Hb!'F"</f>
        <v>#VALUE!</v>
      </c>
      <c r="EG2" t="e">
        <f>Fields!56:56-";Hb!'G"</f>
        <v>#VALUE!</v>
      </c>
      <c r="EH2" t="e">
        <f>Fields!57:57-";Hb!'H"</f>
        <v>#VALUE!</v>
      </c>
      <c r="EI2" t="e">
        <f>Fields!58:58-";Hb!'I"</f>
        <v>#VALUE!</v>
      </c>
      <c r="EJ2" t="e">
        <f>Fields!59:59-";Hb!'J"</f>
        <v>#VALUE!</v>
      </c>
      <c r="EK2" t="e">
        <f>Fields!60:60-";Hb!'K"</f>
        <v>#VALUE!</v>
      </c>
      <c r="EL2" t="e">
        <f>Fields!61:61-";Hb!'L"</f>
        <v>#VALUE!</v>
      </c>
      <c r="EM2" t="e">
        <f>Fields!62:62-";Hb!'M"</f>
        <v>#VALUE!</v>
      </c>
      <c r="EN2" t="e">
        <f>Fields!63:63-";Hb!'N"</f>
        <v>#VALUE!</v>
      </c>
      <c r="EO2" t="e">
        <f>Fields!64:64-";Hb!'O"</f>
        <v>#VALUE!</v>
      </c>
      <c r="EP2" t="e">
        <f>Fields!65:65-";Hb!'P"</f>
        <v>#VALUE!</v>
      </c>
      <c r="EQ2" t="e">
        <f>Fields!66:66-";Hb!'Q"</f>
        <v>#VALUE!</v>
      </c>
      <c r="ER2" t="e">
        <f>Fields!67:67-";Hb!'R"</f>
        <v>#VALUE!</v>
      </c>
      <c r="ES2" t="e">
        <f>Fields!68:68-";Hb!'S"</f>
        <v>#VALUE!</v>
      </c>
      <c r="ET2" t="e">
        <f>Fields!69:69-";Hb!'T"</f>
        <v>#VALUE!</v>
      </c>
      <c r="EU2" t="e">
        <f>Fields!70:70-";Hb!'U"</f>
        <v>#VALUE!</v>
      </c>
      <c r="EV2" t="e">
        <f>Fields!71:71-";Hb!'V"</f>
        <v>#VALUE!</v>
      </c>
      <c r="EW2" t="e">
        <f>Fields!72:72-";Hb!'W"</f>
        <v>#VALUE!</v>
      </c>
      <c r="EX2" t="e">
        <f>Fields!74:74-";Hb!'X"</f>
        <v>#VALUE!</v>
      </c>
      <c r="EY2" t="e">
        <f>Fields!75:75-";Hb!'Y"</f>
        <v>#VALUE!</v>
      </c>
      <c r="EZ2" t="e">
        <f>Fields!76:76-";Hb!'Z"</f>
        <v>#VALUE!</v>
      </c>
      <c r="FA2" t="e">
        <f>Fields!77:77-";Hb!'["</f>
        <v>#VALUE!</v>
      </c>
      <c r="FB2" t="e">
        <f>Fields!78:78-";Hb!'\"</f>
        <v>#VALUE!</v>
      </c>
      <c r="FC2" t="e">
        <f>Fields!79:79-";Hb!']"</f>
        <v>#VALUE!</v>
      </c>
      <c r="FD2" t="e">
        <f>Fields!80:80-";Hb!'^"</f>
        <v>#VALUE!</v>
      </c>
      <c r="FE2" t="e">
        <f>Fields!81:81-";Hb!'_"</f>
        <v>#VALUE!</v>
      </c>
      <c r="FF2" t="e">
        <f>Fields!82:82-";Hb!'`"</f>
        <v>#VALUE!</v>
      </c>
      <c r="FG2" t="e">
        <f>Fields!84:84-";Hb!'a"</f>
        <v>#VALUE!</v>
      </c>
      <c r="FH2" t="e">
        <f>Fields!85:85-";Hb!'b"</f>
        <v>#VALUE!</v>
      </c>
      <c r="FI2" t="e">
        <f>Fields!86:86-";Hb!'c"</f>
        <v>#VALUE!</v>
      </c>
      <c r="FJ2" t="e">
        <f>Fields!87:87-";Hb!'d"</f>
        <v>#VALUE!</v>
      </c>
      <c r="FK2" t="e">
        <f>Fields!88:88-";Hb!'e"</f>
        <v>#VALUE!</v>
      </c>
      <c r="FL2" t="e">
        <f>Fields!89:89-";Hb!'f"</f>
        <v>#VALUE!</v>
      </c>
      <c r="FM2" t="e">
        <f>Fields!90:90-";Hb!'g"</f>
        <v>#VALUE!</v>
      </c>
      <c r="FN2" t="e">
        <f>Fields!91:91-";Hb!'h"</f>
        <v>#VALUE!</v>
      </c>
      <c r="FO2" t="e">
        <f>Fields!92:92-";Hb!'i"</f>
        <v>#VALUE!</v>
      </c>
      <c r="FP2" t="e">
        <f>Fields!93:93-";Hb!'j"</f>
        <v>#VALUE!</v>
      </c>
      <c r="FQ2" t="e">
        <f>Fields!94:94-";Hb!'k"</f>
        <v>#VALUE!</v>
      </c>
      <c r="FR2" t="e">
        <f>Fields!95:95-";Hb!'l"</f>
        <v>#VALUE!</v>
      </c>
      <c r="FS2" t="e">
        <f>Fields!96:96-";Hb!'m"</f>
        <v>#VALUE!</v>
      </c>
      <c r="FT2" t="e">
        <f>Fields!97:97-";Hb!'n"</f>
        <v>#VALUE!</v>
      </c>
      <c r="FU2" t="e">
        <f>Fields!98:98-";Hb!'o"</f>
        <v>#VALUE!</v>
      </c>
      <c r="FV2" t="e">
        <f>Fields!99:99-";Hb!'p"</f>
        <v>#VALUE!</v>
      </c>
      <c r="FW2" t="e">
        <f>Fields!100:100-";Hb!'q"</f>
        <v>#VALUE!</v>
      </c>
      <c r="FX2" t="e">
        <f>Fields!101:101-";Hb!'r"</f>
        <v>#VALUE!</v>
      </c>
      <c r="FY2" t="e">
        <f>Fields!102:102-";Hb!'s"</f>
        <v>#VALUE!</v>
      </c>
      <c r="FZ2" t="e">
        <f>Fields!103:103-";Hb!'t"</f>
        <v>#VALUE!</v>
      </c>
      <c r="GA2" t="e">
        <f>Fields!104:104-";Hb!'u"</f>
        <v>#VALUE!</v>
      </c>
      <c r="GB2" t="e">
        <f>Fields!105:105-";Hb!'v"</f>
        <v>#VALUE!</v>
      </c>
      <c r="GC2" t="e">
        <f>Fields!#REF!-";Hb!'w"</f>
        <v>#REF!</v>
      </c>
      <c r="GD2" t="e">
        <f>Fields!106:106-";Hb!'x"</f>
        <v>#VALUE!</v>
      </c>
      <c r="GE2" t="e">
        <f>Fields!#REF!-";Hb!'y"</f>
        <v>#REF!</v>
      </c>
      <c r="GF2" t="e">
        <f>Fields!#REF!-";Hb!'z"</f>
        <v>#REF!</v>
      </c>
      <c r="GG2" t="e">
        <f>Fields!107:107-";Hb!'{"</f>
        <v>#VALUE!</v>
      </c>
      <c r="GH2" t="e">
        <f>Fields!108:108-";Hb!'|"</f>
        <v>#VALUE!</v>
      </c>
      <c r="GI2" t="e">
        <f>Fields!109:109-";Hb!'}"</f>
        <v>#VALUE!</v>
      </c>
      <c r="GJ2" t="e">
        <f>Fields!110:110-";Hb!'~"</f>
        <v>#VALUE!</v>
      </c>
      <c r="GK2" t="e">
        <f>Fields!111:111-";Hb!(#"</f>
        <v>#VALUE!</v>
      </c>
      <c r="GL2" t="e">
        <f>Fields!112:112-";Hb!($"</f>
        <v>#VALUE!</v>
      </c>
      <c r="GM2" t="e">
        <f>Fields!113:113-";Hb!(%"</f>
        <v>#VALUE!</v>
      </c>
      <c r="GN2" t="e">
        <f>Fields!114:114-";Hb!(&amp;"</f>
        <v>#VALUE!</v>
      </c>
      <c r="GO2" t="e">
        <f>Fields!#REF!-";Hb!('"</f>
        <v>#REF!</v>
      </c>
      <c r="GP2" t="e">
        <f>Fields!115:115-";Hb!(("</f>
        <v>#VALUE!</v>
      </c>
      <c r="GQ2" t="e">
        <f>Fields!116:116-";Hb!()"</f>
        <v>#VALUE!</v>
      </c>
      <c r="GR2" t="e">
        <f>Fields!117:117-";Hb!(."</f>
        <v>#VALUE!</v>
      </c>
      <c r="GS2" t="e">
        <f>Fields!118:118-";Hb!(/"</f>
        <v>#VALUE!</v>
      </c>
      <c r="GT2" t="e">
        <f>Fields!119:119-";Hb!(0"</f>
        <v>#VALUE!</v>
      </c>
      <c r="GU2" t="e">
        <f>Fields!120:120-";Hb!(1"</f>
        <v>#VALUE!</v>
      </c>
      <c r="GV2" t="e">
        <f>Fields!#REF!-";Hb!(2"</f>
        <v>#REF!</v>
      </c>
      <c r="GW2" t="e">
        <f>Fields!121:121-";Hb!(3"</f>
        <v>#VALUE!</v>
      </c>
      <c r="GX2" t="e">
        <f>Fields!122:122-";Hb!(4"</f>
        <v>#VALUE!</v>
      </c>
      <c r="GY2" t="e">
        <f>Fields!123:123-";Hb!(5"</f>
        <v>#VALUE!</v>
      </c>
      <c r="GZ2" t="e">
        <f>Fields!124:124-";Hb!(6"</f>
        <v>#VALUE!</v>
      </c>
      <c r="HA2" t="e">
        <f>Fields!125:125-";Hb!(7"</f>
        <v>#VALUE!</v>
      </c>
      <c r="HB2" t="e">
        <f>Fields!126:126-";Hb!(8"</f>
        <v>#VALUE!</v>
      </c>
      <c r="HC2" t="e">
        <f>Fields!#REF!-";Hb!(9"</f>
        <v>#REF!</v>
      </c>
      <c r="HD2" t="e">
        <f>Fields!127:127-";Hb!(:"</f>
        <v>#VALUE!</v>
      </c>
      <c r="HE2" t="e">
        <f>Fields!128:128-";Hb!(;"</f>
        <v>#VALUE!</v>
      </c>
      <c r="HF2" t="e">
        <f>Fields!129:129-";Hb!(&lt;"</f>
        <v>#VALUE!</v>
      </c>
      <c r="HG2" t="e">
        <f>Fields!130:130-";Hb!(="</f>
        <v>#VALUE!</v>
      </c>
      <c r="HH2" t="e">
        <f>Fields!131:131-";Hb!(&gt;"</f>
        <v>#VALUE!</v>
      </c>
      <c r="HI2" t="e">
        <f>Fields!132:132-";Hb!(?"</f>
        <v>#VALUE!</v>
      </c>
      <c r="HJ2" t="e">
        <f>Fields!133:133-";Hb!(@"</f>
        <v>#VALUE!</v>
      </c>
      <c r="HK2" t="e">
        <f>Fields!134:134-";Hb!(A"</f>
        <v>#VALUE!</v>
      </c>
      <c r="HL2" t="e">
        <f>Fields!135:135-";Hb!(B"</f>
        <v>#VALUE!</v>
      </c>
      <c r="HM2" t="e">
        <f>Fields!#REF!-";Hb!(C"</f>
        <v>#REF!</v>
      </c>
      <c r="HN2" t="e">
        <f>Fields!136:136-";Hb!(D"</f>
        <v>#VALUE!</v>
      </c>
      <c r="HO2" t="e">
        <f>Fields!137:137-";Hb!(E"</f>
        <v>#VALUE!</v>
      </c>
      <c r="HP2" t="e">
        <f>Fields!138:138-";Hb!(F"</f>
        <v>#VALUE!</v>
      </c>
      <c r="HQ2" t="e">
        <f>Fields!139:139-";Hb!(G"</f>
        <v>#VALUE!</v>
      </c>
      <c r="HR2" t="e">
        <f>Fields!140:140-";Hb!(H"</f>
        <v>#VALUE!</v>
      </c>
      <c r="HS2" t="e">
        <f>Fields!#REF!-";Hb!(I"</f>
        <v>#REF!</v>
      </c>
      <c r="HT2" t="e">
        <f>Fields!#REF!-";Hb!(J"</f>
        <v>#REF!</v>
      </c>
      <c r="HU2" t="e">
        <f>Fields!141:141-";Hb!(K"</f>
        <v>#VALUE!</v>
      </c>
      <c r="HV2" t="e">
        <f>Fields!142:142-";Hb!(L"</f>
        <v>#VALUE!</v>
      </c>
      <c r="HW2" t="e">
        <f>Fields!143:143-";Hb!(M"</f>
        <v>#VALUE!</v>
      </c>
      <c r="HX2" t="e">
        <f>Fields!144:144-";Hb!(N"</f>
        <v>#VALUE!</v>
      </c>
      <c r="HY2" t="e">
        <f>Fields!145:145-";Hb!(O"</f>
        <v>#VALUE!</v>
      </c>
      <c r="HZ2" t="e">
        <f>Fields!146:146-";Hb!(P"</f>
        <v>#VALUE!</v>
      </c>
      <c r="IA2" t="e">
        <f>Fields!147:147-";Hb!(Q"</f>
        <v>#VALUE!</v>
      </c>
      <c r="IB2" t="e">
        <f>Fields!148:148-";Hb!(R"</f>
        <v>#VALUE!</v>
      </c>
      <c r="IC2" t="e">
        <f>Fields!149:149-";Hb!(S"</f>
        <v>#VALUE!</v>
      </c>
      <c r="ID2" t="e">
        <f>Fields!150:150-";Hb!(T"</f>
        <v>#VALUE!</v>
      </c>
      <c r="IE2" t="e">
        <f>Fields!151:151-";Hb!(U"</f>
        <v>#VALUE!</v>
      </c>
      <c r="IF2" t="e">
        <f>Fields!152:152-";Hb!(V"</f>
        <v>#VALUE!</v>
      </c>
      <c r="IG2" t="e">
        <f>Fields!153:153-";Hb!(W"</f>
        <v>#VALUE!</v>
      </c>
      <c r="IH2" t="e">
        <f>Fields!154:154-";Hb!(X"</f>
        <v>#VALUE!</v>
      </c>
      <c r="II2" t="e">
        <f>Fields!155:155-";Hb!(Y"</f>
        <v>#VALUE!</v>
      </c>
      <c r="IJ2" t="e">
        <f>Fields!156:156-";Hb!(Z"</f>
        <v>#VALUE!</v>
      </c>
      <c r="IK2" t="e">
        <f>Fields!157:157-";Hb!(["</f>
        <v>#VALUE!</v>
      </c>
      <c r="IL2" t="e">
        <f>Fields!158:158-";Hb!(\"</f>
        <v>#VALUE!</v>
      </c>
      <c r="IM2" t="e">
        <f>Fields!159:159-";Hb!(]"</f>
        <v>#VALUE!</v>
      </c>
      <c r="IN2" t="e">
        <f>Fields!160:160-";Hb!(^"</f>
        <v>#VALUE!</v>
      </c>
      <c r="IO2" t="e">
        <f>Fields!161:161-";Hb!(_"</f>
        <v>#VALUE!</v>
      </c>
      <c r="IP2" t="e">
        <f>Fields!162:162-";Hb!(`"</f>
        <v>#VALUE!</v>
      </c>
      <c r="IQ2" t="e">
        <f>Fields!163:163-";Hb!(a"</f>
        <v>#VALUE!</v>
      </c>
      <c r="IR2" t="e">
        <f>Fields!164:164-";Hb!(b"</f>
        <v>#VALUE!</v>
      </c>
      <c r="IS2" t="e">
        <f>Fields!165:165-";Hb!(c"</f>
        <v>#VALUE!</v>
      </c>
      <c r="IT2" t="e">
        <f>Fields!166:166-";Hb!(d"</f>
        <v>#VALUE!</v>
      </c>
      <c r="IU2" t="e">
        <f>Fields!167:167-";Hb!(e"</f>
        <v>#VALUE!</v>
      </c>
      <c r="IV2" t="e">
        <f>Fields!168:168-";Hb!(f"</f>
        <v>#VALUE!</v>
      </c>
    </row>
    <row r="3" spans="1:256" x14ac:dyDescent="0.25">
      <c r="A3" t="s">
        <v>227</v>
      </c>
      <c r="F3" t="e">
        <f>Fields!169:169-";Hb!(g"</f>
        <v>#VALUE!</v>
      </c>
      <c r="G3" t="e">
        <f>Fields!170:170-";Hb!(h"</f>
        <v>#VALUE!</v>
      </c>
      <c r="H3" t="e">
        <f>Fields!171:171-";Hb!(i"</f>
        <v>#VALUE!</v>
      </c>
      <c r="I3" t="e">
        <f>Fields!172:172-";Hb!(j"</f>
        <v>#VALUE!</v>
      </c>
      <c r="J3" t="e">
        <f>Fields!173:173-";Hb!(k"</f>
        <v>#VALUE!</v>
      </c>
      <c r="K3" t="e">
        <f>Fields!174:174-";Hb!(l"</f>
        <v>#VALUE!</v>
      </c>
      <c r="L3" t="e">
        <f>Fields!175:175-";Hb!(m"</f>
        <v>#VALUE!</v>
      </c>
      <c r="M3" t="e">
        <f>Fields!176:176-";Hb!(n"</f>
        <v>#VALUE!</v>
      </c>
      <c r="N3" t="e">
        <f>Fields!177:177-";Hb!(o"</f>
        <v>#VALUE!</v>
      </c>
      <c r="O3" t="e">
        <f>Fields!178:178-";Hb!(p"</f>
        <v>#VALUE!</v>
      </c>
      <c r="P3" t="e">
        <f>Fields!179:179-";Hb!(q"</f>
        <v>#VALUE!</v>
      </c>
      <c r="Q3" t="e">
        <f>Fields!180:180-";Hb!(r"</f>
        <v>#VALUE!</v>
      </c>
      <c r="R3" t="e">
        <f>Fields!181:181-";Hb!(s"</f>
        <v>#VALUE!</v>
      </c>
      <c r="S3" t="e">
        <f>Fields!182:182-";Hb!(t"</f>
        <v>#VALUE!</v>
      </c>
      <c r="T3" t="e">
        <f>Fields!183:183-";Hb!(u"</f>
        <v>#VALUE!</v>
      </c>
      <c r="U3" t="e">
        <f>Fields!184:184-";Hb!(v"</f>
        <v>#VALUE!</v>
      </c>
      <c r="V3" t="e">
        <f>Fields!185:185-";Hb!(w"</f>
        <v>#VALUE!</v>
      </c>
      <c r="W3" t="e">
        <f>Fields!186:186-";Hb!(x"</f>
        <v>#VALUE!</v>
      </c>
      <c r="X3" t="e">
        <f>Fields!187:187-";Hb!(y"</f>
        <v>#VALUE!</v>
      </c>
      <c r="Y3" t="e">
        <f>Fields!188:188-";Hb!(z"</f>
        <v>#VALUE!</v>
      </c>
      <c r="Z3" t="e">
        <f>Fields!189:189-";Hb!({"</f>
        <v>#VALUE!</v>
      </c>
      <c r="AA3" t="e">
        <f>Fields!190:190-";Hb!(|"</f>
        <v>#VALUE!</v>
      </c>
      <c r="AB3" t="e">
        <f>Fields!191:191-";Hb!(}"</f>
        <v>#VALUE!</v>
      </c>
      <c r="AC3" t="e">
        <f>Fields!192:192-";Hb!(~"</f>
        <v>#VALUE!</v>
      </c>
      <c r="AD3" t="e">
        <f>Fields!193:193-";Hb!)#"</f>
        <v>#VALUE!</v>
      </c>
      <c r="AE3" t="e">
        <f>Fields!194:194-";Hb!)$"</f>
        <v>#VALUE!</v>
      </c>
      <c r="AF3" t="e">
        <f>Fields!195:195-";Hb!)%"</f>
        <v>#VALUE!</v>
      </c>
      <c r="AG3" t="e">
        <f>Fields!196:196-";Hb!)&amp;"</f>
        <v>#VALUE!</v>
      </c>
      <c r="AH3" t="e">
        <f>Fields!197:197-";Hb!)'"</f>
        <v>#VALUE!</v>
      </c>
      <c r="AI3" t="e">
        <f>Fields!198:198-";Hb!)("</f>
        <v>#VALUE!</v>
      </c>
      <c r="AJ3" t="e">
        <f>Fields!199:199-";Hb!))"</f>
        <v>#VALUE!</v>
      </c>
      <c r="AK3" t="e">
        <f>Fields!200:200-";Hb!)."</f>
        <v>#VALUE!</v>
      </c>
      <c r="AL3" t="e">
        <f>Fields!201:201-";Hb!)/"</f>
        <v>#VALUE!</v>
      </c>
      <c r="AM3" t="e">
        <f>Fields!202:202-";Hb!)0"</f>
        <v>#VALUE!</v>
      </c>
      <c r="AN3" t="e">
        <f>Fields!203:203-";Hb!)1"</f>
        <v>#VALUE!</v>
      </c>
      <c r="AO3" t="e">
        <f>Fields!204:204-";Hb!)2"</f>
        <v>#VALUE!</v>
      </c>
      <c r="AP3" t="e">
        <f>Fields!205:205-";Hb!)3"</f>
        <v>#VALUE!</v>
      </c>
      <c r="AQ3" t="e">
        <f>Fields!206:206-";Hb!)4"</f>
        <v>#VALUE!</v>
      </c>
      <c r="AR3" t="e">
        <f>Fields!207:207-";Hb!)5"</f>
        <v>#VALUE!</v>
      </c>
      <c r="AS3" t="e">
        <f>Fields!208:208-";Hb!)6"</f>
        <v>#VALUE!</v>
      </c>
      <c r="AT3" t="e">
        <f>Fields!209:209-";Hb!)7"</f>
        <v>#VALUE!</v>
      </c>
      <c r="AU3" t="e">
        <f>Fields!210:210-";Hb!)8"</f>
        <v>#VALUE!</v>
      </c>
      <c r="AV3" t="e">
        <f>Fields!211:211-";Hb!)9"</f>
        <v>#VALUE!</v>
      </c>
      <c r="AW3" t="e">
        <f>Fields!212:212-";Hb!):"</f>
        <v>#VALUE!</v>
      </c>
      <c r="AX3" t="e">
        <f>Fields!213:213-";Hb!);"</f>
        <v>#VALUE!</v>
      </c>
      <c r="AY3" t="e">
        <f>Fields!214:214-";Hb!)&lt;"</f>
        <v>#VALUE!</v>
      </c>
      <c r="AZ3" t="e">
        <f>Fields!215:215-";Hb!)="</f>
        <v>#VALUE!</v>
      </c>
      <c r="BA3" t="e">
        <f>Fields!216:216-";Hb!)&gt;"</f>
        <v>#VALUE!</v>
      </c>
      <c r="BB3" t="e">
        <f>Fields!217:217-";Hb!)?"</f>
        <v>#VALUE!</v>
      </c>
      <c r="BC3" t="e">
        <f>Fields!218:218-";Hb!)@"</f>
        <v>#VALUE!</v>
      </c>
      <c r="BD3" t="e">
        <f>Fields!219:219-";Hb!)A"</f>
        <v>#VALUE!</v>
      </c>
      <c r="BE3" t="e">
        <f>Fields!220:220-";Hb!)B"</f>
        <v>#VALUE!</v>
      </c>
      <c r="BF3" t="e">
        <f>Fields!221:221-";Hb!)C"</f>
        <v>#VALUE!</v>
      </c>
      <c r="BG3" t="e">
        <f>Fields!222:222-";Hb!)D"</f>
        <v>#VALUE!</v>
      </c>
      <c r="BH3" t="e">
        <f>Fields!223:223-";Hb!)E"</f>
        <v>#VALUE!</v>
      </c>
      <c r="BI3" t="e">
        <f>Fields!224:224-";Hb!)F"</f>
        <v>#VALUE!</v>
      </c>
      <c r="BJ3" t="e">
        <f>Fields!225:225-";Hb!)G"</f>
        <v>#VALUE!</v>
      </c>
      <c r="BK3" t="e">
        <f>Fields!226:226-";Hb!)H"</f>
        <v>#VALUE!</v>
      </c>
      <c r="BL3" t="e">
        <f>Fields!227:227-";Hb!)I"</f>
        <v>#VALUE!</v>
      </c>
      <c r="BM3" t="e">
        <f>Fields!228:228-";Hb!)J"</f>
        <v>#VALUE!</v>
      </c>
      <c r="BN3" t="e">
        <f>Fields!229:229-";Hb!)K"</f>
        <v>#VALUE!</v>
      </c>
      <c r="BO3" t="e">
        <f>Fields!230:230-";Hb!)L"</f>
        <v>#VALUE!</v>
      </c>
      <c r="BP3" t="e">
        <f>Fields!231:231-";Hb!)M"</f>
        <v>#VALUE!</v>
      </c>
      <c r="BQ3" t="e">
        <f>Fields!232:232-";Hb!)N"</f>
        <v>#VALUE!</v>
      </c>
      <c r="BR3" t="e">
        <f>Fields!233:233-";Hb!)O"</f>
        <v>#VALUE!</v>
      </c>
      <c r="BS3" t="e">
        <f>Fields!234:234-";Hb!)P"</f>
        <v>#VALUE!</v>
      </c>
      <c r="BT3" t="e">
        <f>Fields!235:235-";Hb!)Q"</f>
        <v>#VALUE!</v>
      </c>
      <c r="BU3" t="e">
        <f>Fields!236:236-";Hb!)R"</f>
        <v>#VALUE!</v>
      </c>
      <c r="BV3" t="e">
        <f>Fields!237:237-";Hb!)S"</f>
        <v>#VALUE!</v>
      </c>
      <c r="BW3" t="e">
        <f>Fields!238:238-";Hb!)T"</f>
        <v>#VALUE!</v>
      </c>
      <c r="BX3" t="e">
        <f>Fields!239:239-";Hb!)U"</f>
        <v>#VALUE!</v>
      </c>
      <c r="BY3" t="e">
        <f>Fields!240:240-";Hb!)V"</f>
        <v>#VALUE!</v>
      </c>
      <c r="BZ3" t="e">
        <f>Fields!241:241-";Hb!)W"</f>
        <v>#VALUE!</v>
      </c>
      <c r="CA3" t="e">
        <f>Fields!242:242-";Hb!)X"</f>
        <v>#VALUE!</v>
      </c>
      <c r="CB3" t="e">
        <f>Fields!243:243-";Hb!)Y"</f>
        <v>#VALUE!</v>
      </c>
      <c r="CC3" t="e">
        <f>Fields!244:244-";Hb!)Z"</f>
        <v>#VALUE!</v>
      </c>
      <c r="CD3" t="e">
        <f>Fields!245:245-";Hb!)["</f>
        <v>#VALUE!</v>
      </c>
      <c r="CE3" t="e">
        <f>Fields!246:246-";Hb!)\"</f>
        <v>#VALUE!</v>
      </c>
      <c r="CF3" t="e">
        <f>Fields!247:247-";Hb!)]"</f>
        <v>#VALUE!</v>
      </c>
      <c r="CG3" t="e">
        <f>Fields!248:248-";Hb!)^"</f>
        <v>#VALUE!</v>
      </c>
      <c r="CH3" t="e">
        <f>Fields!249:249-";Hb!)_"</f>
        <v>#VALUE!</v>
      </c>
      <c r="CI3" t="e">
        <f>Fields!250:250-";Hb!)`"</f>
        <v>#VALUE!</v>
      </c>
      <c r="CJ3" t="e">
        <f>Fields!251:251-";Hb!)a"</f>
        <v>#VALUE!</v>
      </c>
      <c r="CK3" t="e">
        <f>Fields!252:252-";Hb!)b"</f>
        <v>#VALUE!</v>
      </c>
      <c r="CL3" t="e">
        <f>Fields!253:253-";Hb!)c"</f>
        <v>#VALUE!</v>
      </c>
      <c r="CM3" t="e">
        <f>Fields!254:254-";Hb!)d"</f>
        <v>#VALUE!</v>
      </c>
      <c r="CN3" t="e">
        <f>Fields!255:255-";Hb!)e"</f>
        <v>#VALUE!</v>
      </c>
      <c r="CO3" t="e">
        <f>Fields!256:256-";Hb!)f"</f>
        <v>#VALUE!</v>
      </c>
      <c r="CP3" t="e">
        <f>Fields!257:257-";Hb!)g"</f>
        <v>#VALUE!</v>
      </c>
      <c r="CQ3" t="e">
        <f>Fields!258:258-";Hb!)h"</f>
        <v>#VALUE!</v>
      </c>
      <c r="CR3" t="e">
        <f>Fields!259:259-";Hb!)i"</f>
        <v>#VALUE!</v>
      </c>
      <c r="CS3" t="e">
        <f>Fields!260:260-";Hb!)j"</f>
        <v>#VALUE!</v>
      </c>
      <c r="CT3" t="e">
        <f>Fields!261:261-";Hb!)k"</f>
        <v>#VALUE!</v>
      </c>
      <c r="CU3" t="e">
        <f>Fields!262:262-";Hb!)l"</f>
        <v>#VALUE!</v>
      </c>
      <c r="CV3" t="e">
        <f>Fields!263:263-";Hb!)m"</f>
        <v>#VALUE!</v>
      </c>
      <c r="CW3" t="e">
        <f>Fields!264:264-";Hb!)n"</f>
        <v>#VALUE!</v>
      </c>
      <c r="CX3" t="e">
        <f>Fields!265:265-";Hb!)o"</f>
        <v>#VALUE!</v>
      </c>
      <c r="CY3" t="e">
        <f>Fields!266:266-";Hb!)p"</f>
        <v>#VALUE!</v>
      </c>
      <c r="CZ3" t="e">
        <f>Fields!267:267-";Hb!)q"</f>
        <v>#VALUE!</v>
      </c>
      <c r="DA3" t="e">
        <f>Fields!268:268-";Hb!)r"</f>
        <v>#VALUE!</v>
      </c>
      <c r="DB3" t="e">
        <f>Fields!269:269-";Hb!)s"</f>
        <v>#VALUE!</v>
      </c>
      <c r="DC3" t="e">
        <f>Fields!270:270-";Hb!)t"</f>
        <v>#VALUE!</v>
      </c>
      <c r="DD3" t="e">
        <f>Fields!271:271-";Hb!)u"</f>
        <v>#VALUE!</v>
      </c>
      <c r="DE3" t="e">
        <f>Fields!272:272-";Hb!)v"</f>
        <v>#VALUE!</v>
      </c>
      <c r="DF3" t="e">
        <f>Fields!273:273-";Hb!)w"</f>
        <v>#VALUE!</v>
      </c>
      <c r="DG3" t="e">
        <f>Fields!274:274-";Hb!)x"</f>
        <v>#VALUE!</v>
      </c>
      <c r="DH3" t="e">
        <f>Fields!275:275-";Hb!)y"</f>
        <v>#VALUE!</v>
      </c>
      <c r="DI3" t="e">
        <f>Fields!276:276-";Hb!)z"</f>
        <v>#VALUE!</v>
      </c>
      <c r="DJ3" t="e">
        <f>Fields!277:277-";Hb!){"</f>
        <v>#VALUE!</v>
      </c>
      <c r="DK3" t="e">
        <f>Fields!278:278-";Hb!)|"</f>
        <v>#VALUE!</v>
      </c>
      <c r="DL3" t="e">
        <f>Fields!279:279-";Hb!)}"</f>
        <v>#VALUE!</v>
      </c>
      <c r="DM3" t="e">
        <f>Fields!280:280-";Hb!)~"</f>
        <v>#VALUE!</v>
      </c>
      <c r="DN3" t="e">
        <f>Fields!281:281-";Hb!.#"</f>
        <v>#VALUE!</v>
      </c>
      <c r="DO3" t="e">
        <f>Fields!282:282-";Hb!.$"</f>
        <v>#VALUE!</v>
      </c>
      <c r="DP3" t="e">
        <f>Fields!283:283-";Hb!.%"</f>
        <v>#VALUE!</v>
      </c>
      <c r="DQ3" t="e">
        <f>Fields!284:284-";Hb!.&amp;"</f>
        <v>#VALUE!</v>
      </c>
      <c r="DR3" t="e">
        <f>Fields!285:285-";Hb!.'"</f>
        <v>#VALUE!</v>
      </c>
      <c r="DS3" t="e">
        <f>Fields!286:286-";Hb!.("</f>
        <v>#VALUE!</v>
      </c>
      <c r="DT3" t="e">
        <f>Fields!287:287-";Hb!.)"</f>
        <v>#VALUE!</v>
      </c>
      <c r="DU3" t="e">
        <f>Fields!288:288-";Hb!.."</f>
        <v>#VALUE!</v>
      </c>
      <c r="DV3" t="e">
        <f>Fields!289:289-";Hb!./"</f>
        <v>#VALUE!</v>
      </c>
      <c r="DW3" t="e">
        <f>Fields!290:290-";Hb!.0"</f>
        <v>#VALUE!</v>
      </c>
      <c r="DX3" t="e">
        <f>Fields!291:291-";Hb!.1"</f>
        <v>#VALUE!</v>
      </c>
      <c r="DY3" t="e">
        <f>Fields!292:292-";Hb!.2"</f>
        <v>#VALUE!</v>
      </c>
      <c r="DZ3" t="e">
        <f>Fields!293:293-";Hb!.3"</f>
        <v>#VALUE!</v>
      </c>
      <c r="EA3" t="e">
        <f>Fields!294:294-";Hb!.4"</f>
        <v>#VALUE!</v>
      </c>
      <c r="EB3" t="e">
        <f>Fields!A1+";Hb!.5"</f>
        <v>#VALUE!</v>
      </c>
      <c r="EC3" t="e">
        <f>Fields!B1+";Hb!.6"</f>
        <v>#VALUE!</v>
      </c>
      <c r="ED3" t="e">
        <f>Fields!C1+";Hb!.7"</f>
        <v>#VALUE!</v>
      </c>
      <c r="EE3" t="e">
        <f>Fields!E1+";Hb!.8"</f>
        <v>#VALUE!</v>
      </c>
      <c r="EF3" t="e">
        <f>Fields!F1+";Hb!.9"</f>
        <v>#VALUE!</v>
      </c>
      <c r="EG3" t="e">
        <f>Fields!P1+";Hb!.:"</f>
        <v>#VALUE!</v>
      </c>
      <c r="EH3" t="e">
        <f>Fields!Q1+";Hb!.;"</f>
        <v>#VALUE!</v>
      </c>
      <c r="EI3" t="e">
        <f>Fields!#REF!+";Hb!.&lt;"</f>
        <v>#REF!</v>
      </c>
      <c r="EJ3" t="e">
        <f>Fields!A2+";Hb!.="</f>
        <v>#VALUE!</v>
      </c>
      <c r="EK3" t="e">
        <f>Fields!B2+";Hb!.&gt;"</f>
        <v>#VALUE!</v>
      </c>
      <c r="EL3" t="e">
        <f>Fields!C2+";Hb!.?"</f>
        <v>#VALUE!</v>
      </c>
      <c r="EM3" t="e">
        <f>Fields!E2+";Hb!.@"</f>
        <v>#VALUE!</v>
      </c>
      <c r="EN3" t="e">
        <f>Fields!F2+";Hb!.A"</f>
        <v>#VALUE!</v>
      </c>
      <c r="EO3" t="e">
        <f>Fields!P2+";Hb!.B"</f>
        <v>#VALUE!</v>
      </c>
      <c r="EP3" t="e">
        <f>Fields!Q2+";Hb!.C"</f>
        <v>#VALUE!</v>
      </c>
      <c r="EQ3" t="e">
        <f>Fields!A3+";Hb!.D"</f>
        <v>#VALUE!</v>
      </c>
      <c r="ER3" t="e">
        <f>Fields!B3+";Hb!.E"</f>
        <v>#VALUE!</v>
      </c>
      <c r="ES3" t="e">
        <f>Fields!C3+";Hb!.F"</f>
        <v>#VALUE!</v>
      </c>
      <c r="ET3" t="e">
        <f>Fields!E3+";Hb!.G"</f>
        <v>#VALUE!</v>
      </c>
      <c r="EU3" t="e">
        <f>Fields!F3+";Hb!.H"</f>
        <v>#VALUE!</v>
      </c>
      <c r="EV3" t="e">
        <f>Fields!P3+";Hb!.I"</f>
        <v>#VALUE!</v>
      </c>
      <c r="EW3" t="e">
        <f>Fields!Q3+";Hb!.J"</f>
        <v>#VALUE!</v>
      </c>
      <c r="EX3" t="e">
        <f>Fields!A4+";Hb!.K"</f>
        <v>#VALUE!</v>
      </c>
      <c r="EY3" t="e">
        <f>Fields!B4+";Hb!.L"</f>
        <v>#VALUE!</v>
      </c>
      <c r="EZ3" t="e">
        <f>Fields!C4+";Hb!.M"</f>
        <v>#VALUE!</v>
      </c>
      <c r="FA3" t="e">
        <f>Fields!E4+";Hb!.N"</f>
        <v>#VALUE!</v>
      </c>
      <c r="FB3" t="e">
        <f>Fields!F4+";Hb!.O"</f>
        <v>#VALUE!</v>
      </c>
      <c r="FC3" t="e">
        <f>Fields!P4+";Hb!.P"</f>
        <v>#VALUE!</v>
      </c>
      <c r="FD3" t="e">
        <f>Fields!Q4+";Hb!.Q"</f>
        <v>#VALUE!</v>
      </c>
      <c r="FE3" t="e">
        <f>Fields!A6+";Hb!.R"</f>
        <v>#VALUE!</v>
      </c>
      <c r="FF3" t="e">
        <f>Fields!B6+";Hb!.S"</f>
        <v>#VALUE!</v>
      </c>
      <c r="FG3" t="e">
        <f>Fields!C6+";Hb!.T"</f>
        <v>#VALUE!</v>
      </c>
      <c r="FH3" t="e">
        <f>Fields!E6+";Hb!.U"</f>
        <v>#VALUE!</v>
      </c>
      <c r="FI3" t="e">
        <f>Fields!F6+";Hb!.V"</f>
        <v>#VALUE!</v>
      </c>
      <c r="FJ3" t="e">
        <f>Fields!P6+";Hb!.W"</f>
        <v>#VALUE!</v>
      </c>
      <c r="FK3" t="e">
        <f>Fields!Q6+";Hb!.X"</f>
        <v>#VALUE!</v>
      </c>
      <c r="FL3" t="e">
        <f>Fields!A7+";Hb!.Y"</f>
        <v>#VALUE!</v>
      </c>
      <c r="FM3" t="e">
        <f>Fields!B7+";Hb!.Z"</f>
        <v>#VALUE!</v>
      </c>
      <c r="FN3" t="e">
        <f>Fields!C7+";Hb!.["</f>
        <v>#VALUE!</v>
      </c>
      <c r="FO3" t="e">
        <f>Fields!E7+";Hb!.\"</f>
        <v>#VALUE!</v>
      </c>
      <c r="FP3" t="e">
        <f>Fields!F7+";Hb!.]"</f>
        <v>#VALUE!</v>
      </c>
      <c r="FQ3" t="e">
        <f>Fields!P7+";Hb!.^"</f>
        <v>#VALUE!</v>
      </c>
      <c r="FR3" t="e">
        <f>Fields!Q7+";Hb!._"</f>
        <v>#VALUE!</v>
      </c>
      <c r="FS3" t="e">
        <f>Fields!A8+";Hb!.`"</f>
        <v>#VALUE!</v>
      </c>
      <c r="FT3" t="e">
        <f>Fields!B8+";Hb!.a"</f>
        <v>#VALUE!</v>
      </c>
      <c r="FU3" t="e">
        <f>Fields!C8+";Hb!.b"</f>
        <v>#VALUE!</v>
      </c>
      <c r="FV3" t="e">
        <f>Fields!E8+";Hb!.c"</f>
        <v>#VALUE!</v>
      </c>
      <c r="FW3" t="e">
        <f>Fields!F8+";Hb!.d"</f>
        <v>#VALUE!</v>
      </c>
      <c r="FX3" t="e">
        <f>Fields!P8+";Hb!.e"</f>
        <v>#VALUE!</v>
      </c>
      <c r="FY3" t="e">
        <f>Fields!Q8+";Hb!.f"</f>
        <v>#VALUE!</v>
      </c>
      <c r="FZ3" t="e">
        <f>Fields!A9+";Hb!.g"</f>
        <v>#VALUE!</v>
      </c>
      <c r="GA3" t="e">
        <f>Fields!B9+";Hb!.h"</f>
        <v>#VALUE!</v>
      </c>
      <c r="GB3" t="e">
        <f>Fields!C9+";Hb!.i"</f>
        <v>#VALUE!</v>
      </c>
      <c r="GC3" t="e">
        <f>Fields!E9+";Hb!.j"</f>
        <v>#VALUE!</v>
      </c>
      <c r="GD3" t="e">
        <f>Fields!F9+";Hb!.k"</f>
        <v>#VALUE!</v>
      </c>
      <c r="GE3" t="e">
        <f>Fields!P9+";Hb!.l"</f>
        <v>#VALUE!</v>
      </c>
      <c r="GF3" t="e">
        <f>Fields!Q9+";Hb!.m"</f>
        <v>#VALUE!</v>
      </c>
      <c r="GG3" t="e">
        <f>Fields!A10+";Hb!.n"</f>
        <v>#VALUE!</v>
      </c>
      <c r="GH3" t="e">
        <f>Fields!B10+";Hb!.o"</f>
        <v>#VALUE!</v>
      </c>
      <c r="GI3" t="e">
        <f>Fields!C10+";Hb!.p"</f>
        <v>#VALUE!</v>
      </c>
      <c r="GJ3" t="e">
        <f>Fields!E10+";Hb!.q"</f>
        <v>#VALUE!</v>
      </c>
      <c r="GK3" t="e">
        <f>Fields!F10+";Hb!.r"</f>
        <v>#VALUE!</v>
      </c>
      <c r="GL3" t="e">
        <f>Fields!P10+";Hb!.s"</f>
        <v>#VALUE!</v>
      </c>
      <c r="GM3" t="e">
        <f>Fields!Q10+";Hb!.t"</f>
        <v>#VALUE!</v>
      </c>
      <c r="GN3" t="e">
        <f>Fields!A11+";Hb!.u"</f>
        <v>#VALUE!</v>
      </c>
      <c r="GO3" t="e">
        <f>Fields!B11+";Hb!.v"</f>
        <v>#VALUE!</v>
      </c>
      <c r="GP3" t="e">
        <f>Fields!C11+";Hb!.w"</f>
        <v>#VALUE!</v>
      </c>
      <c r="GQ3" t="e">
        <f>Fields!E11+";Hb!.x"</f>
        <v>#VALUE!</v>
      </c>
      <c r="GR3" t="e">
        <f>Fields!F11+";Hb!.y"</f>
        <v>#VALUE!</v>
      </c>
      <c r="GS3" t="e">
        <f>Fields!P11+";Hb!.z"</f>
        <v>#VALUE!</v>
      </c>
      <c r="GT3" t="e">
        <f>Fields!Q11+";Hb!.{"</f>
        <v>#VALUE!</v>
      </c>
      <c r="GU3" t="e">
        <f>Fields!A12+";Hb!.|"</f>
        <v>#VALUE!</v>
      </c>
      <c r="GV3" t="e">
        <f>Fields!B12+";Hb!.}"</f>
        <v>#VALUE!</v>
      </c>
      <c r="GW3" t="e">
        <f>Fields!C12+";Hb!.~"</f>
        <v>#VALUE!</v>
      </c>
      <c r="GX3" t="e">
        <f>Fields!E12+";Hb!/#"</f>
        <v>#VALUE!</v>
      </c>
      <c r="GY3" t="e">
        <f>Fields!F12+";Hb!/$"</f>
        <v>#VALUE!</v>
      </c>
      <c r="GZ3" t="e">
        <f>Fields!P12+";Hb!/%"</f>
        <v>#VALUE!</v>
      </c>
      <c r="HA3" t="e">
        <f>Fields!Q12+";Hb!/&amp;"</f>
        <v>#VALUE!</v>
      </c>
      <c r="HB3" t="e">
        <f>Fields!A13+";Hb!/'"</f>
        <v>#VALUE!</v>
      </c>
      <c r="HC3" t="e">
        <f>Fields!B13+";Hb!/("</f>
        <v>#VALUE!</v>
      </c>
      <c r="HD3" t="e">
        <f>Fields!C13+";Hb!/)"</f>
        <v>#VALUE!</v>
      </c>
      <c r="HE3" t="e">
        <f>Fields!E13+";Hb!/."</f>
        <v>#VALUE!</v>
      </c>
      <c r="HF3" t="e">
        <f>Fields!F13+";Hb!//"</f>
        <v>#VALUE!</v>
      </c>
      <c r="HG3" t="e">
        <f>Fields!P13+";Hb!/0"</f>
        <v>#VALUE!</v>
      </c>
      <c r="HH3" t="e">
        <f>Fields!Q13+";Hb!/1"</f>
        <v>#VALUE!</v>
      </c>
      <c r="HI3" t="e">
        <f>Fields!A14+";Hb!/2"</f>
        <v>#VALUE!</v>
      </c>
      <c r="HJ3" t="e">
        <f>Fields!B14+";Hb!/3"</f>
        <v>#VALUE!</v>
      </c>
      <c r="HK3" t="e">
        <f>Fields!C14+";Hb!/4"</f>
        <v>#VALUE!</v>
      </c>
      <c r="HL3" t="e">
        <f>Fields!E14+";Hb!/5"</f>
        <v>#VALUE!</v>
      </c>
      <c r="HM3" t="e">
        <f>Fields!F14+";Hb!/6"</f>
        <v>#VALUE!</v>
      </c>
      <c r="HN3" t="e">
        <f>Fields!P14+";Hb!/7"</f>
        <v>#VALUE!</v>
      </c>
      <c r="HO3" t="e">
        <f>Fields!Q14+";Hb!/8"</f>
        <v>#VALUE!</v>
      </c>
      <c r="HP3" t="e">
        <f>Fields!A15+";Hb!/9"</f>
        <v>#VALUE!</v>
      </c>
      <c r="HQ3" t="e">
        <f>Fields!B15+";Hb!/:"</f>
        <v>#VALUE!</v>
      </c>
      <c r="HR3" t="e">
        <f>Fields!C15+";Hb!/;"</f>
        <v>#VALUE!</v>
      </c>
      <c r="HS3" t="e">
        <f>Fields!E15+";Hb!/&lt;"</f>
        <v>#VALUE!</v>
      </c>
      <c r="HT3" t="e">
        <f>Fields!F15+";Hb!/="</f>
        <v>#VALUE!</v>
      </c>
      <c r="HU3" t="e">
        <f>Fields!P15+";Hb!/&gt;"</f>
        <v>#VALUE!</v>
      </c>
      <c r="HV3" t="e">
        <f>Fields!Q15+";Hb!/?"</f>
        <v>#VALUE!</v>
      </c>
      <c r="HW3" t="e">
        <f>Fields!A16+";Hb!/@"</f>
        <v>#VALUE!</v>
      </c>
      <c r="HX3" t="e">
        <f>Fields!B16+";Hb!/A"</f>
        <v>#VALUE!</v>
      </c>
      <c r="HY3" t="e">
        <f>Fields!C16+";Hb!/B"</f>
        <v>#VALUE!</v>
      </c>
      <c r="HZ3" t="e">
        <f>Fields!E16+";Hb!/C"</f>
        <v>#VALUE!</v>
      </c>
      <c r="IA3" t="e">
        <f>Fields!F16+";Hb!/D"</f>
        <v>#VALUE!</v>
      </c>
      <c r="IB3" t="e">
        <f>Fields!P16+";Hb!/E"</f>
        <v>#VALUE!</v>
      </c>
      <c r="IC3" t="e">
        <f>Fields!Q16+";Hb!/F"</f>
        <v>#VALUE!</v>
      </c>
      <c r="ID3" t="e">
        <f>Fields!A18+";Hb!/G"</f>
        <v>#VALUE!</v>
      </c>
      <c r="IE3" t="e">
        <f>Fields!B18+";Hb!/H"</f>
        <v>#VALUE!</v>
      </c>
      <c r="IF3" t="e">
        <f>Fields!C18+";Hb!/I"</f>
        <v>#VALUE!</v>
      </c>
      <c r="IG3" t="e">
        <f>Fields!E18+";Hb!/J"</f>
        <v>#VALUE!</v>
      </c>
      <c r="IH3" t="e">
        <f>Fields!F18+";Hb!/K"</f>
        <v>#VALUE!</v>
      </c>
      <c r="II3" t="e">
        <f>Fields!P18+";Hb!/L"</f>
        <v>#VALUE!</v>
      </c>
      <c r="IJ3" t="e">
        <f>Fields!Q18+";Hb!/M"</f>
        <v>#VALUE!</v>
      </c>
      <c r="IK3" t="e">
        <f>Fields!A20+";Hb!/N"</f>
        <v>#VALUE!</v>
      </c>
      <c r="IL3" t="e">
        <f>Fields!B20+";Hb!/O"</f>
        <v>#VALUE!</v>
      </c>
      <c r="IM3" t="e">
        <f>Fields!C20+";Hb!/P"</f>
        <v>#VALUE!</v>
      </c>
      <c r="IN3" t="e">
        <f>Fields!E20+";Hb!/Q"</f>
        <v>#VALUE!</v>
      </c>
      <c r="IO3" t="e">
        <f>Fields!F20+";Hb!/R"</f>
        <v>#VALUE!</v>
      </c>
      <c r="IP3" t="e">
        <f>Fields!P20+";Hb!/S"</f>
        <v>#VALUE!</v>
      </c>
      <c r="IQ3" t="e">
        <f>Fields!Q20+";Hb!/T"</f>
        <v>#VALUE!</v>
      </c>
      <c r="IR3" t="e">
        <f>Fields!A21+";Hb!/U"</f>
        <v>#VALUE!</v>
      </c>
      <c r="IS3" t="e">
        <f>Fields!B21+";Hb!/V"</f>
        <v>#VALUE!</v>
      </c>
      <c r="IT3" t="e">
        <f>Fields!C21+";Hb!/W"</f>
        <v>#VALUE!</v>
      </c>
      <c r="IU3" t="e">
        <f>Fields!E21+";Hb!/X"</f>
        <v>#VALUE!</v>
      </c>
      <c r="IV3" t="e">
        <f>Fields!F21+";Hb!/Y"</f>
        <v>#VALUE!</v>
      </c>
    </row>
    <row r="4" spans="1:256" x14ac:dyDescent="0.25">
      <c r="A4" t="s">
        <v>214</v>
      </c>
      <c r="F4" t="e">
        <f>Fields!P21+";Hb!/Z"</f>
        <v>#VALUE!</v>
      </c>
      <c r="G4" t="e">
        <f>Fields!Q21+";Hb!/["</f>
        <v>#VALUE!</v>
      </c>
      <c r="H4" t="e">
        <f>Fields!A22+";Hb!/\"</f>
        <v>#VALUE!</v>
      </c>
      <c r="I4" t="e">
        <f>Fields!B22+";Hb!/]"</f>
        <v>#VALUE!</v>
      </c>
      <c r="J4" t="e">
        <f>Fields!C22+";Hb!/^"</f>
        <v>#VALUE!</v>
      </c>
      <c r="K4" t="e">
        <f>Fields!E22+";Hb!/_"</f>
        <v>#VALUE!</v>
      </c>
      <c r="L4" t="e">
        <f>Fields!F22+";Hb!/`"</f>
        <v>#VALUE!</v>
      </c>
      <c r="M4" t="e">
        <f>Fields!P22+";Hb!/a"</f>
        <v>#VALUE!</v>
      </c>
      <c r="N4" t="e">
        <f>Fields!Q22+";Hb!/b"</f>
        <v>#VALUE!</v>
      </c>
      <c r="O4" t="e">
        <f>Fields!A23+";Hb!/c"</f>
        <v>#VALUE!</v>
      </c>
      <c r="P4" t="e">
        <f>Fields!B23+";Hb!/d"</f>
        <v>#VALUE!</v>
      </c>
      <c r="Q4" t="e">
        <f>Fields!C23+";Hb!/e"</f>
        <v>#VALUE!</v>
      </c>
      <c r="R4" t="e">
        <f>Fields!E23+";Hb!/f"</f>
        <v>#VALUE!</v>
      </c>
      <c r="S4" t="e">
        <f>Fields!F23+";Hb!/g"</f>
        <v>#VALUE!</v>
      </c>
      <c r="T4" t="e">
        <f>Fields!P23+";Hb!/h"</f>
        <v>#VALUE!</v>
      </c>
      <c r="U4" t="e">
        <f>Fields!Q23+";Hb!/i"</f>
        <v>#VALUE!</v>
      </c>
      <c r="V4" t="e">
        <f>Fields!A24+";Hb!/j"</f>
        <v>#VALUE!</v>
      </c>
      <c r="W4" t="e">
        <f>Fields!B24+";Hb!/k"</f>
        <v>#VALUE!</v>
      </c>
      <c r="X4" t="e">
        <f>Fields!C24+";Hb!/l"</f>
        <v>#VALUE!</v>
      </c>
      <c r="Y4" t="e">
        <f>Fields!E24+";Hb!/m"</f>
        <v>#VALUE!</v>
      </c>
      <c r="Z4" t="e">
        <f>Fields!F24+";Hb!/n"</f>
        <v>#VALUE!</v>
      </c>
      <c r="AA4" t="e">
        <f>Fields!P24+";Hb!/o"</f>
        <v>#VALUE!</v>
      </c>
      <c r="AB4" t="e">
        <f>Fields!Q24+";Hb!/p"</f>
        <v>#VALUE!</v>
      </c>
      <c r="AC4" t="e">
        <f>Fields!A27+";Hb!/q"</f>
        <v>#VALUE!</v>
      </c>
      <c r="AD4" t="e">
        <f>Fields!B27+";Hb!/r"</f>
        <v>#VALUE!</v>
      </c>
      <c r="AE4" t="e">
        <f>Fields!C27+";Hb!/s"</f>
        <v>#VALUE!</v>
      </c>
      <c r="AF4" t="e">
        <f>Fields!E27+";Hb!/t"</f>
        <v>#VALUE!</v>
      </c>
      <c r="AG4" t="e">
        <f>Fields!F27+";Hb!/u"</f>
        <v>#VALUE!</v>
      </c>
      <c r="AH4" t="e">
        <f>Fields!P27+";Hb!/v"</f>
        <v>#VALUE!</v>
      </c>
      <c r="AI4" t="e">
        <f>Fields!Q27+";Hb!/w"</f>
        <v>#VALUE!</v>
      </c>
      <c r="AJ4" t="e">
        <f>Fields!A28+";Hb!/x"</f>
        <v>#VALUE!</v>
      </c>
      <c r="AK4" t="e">
        <f>Fields!B28+";Hb!/y"</f>
        <v>#VALUE!</v>
      </c>
      <c r="AL4" t="e">
        <f>Fields!C28+";Hb!/z"</f>
        <v>#VALUE!</v>
      </c>
      <c r="AM4" t="e">
        <f>Fields!E28+";Hb!/{"</f>
        <v>#VALUE!</v>
      </c>
      <c r="AN4" t="e">
        <f>Fields!F28+";Hb!/|"</f>
        <v>#VALUE!</v>
      </c>
      <c r="AO4" t="e">
        <f>Fields!P28+";Hb!/}"</f>
        <v>#VALUE!</v>
      </c>
      <c r="AP4" t="e">
        <f>Fields!Q28+";Hb!/~"</f>
        <v>#VALUE!</v>
      </c>
      <c r="AQ4" t="e">
        <f>Fields!A29+";Hb!0#"</f>
        <v>#VALUE!</v>
      </c>
      <c r="AR4" t="e">
        <f>Fields!B29+";Hb!0$"</f>
        <v>#VALUE!</v>
      </c>
      <c r="AS4" t="e">
        <f>Fields!C29+";Hb!0%"</f>
        <v>#VALUE!</v>
      </c>
      <c r="AT4" t="e">
        <f>Fields!E29+";Hb!0&amp;"</f>
        <v>#VALUE!</v>
      </c>
      <c r="AU4" t="e">
        <f>Fields!F29+";Hb!0'"</f>
        <v>#VALUE!</v>
      </c>
      <c r="AV4" t="e">
        <f>Fields!P29+";Hb!0("</f>
        <v>#VALUE!</v>
      </c>
      <c r="AW4" t="e">
        <f>Fields!Q29+";Hb!0)"</f>
        <v>#VALUE!</v>
      </c>
      <c r="AX4" t="e">
        <f>Fields!A30+";Hb!0."</f>
        <v>#VALUE!</v>
      </c>
      <c r="AY4" t="e">
        <f>Fields!B30+";Hb!0/"</f>
        <v>#VALUE!</v>
      </c>
      <c r="AZ4" t="e">
        <f>Fields!C30+";Hb!00"</f>
        <v>#VALUE!</v>
      </c>
      <c r="BA4" t="e">
        <f>Fields!E30+";Hb!01"</f>
        <v>#VALUE!</v>
      </c>
      <c r="BB4" t="e">
        <f>Fields!F30+";Hb!02"</f>
        <v>#VALUE!</v>
      </c>
      <c r="BC4" t="e">
        <f>Fields!P30+";Hb!03"</f>
        <v>#VALUE!</v>
      </c>
      <c r="BD4" t="e">
        <f>Fields!Q30+";Hb!04"</f>
        <v>#VALUE!</v>
      </c>
      <c r="BE4" t="e">
        <f>Fields!A31+";Hb!05"</f>
        <v>#VALUE!</v>
      </c>
      <c r="BF4" t="e">
        <f>Fields!B31+";Hb!06"</f>
        <v>#VALUE!</v>
      </c>
      <c r="BG4" t="e">
        <f>Fields!C31+";Hb!07"</f>
        <v>#VALUE!</v>
      </c>
      <c r="BH4" t="e">
        <f>Fields!E31+";Hb!08"</f>
        <v>#VALUE!</v>
      </c>
      <c r="BI4" t="e">
        <f>Fields!F31+";Hb!09"</f>
        <v>#VALUE!</v>
      </c>
      <c r="BJ4" t="e">
        <f>Fields!P31+";Hb!0:"</f>
        <v>#VALUE!</v>
      </c>
      <c r="BK4" t="e">
        <f>Fields!Q31+";Hb!0;"</f>
        <v>#VALUE!</v>
      </c>
      <c r="BL4" t="e">
        <f>Fields!A32+";Hb!0&lt;"</f>
        <v>#VALUE!</v>
      </c>
      <c r="BM4" t="e">
        <f>Fields!B32+";Hb!0="</f>
        <v>#VALUE!</v>
      </c>
      <c r="BN4" t="e">
        <f>Fields!C32+";Hb!0&gt;"</f>
        <v>#VALUE!</v>
      </c>
      <c r="BO4" t="e">
        <f>Fields!E32+";Hb!0?"</f>
        <v>#VALUE!</v>
      </c>
      <c r="BP4" t="e">
        <f>Fields!F32+";Hb!0@"</f>
        <v>#VALUE!</v>
      </c>
      <c r="BQ4" t="e">
        <f>Fields!P32+";Hb!0A"</f>
        <v>#VALUE!</v>
      </c>
      <c r="BR4" t="e">
        <f>Fields!Q32+";Hb!0B"</f>
        <v>#VALUE!</v>
      </c>
      <c r="BS4" t="e">
        <f>Fields!A33+";Hb!0C"</f>
        <v>#VALUE!</v>
      </c>
      <c r="BT4" t="e">
        <f>Fields!B33+";Hb!0D"</f>
        <v>#VALUE!</v>
      </c>
      <c r="BU4" t="e">
        <f>Fields!C33+";Hb!0E"</f>
        <v>#VALUE!</v>
      </c>
      <c r="BV4" t="e">
        <f>Fields!E33+";Hb!0F"</f>
        <v>#VALUE!</v>
      </c>
      <c r="BW4" t="e">
        <f>Fields!F33+";Hb!0G"</f>
        <v>#VALUE!</v>
      </c>
      <c r="BX4" t="e">
        <f>Fields!P33+";Hb!0H"</f>
        <v>#VALUE!</v>
      </c>
      <c r="BY4" t="e">
        <f>Fields!Q33+";Hb!0I"</f>
        <v>#VALUE!</v>
      </c>
      <c r="BZ4" s="6" t="e">
        <f>Fields!A34+";Hb!0J"</f>
        <v>#VALUE!</v>
      </c>
      <c r="CA4" s="6" t="e">
        <f>Fields!B34+";Hb!0K"</f>
        <v>#VALUE!</v>
      </c>
      <c r="CB4" s="6" t="e">
        <f>Fields!C34+";Hb!0L"</f>
        <v>#VALUE!</v>
      </c>
      <c r="CC4" s="6" t="e">
        <f>Fields!E34+";Hb!0M"</f>
        <v>#VALUE!</v>
      </c>
      <c r="CD4" s="6" t="e">
        <f>Fields!F34+";Hb!0N"</f>
        <v>#VALUE!</v>
      </c>
      <c r="CE4" s="6" t="e">
        <f>Fields!P34+";Hb!0O"</f>
        <v>#VALUE!</v>
      </c>
      <c r="CF4" s="6" t="e">
        <f>Fields!Q34+";Hb!0P"</f>
        <v>#VALUE!</v>
      </c>
      <c r="CG4" t="e">
        <f>Fields!A35+";Hb!0Q"</f>
        <v>#VALUE!</v>
      </c>
      <c r="CH4" t="e">
        <f>Fields!B35+";Hb!0R"</f>
        <v>#VALUE!</v>
      </c>
      <c r="CI4" t="e">
        <f>Fields!C35+";Hb!0S"</f>
        <v>#VALUE!</v>
      </c>
      <c r="CJ4" t="e">
        <f>Fields!E35+";Hb!0T"</f>
        <v>#VALUE!</v>
      </c>
      <c r="CK4" t="e">
        <f>Fields!F35+";Hb!0U"</f>
        <v>#VALUE!</v>
      </c>
      <c r="CL4" t="e">
        <f>Fields!P35+";Hb!0V"</f>
        <v>#VALUE!</v>
      </c>
      <c r="CM4" t="e">
        <f>Fields!Q35+";Hb!0W"</f>
        <v>#VALUE!</v>
      </c>
      <c r="CN4" t="e">
        <f>Fields!A36+";Hb!0X"</f>
        <v>#VALUE!</v>
      </c>
      <c r="CO4" t="e">
        <f>Fields!B36+";Hb!0Y"</f>
        <v>#VALUE!</v>
      </c>
      <c r="CP4" t="e">
        <f>Fields!C36+";Hb!0Z"</f>
        <v>#VALUE!</v>
      </c>
      <c r="CQ4" t="e">
        <f>Fields!E36+";Hb!0["</f>
        <v>#VALUE!</v>
      </c>
      <c r="CR4" t="e">
        <f>Fields!F36+";Hb!0\"</f>
        <v>#VALUE!</v>
      </c>
      <c r="CS4" t="e">
        <f>Fields!P36+";Hb!0]"</f>
        <v>#VALUE!</v>
      </c>
      <c r="CT4" t="e">
        <f>Fields!Q36+";Hb!0^"</f>
        <v>#VALUE!</v>
      </c>
      <c r="CU4" t="e">
        <f>Fields!A37+";Hb!0_"</f>
        <v>#VALUE!</v>
      </c>
      <c r="CV4" t="e">
        <f>Fields!B37+";Hb!0`"</f>
        <v>#VALUE!</v>
      </c>
      <c r="CW4" t="e">
        <f>Fields!C37+";Hb!0a"</f>
        <v>#VALUE!</v>
      </c>
      <c r="CX4" t="e">
        <f>Fields!E37+";Hb!0b"</f>
        <v>#VALUE!</v>
      </c>
      <c r="CY4" t="e">
        <f>Fields!F37+";Hb!0c"</f>
        <v>#VALUE!</v>
      </c>
      <c r="CZ4" t="e">
        <f>Fields!P37+";Hb!0d"</f>
        <v>#VALUE!</v>
      </c>
      <c r="DA4" t="e">
        <f>Fields!Q37+";Hb!0e"</f>
        <v>#VALUE!</v>
      </c>
      <c r="DB4" t="e">
        <f>Fields!A38+";Hb!0f"</f>
        <v>#VALUE!</v>
      </c>
      <c r="DC4" t="e">
        <f>Fields!B38+";Hb!0g"</f>
        <v>#VALUE!</v>
      </c>
      <c r="DD4" t="e">
        <f>Fields!C38+";Hb!0h"</f>
        <v>#VALUE!</v>
      </c>
      <c r="DE4" t="e">
        <f>Fields!E38+";Hb!0i"</f>
        <v>#VALUE!</v>
      </c>
      <c r="DF4" t="e">
        <f>Fields!F38+";Hb!0j"</f>
        <v>#VALUE!</v>
      </c>
      <c r="DG4" t="e">
        <f>Fields!P38+";Hb!0k"</f>
        <v>#VALUE!</v>
      </c>
      <c r="DH4" t="e">
        <f>Fields!Q38+";Hb!0l"</f>
        <v>#VALUE!</v>
      </c>
      <c r="DI4" t="e">
        <f>Fields!A39+";Hb!0m"</f>
        <v>#VALUE!</v>
      </c>
      <c r="DJ4" t="e">
        <f>Fields!B39+";Hb!0n"</f>
        <v>#VALUE!</v>
      </c>
      <c r="DK4" t="e">
        <f>Fields!C39+";Hb!0o"</f>
        <v>#VALUE!</v>
      </c>
      <c r="DL4" t="e">
        <f>Fields!E39+";Hb!0p"</f>
        <v>#VALUE!</v>
      </c>
      <c r="DM4" t="e">
        <f>Fields!F39+";Hb!0q"</f>
        <v>#VALUE!</v>
      </c>
      <c r="DN4" t="e">
        <f>Fields!P39+";Hb!0r"</f>
        <v>#VALUE!</v>
      </c>
      <c r="DO4" t="e">
        <f>Fields!Q39+";Hb!0s"</f>
        <v>#VALUE!</v>
      </c>
      <c r="DP4" t="e">
        <f>Fields!A40+";Hb!0t"</f>
        <v>#VALUE!</v>
      </c>
      <c r="DQ4" t="e">
        <f>Fields!B40+";Hb!0u"</f>
        <v>#VALUE!</v>
      </c>
      <c r="DR4" t="e">
        <f>Fields!C40+";Hb!0v"</f>
        <v>#VALUE!</v>
      </c>
      <c r="DS4" t="e">
        <f>Fields!E40+";Hb!0w"</f>
        <v>#VALUE!</v>
      </c>
      <c r="DT4" t="e">
        <f>Fields!F40+";Hb!0x"</f>
        <v>#VALUE!</v>
      </c>
      <c r="DU4" t="e">
        <f>Fields!P40+";Hb!0y"</f>
        <v>#VALUE!</v>
      </c>
      <c r="DV4" t="e">
        <f>Fields!Q40+";Hb!0z"</f>
        <v>#VALUE!</v>
      </c>
      <c r="DW4" t="e">
        <f>Fields!A41+";Hb!0{"</f>
        <v>#VALUE!</v>
      </c>
      <c r="DX4" t="e">
        <f>Fields!B41+";Hb!0|"</f>
        <v>#VALUE!</v>
      </c>
      <c r="DY4" t="e">
        <f>Fields!C41+";Hb!0}"</f>
        <v>#VALUE!</v>
      </c>
      <c r="DZ4" t="e">
        <f>Fields!E41+";Hb!0~"</f>
        <v>#VALUE!</v>
      </c>
      <c r="EA4" t="e">
        <f>Fields!F41+";Hb!1#"</f>
        <v>#VALUE!</v>
      </c>
      <c r="EB4" t="e">
        <f>Fields!P41+";Hb!1$"</f>
        <v>#VALUE!</v>
      </c>
      <c r="EC4" t="e">
        <f>Fields!Q41+";Hb!1%"</f>
        <v>#VALUE!</v>
      </c>
      <c r="ED4" t="e">
        <f>Fields!A42+";Hb!1&amp;"</f>
        <v>#VALUE!</v>
      </c>
      <c r="EE4" t="e">
        <f>Fields!B42+";Hb!1'"</f>
        <v>#VALUE!</v>
      </c>
      <c r="EF4" t="e">
        <f>Fields!C42+";Hb!1("</f>
        <v>#VALUE!</v>
      </c>
      <c r="EG4" t="e">
        <f>Fields!E42+";Hb!1)"</f>
        <v>#VALUE!</v>
      </c>
      <c r="EH4" t="e">
        <f>Fields!F42+";Hb!1."</f>
        <v>#VALUE!</v>
      </c>
      <c r="EI4" t="e">
        <f>Fields!P42+";Hb!1/"</f>
        <v>#VALUE!</v>
      </c>
      <c r="EJ4" t="e">
        <f>Fields!Q42+";Hb!10"</f>
        <v>#VALUE!</v>
      </c>
      <c r="EK4" t="e">
        <f>Fields!A43+";Hb!11"</f>
        <v>#VALUE!</v>
      </c>
      <c r="EL4" t="e">
        <f>Fields!B43+";Hb!12"</f>
        <v>#VALUE!</v>
      </c>
      <c r="EM4" t="e">
        <f>Fields!C43+";Hb!13"</f>
        <v>#VALUE!</v>
      </c>
      <c r="EN4" t="e">
        <f>Fields!E43+";Hb!14"</f>
        <v>#VALUE!</v>
      </c>
      <c r="EO4" t="e">
        <f>Fields!F43+";Hb!15"</f>
        <v>#VALUE!</v>
      </c>
      <c r="EP4" t="e">
        <f>Fields!P43+";Hb!16"</f>
        <v>#VALUE!</v>
      </c>
      <c r="EQ4" t="e">
        <f>Fields!Q43+";Hb!17"</f>
        <v>#VALUE!</v>
      </c>
      <c r="ER4" t="e">
        <f>Fields!A44+";Hb!18"</f>
        <v>#VALUE!</v>
      </c>
      <c r="ES4" t="e">
        <f>Fields!B44+";Hb!19"</f>
        <v>#VALUE!</v>
      </c>
      <c r="ET4" t="e">
        <f>Fields!C44+";Hb!1:"</f>
        <v>#VALUE!</v>
      </c>
      <c r="EU4" t="e">
        <f>Fields!E44+";Hb!1;"</f>
        <v>#VALUE!</v>
      </c>
      <c r="EV4" t="e">
        <f>Fields!F44+";Hb!1&lt;"</f>
        <v>#VALUE!</v>
      </c>
      <c r="EW4" t="e">
        <f>Fields!P44+";Hb!1="</f>
        <v>#VALUE!</v>
      </c>
      <c r="EX4" t="e">
        <f>Fields!Q44+";Hb!1&gt;"</f>
        <v>#VALUE!</v>
      </c>
      <c r="EY4" t="e">
        <f>Fields!A45+";Hb!1?"</f>
        <v>#VALUE!</v>
      </c>
      <c r="EZ4" t="e">
        <f>Fields!B45+";Hb!1@"</f>
        <v>#VALUE!</v>
      </c>
      <c r="FA4" t="e">
        <f>Fields!C45+";Hb!1A"</f>
        <v>#VALUE!</v>
      </c>
      <c r="FB4" t="e">
        <f>Fields!E45+";Hb!1B"</f>
        <v>#VALUE!</v>
      </c>
      <c r="FC4" t="e">
        <f>Fields!F45+";Hb!1C"</f>
        <v>#VALUE!</v>
      </c>
      <c r="FD4" t="e">
        <f>Fields!P45+";Hb!1D"</f>
        <v>#VALUE!</v>
      </c>
      <c r="FE4" t="e">
        <f>Fields!Q45+";Hb!1E"</f>
        <v>#VALUE!</v>
      </c>
      <c r="FF4" t="e">
        <f>Fields!A46+";Hb!1F"</f>
        <v>#VALUE!</v>
      </c>
      <c r="FG4" t="e">
        <f>Fields!B46+";Hb!1G"</f>
        <v>#VALUE!</v>
      </c>
      <c r="FH4" t="e">
        <f>Fields!C46+";Hb!1H"</f>
        <v>#VALUE!</v>
      </c>
      <c r="FI4" t="e">
        <f>Fields!E46+";Hb!1I"</f>
        <v>#VALUE!</v>
      </c>
      <c r="FJ4" t="e">
        <f>Fields!F46+";Hb!1J"</f>
        <v>#VALUE!</v>
      </c>
      <c r="FK4" t="e">
        <f>Fields!P46+";Hb!1K"</f>
        <v>#VALUE!</v>
      </c>
      <c r="FL4" t="e">
        <f>Fields!Q46+";Hb!1L"</f>
        <v>#VALUE!</v>
      </c>
      <c r="FM4" t="e">
        <f>Fields!A47+";Hb!1M"</f>
        <v>#VALUE!</v>
      </c>
      <c r="FN4" t="e">
        <f>Fields!B47+";Hb!1N"</f>
        <v>#VALUE!</v>
      </c>
      <c r="FO4" t="e">
        <f>Fields!C47+";Hb!1O"</f>
        <v>#VALUE!</v>
      </c>
      <c r="FP4" s="6" t="e">
        <f>Fields!E47+";Hb!1P"</f>
        <v>#VALUE!</v>
      </c>
      <c r="FQ4" s="6" t="e">
        <f>Fields!F47+";Hb!1Q"</f>
        <v>#VALUE!</v>
      </c>
      <c r="FR4" t="e">
        <f>Fields!P47+";Hb!1R"</f>
        <v>#VALUE!</v>
      </c>
      <c r="FS4" t="e">
        <f>Fields!Q47+";Hb!1S"</f>
        <v>#VALUE!</v>
      </c>
      <c r="FT4" t="e">
        <f>Fields!A48+";Hb!1T"</f>
        <v>#VALUE!</v>
      </c>
      <c r="FU4" t="e">
        <f>Fields!B48+";Hb!1U"</f>
        <v>#VALUE!</v>
      </c>
      <c r="FV4" t="e">
        <f>Fields!C48+";Hb!1V"</f>
        <v>#VALUE!</v>
      </c>
      <c r="FW4" t="e">
        <f>Fields!E48+";Hb!1W"</f>
        <v>#VALUE!</v>
      </c>
      <c r="FX4" t="e">
        <f>Fields!F48+";Hb!1X"</f>
        <v>#VALUE!</v>
      </c>
      <c r="FY4" t="e">
        <f>Fields!P48+";Hb!1Y"</f>
        <v>#VALUE!</v>
      </c>
      <c r="FZ4" t="e">
        <f>Fields!Q48+";Hb!1Z"</f>
        <v>#VALUE!</v>
      </c>
      <c r="GA4" t="e">
        <f>Fields!A49+";Hb!1["</f>
        <v>#VALUE!</v>
      </c>
      <c r="GB4" t="e">
        <f>Fields!B49+";Hb!1\"</f>
        <v>#VALUE!</v>
      </c>
      <c r="GC4" t="e">
        <f>Fields!C49+";Hb!1]"</f>
        <v>#VALUE!</v>
      </c>
      <c r="GD4" t="e">
        <f>Fields!E49+";Hb!1^"</f>
        <v>#VALUE!</v>
      </c>
      <c r="GE4" t="e">
        <f>Fields!F49+";Hb!1_"</f>
        <v>#VALUE!</v>
      </c>
      <c r="GF4" t="e">
        <f>Fields!P49+";Hb!1`"</f>
        <v>#VALUE!</v>
      </c>
      <c r="GG4" t="e">
        <f>Fields!Q49+";Hb!1a"</f>
        <v>#VALUE!</v>
      </c>
      <c r="GH4" t="e">
        <f>Fields!A50+";Hb!1b"</f>
        <v>#VALUE!</v>
      </c>
      <c r="GI4" t="e">
        <f>Fields!B50+";Hb!1c"</f>
        <v>#VALUE!</v>
      </c>
      <c r="GJ4" t="e">
        <f>Fields!C50+";Hb!1d"</f>
        <v>#VALUE!</v>
      </c>
      <c r="GK4" t="e">
        <f>Fields!E50+";Hb!1e"</f>
        <v>#VALUE!</v>
      </c>
      <c r="GL4" t="e">
        <f>Fields!F50+";Hb!1f"</f>
        <v>#VALUE!</v>
      </c>
      <c r="GM4" t="e">
        <f>Fields!P50+";Hb!1g"</f>
        <v>#VALUE!</v>
      </c>
      <c r="GN4" t="e">
        <f>Fields!Q50+";Hb!1h"</f>
        <v>#VALUE!</v>
      </c>
      <c r="GO4" t="e">
        <f>Fields!A51+";Hb!1i"</f>
        <v>#VALUE!</v>
      </c>
      <c r="GP4" t="e">
        <f>Fields!B51+";Hb!1j"</f>
        <v>#VALUE!</v>
      </c>
      <c r="GQ4" t="e">
        <f>Fields!C51+";Hb!1k"</f>
        <v>#VALUE!</v>
      </c>
      <c r="GR4" t="e">
        <f>Fields!E51+";Hb!1l"</f>
        <v>#VALUE!</v>
      </c>
      <c r="GS4" t="e">
        <f>Fields!F51+";Hb!1m"</f>
        <v>#VALUE!</v>
      </c>
      <c r="GT4" t="e">
        <f>Fields!P51+";Hb!1n"</f>
        <v>#VALUE!</v>
      </c>
      <c r="GU4" t="e">
        <f>Fields!Q51+";Hb!1o"</f>
        <v>#VALUE!</v>
      </c>
      <c r="GV4" t="e">
        <f>Fields!A52+";Hb!1p"</f>
        <v>#VALUE!</v>
      </c>
      <c r="GW4" t="e">
        <f>Fields!B52+";Hb!1q"</f>
        <v>#VALUE!</v>
      </c>
      <c r="GX4" t="e">
        <f>Fields!C52+";Hb!1r"</f>
        <v>#VALUE!</v>
      </c>
      <c r="GY4" t="e">
        <f>Fields!E52+";Hb!1s"</f>
        <v>#VALUE!</v>
      </c>
      <c r="GZ4" t="e">
        <f>Fields!F52+";Hb!1t"</f>
        <v>#VALUE!</v>
      </c>
      <c r="HA4" t="e">
        <f>Fields!P52+";Hb!1u"</f>
        <v>#VALUE!</v>
      </c>
      <c r="HB4" t="e">
        <f>Fields!Q52+";Hb!1v"</f>
        <v>#VALUE!</v>
      </c>
      <c r="HC4" t="e">
        <f>Fields!A53+";Hb!1w"</f>
        <v>#VALUE!</v>
      </c>
      <c r="HD4" t="e">
        <f>Fields!B53+";Hb!1x"</f>
        <v>#VALUE!</v>
      </c>
      <c r="HE4" t="e">
        <f>Fields!C53+";Hb!1y"</f>
        <v>#VALUE!</v>
      </c>
      <c r="HF4" t="e">
        <f>Fields!E53+";Hb!1z"</f>
        <v>#VALUE!</v>
      </c>
      <c r="HG4" t="e">
        <f>Fields!F53+";Hb!1{"</f>
        <v>#VALUE!</v>
      </c>
      <c r="HH4" t="e">
        <f>Fields!P53+";Hb!1|"</f>
        <v>#VALUE!</v>
      </c>
      <c r="HI4" t="e">
        <f>Fields!Q53+";Hb!1}"</f>
        <v>#VALUE!</v>
      </c>
      <c r="HJ4" t="e">
        <f>Fields!A54+";Hb!1~"</f>
        <v>#VALUE!</v>
      </c>
      <c r="HK4" t="e">
        <f>Fields!B54+";Hb!2#"</f>
        <v>#VALUE!</v>
      </c>
      <c r="HL4" t="e">
        <f>Fields!C54+";Hb!2$"</f>
        <v>#VALUE!</v>
      </c>
      <c r="HM4" t="e">
        <f>Fields!E54+";Hb!2%"</f>
        <v>#VALUE!</v>
      </c>
      <c r="HN4" t="e">
        <f>Fields!F54+";Hb!2&amp;"</f>
        <v>#VALUE!</v>
      </c>
      <c r="HO4" t="e">
        <f>Fields!P54+";Hb!2'"</f>
        <v>#VALUE!</v>
      </c>
      <c r="HP4" t="e">
        <f>Fields!Q54+";Hb!2("</f>
        <v>#VALUE!</v>
      </c>
      <c r="HQ4" t="e">
        <f>Fields!A55+";Hb!2)"</f>
        <v>#VALUE!</v>
      </c>
      <c r="HR4" t="e">
        <f>Fields!B55+";Hb!2."</f>
        <v>#VALUE!</v>
      </c>
      <c r="HS4" t="e">
        <f>Fields!C55+";Hb!2/"</f>
        <v>#VALUE!</v>
      </c>
      <c r="HT4" t="e">
        <f>Fields!E55+";Hb!20"</f>
        <v>#VALUE!</v>
      </c>
      <c r="HU4" t="e">
        <f>Fields!F55+";Hb!21"</f>
        <v>#VALUE!</v>
      </c>
      <c r="HV4" t="e">
        <f>Fields!P55+";Hb!22"</f>
        <v>#VALUE!</v>
      </c>
      <c r="HW4" t="e">
        <f>Fields!Q55+";Hb!23"</f>
        <v>#VALUE!</v>
      </c>
      <c r="HX4" t="e">
        <f>Fields!A56+";Hb!24"</f>
        <v>#VALUE!</v>
      </c>
      <c r="HY4" t="e">
        <f>Fields!B56+";Hb!25"</f>
        <v>#VALUE!</v>
      </c>
      <c r="HZ4" t="e">
        <f>Fields!C56+";Hb!26"</f>
        <v>#VALUE!</v>
      </c>
      <c r="IA4" t="e">
        <f>Fields!E56+";Hb!27"</f>
        <v>#VALUE!</v>
      </c>
      <c r="IB4" t="e">
        <f>Fields!F56+";Hb!28"</f>
        <v>#VALUE!</v>
      </c>
      <c r="IC4" t="e">
        <f>Fields!P56+";Hb!29"</f>
        <v>#VALUE!</v>
      </c>
      <c r="ID4" t="e">
        <f>Fields!Q56+";Hb!2:"</f>
        <v>#VALUE!</v>
      </c>
      <c r="IE4" t="e">
        <f>Fields!A57+";Hb!2;"</f>
        <v>#VALUE!</v>
      </c>
      <c r="IF4" t="e">
        <f>Fields!B57+";Hb!2&lt;"</f>
        <v>#VALUE!</v>
      </c>
      <c r="IG4" t="e">
        <f>Fields!C57+";Hb!2="</f>
        <v>#VALUE!</v>
      </c>
      <c r="IH4" t="e">
        <f>Fields!E57+";Hb!2&gt;"</f>
        <v>#VALUE!</v>
      </c>
      <c r="II4" t="e">
        <f>Fields!F57+";Hb!2?"</f>
        <v>#VALUE!</v>
      </c>
      <c r="IJ4" t="e">
        <f>Fields!P57+";Hb!2@"</f>
        <v>#VALUE!</v>
      </c>
      <c r="IK4" t="e">
        <f>Fields!Q57+";Hb!2A"</f>
        <v>#VALUE!</v>
      </c>
      <c r="IL4" t="e">
        <f>Fields!A58+";Hb!2B"</f>
        <v>#VALUE!</v>
      </c>
      <c r="IM4" t="e">
        <f>Fields!B58+";Hb!2C"</f>
        <v>#VALUE!</v>
      </c>
      <c r="IN4" t="e">
        <f>Fields!C58+";Hb!2D"</f>
        <v>#VALUE!</v>
      </c>
      <c r="IO4" t="e">
        <f>Fields!E58+";Hb!2E"</f>
        <v>#VALUE!</v>
      </c>
      <c r="IP4" t="e">
        <f>Fields!F58+";Hb!2F"</f>
        <v>#VALUE!</v>
      </c>
      <c r="IQ4" t="e">
        <f>Fields!P58+";Hb!2G"</f>
        <v>#VALUE!</v>
      </c>
      <c r="IR4" t="e">
        <f>Fields!Q58+";Hb!2H"</f>
        <v>#VALUE!</v>
      </c>
      <c r="IS4" t="e">
        <f>Fields!A59+";Hb!2I"</f>
        <v>#VALUE!</v>
      </c>
      <c r="IT4" t="e">
        <f>Fields!B59+";Hb!2J"</f>
        <v>#VALUE!</v>
      </c>
      <c r="IU4" t="e">
        <f>Fields!C59+";Hb!2K"</f>
        <v>#VALUE!</v>
      </c>
      <c r="IV4" t="e">
        <f>Fields!E59+";Hb!2L"</f>
        <v>#VALUE!</v>
      </c>
    </row>
    <row r="5" spans="1:256" x14ac:dyDescent="0.25">
      <c r="A5" t="s">
        <v>215</v>
      </c>
      <c r="F5" t="e">
        <f>Fields!F59+";Hb!2M"</f>
        <v>#VALUE!</v>
      </c>
      <c r="G5" t="e">
        <f>Fields!P59+";Hb!2N"</f>
        <v>#VALUE!</v>
      </c>
      <c r="H5" t="e">
        <f>Fields!Q59+";Hb!2O"</f>
        <v>#VALUE!</v>
      </c>
      <c r="I5" t="e">
        <f>Fields!A60+";Hb!2P"</f>
        <v>#VALUE!</v>
      </c>
      <c r="J5" t="e">
        <f>Fields!B60+";Hb!2Q"</f>
        <v>#VALUE!</v>
      </c>
      <c r="K5" t="e">
        <f>Fields!C60+";Hb!2R"</f>
        <v>#VALUE!</v>
      </c>
      <c r="L5" t="e">
        <f>Fields!E60+";Hb!2S"</f>
        <v>#VALUE!</v>
      </c>
      <c r="M5" t="e">
        <f>Fields!F60+";Hb!2T"</f>
        <v>#VALUE!</v>
      </c>
      <c r="N5" t="e">
        <f>Fields!P60+";Hb!2U"</f>
        <v>#VALUE!</v>
      </c>
      <c r="O5" t="e">
        <f>Fields!Q60+";Hb!2V"</f>
        <v>#VALUE!</v>
      </c>
      <c r="P5" t="e">
        <f>Fields!A61+";Hb!2W"</f>
        <v>#VALUE!</v>
      </c>
      <c r="Q5" t="e">
        <f>Fields!B61+";Hb!2X"</f>
        <v>#VALUE!</v>
      </c>
      <c r="R5" t="e">
        <f>Fields!C61+";Hb!2Y"</f>
        <v>#VALUE!</v>
      </c>
      <c r="S5" t="e">
        <f>Fields!E61+";Hb!2Z"</f>
        <v>#VALUE!</v>
      </c>
      <c r="T5" t="e">
        <f>Fields!F61+";Hb!2["</f>
        <v>#VALUE!</v>
      </c>
      <c r="U5" t="e">
        <f>Fields!P61+";Hb!2\"</f>
        <v>#VALUE!</v>
      </c>
      <c r="V5" t="e">
        <f>Fields!Q61+";Hb!2]"</f>
        <v>#VALUE!</v>
      </c>
      <c r="W5" t="e">
        <f>Fields!A62+";Hb!2^"</f>
        <v>#VALUE!</v>
      </c>
      <c r="X5" t="e">
        <f>Fields!B62+";Hb!2_"</f>
        <v>#VALUE!</v>
      </c>
      <c r="Y5" t="e">
        <f>Fields!C62+";Hb!2`"</f>
        <v>#VALUE!</v>
      </c>
      <c r="Z5" t="e">
        <f>Fields!E62+";Hb!2a"</f>
        <v>#VALUE!</v>
      </c>
      <c r="AA5" t="e">
        <f>Fields!F62+";Hb!2b"</f>
        <v>#VALUE!</v>
      </c>
      <c r="AB5" t="e">
        <f>Fields!P62+";Hb!2c"</f>
        <v>#VALUE!</v>
      </c>
      <c r="AC5" t="e">
        <f>Fields!Q62+";Hb!2d"</f>
        <v>#VALUE!</v>
      </c>
      <c r="AD5" t="e">
        <f>Fields!A63+";Hb!2e"</f>
        <v>#VALUE!</v>
      </c>
      <c r="AE5" t="e">
        <f>Fields!B63+";Hb!2f"</f>
        <v>#VALUE!</v>
      </c>
      <c r="AF5" t="e">
        <f>Fields!C63+";Hb!2g"</f>
        <v>#VALUE!</v>
      </c>
      <c r="AG5" t="e">
        <f>Fields!E63+";Hb!2h"</f>
        <v>#VALUE!</v>
      </c>
      <c r="AH5" t="e">
        <f>Fields!F63+";Hb!2i"</f>
        <v>#VALUE!</v>
      </c>
      <c r="AI5" t="e">
        <f>Fields!P63+";Hb!2j"</f>
        <v>#VALUE!</v>
      </c>
      <c r="AJ5" t="e">
        <f>Fields!Q63+";Hb!2k"</f>
        <v>#VALUE!</v>
      </c>
      <c r="AK5" t="e">
        <f>Fields!A64+";Hb!2l"</f>
        <v>#VALUE!</v>
      </c>
      <c r="AL5" t="e">
        <f>Fields!B64+";Hb!2m"</f>
        <v>#VALUE!</v>
      </c>
      <c r="AM5" t="e">
        <f>Fields!C64+";Hb!2n"</f>
        <v>#VALUE!</v>
      </c>
      <c r="AN5" t="e">
        <f>Fields!E64+";Hb!2o"</f>
        <v>#VALUE!</v>
      </c>
      <c r="AO5" t="e">
        <f>Fields!F64+";Hb!2p"</f>
        <v>#VALUE!</v>
      </c>
      <c r="AP5" t="e">
        <f>Fields!P64+";Hb!2q"</f>
        <v>#VALUE!</v>
      </c>
      <c r="AQ5" t="e">
        <f>Fields!Q64+";Hb!2r"</f>
        <v>#VALUE!</v>
      </c>
      <c r="AR5" t="e">
        <f>Fields!A65+";Hb!2s"</f>
        <v>#VALUE!</v>
      </c>
      <c r="AS5" t="e">
        <f>Fields!B65+";Hb!2t"</f>
        <v>#VALUE!</v>
      </c>
      <c r="AT5" t="e">
        <f>Fields!C65+";Hb!2u"</f>
        <v>#VALUE!</v>
      </c>
      <c r="AU5" t="e">
        <f>Fields!E65+";Hb!2v"</f>
        <v>#VALUE!</v>
      </c>
      <c r="AV5" t="e">
        <f>Fields!F65+";Hb!2w"</f>
        <v>#VALUE!</v>
      </c>
      <c r="AW5" t="e">
        <f>Fields!P65+";Hb!2x"</f>
        <v>#VALUE!</v>
      </c>
      <c r="AX5" t="e">
        <f>Fields!Q65+";Hb!2y"</f>
        <v>#VALUE!</v>
      </c>
      <c r="AY5" t="e">
        <f>Fields!A66+";Hb!2z"</f>
        <v>#VALUE!</v>
      </c>
      <c r="AZ5" t="e">
        <f>Fields!B66+";Hb!2{"</f>
        <v>#VALUE!</v>
      </c>
      <c r="BA5" t="e">
        <f>Fields!C66+";Hb!2|"</f>
        <v>#VALUE!</v>
      </c>
      <c r="BB5" t="e">
        <f>Fields!E66+";Hb!2}"</f>
        <v>#VALUE!</v>
      </c>
      <c r="BC5" t="e">
        <f>Fields!F66+";Hb!2~"</f>
        <v>#VALUE!</v>
      </c>
      <c r="BD5" t="e">
        <f>Fields!P66+";Hb!3#"</f>
        <v>#VALUE!</v>
      </c>
      <c r="BE5" t="e">
        <f>Fields!Q66+";Hb!3$"</f>
        <v>#VALUE!</v>
      </c>
      <c r="BF5" t="e">
        <f>Fields!A67+";Hb!3%"</f>
        <v>#VALUE!</v>
      </c>
      <c r="BG5" t="e">
        <f>Fields!B67+";Hb!3&amp;"</f>
        <v>#VALUE!</v>
      </c>
      <c r="BH5" t="e">
        <f>Fields!C67+";Hb!3'"</f>
        <v>#VALUE!</v>
      </c>
      <c r="BI5" t="e">
        <f>Fields!E67+";Hb!3("</f>
        <v>#VALUE!</v>
      </c>
      <c r="BJ5" t="e">
        <f>Fields!F67+";Hb!3)"</f>
        <v>#VALUE!</v>
      </c>
      <c r="BK5" t="e">
        <f>Fields!P67+";Hb!3."</f>
        <v>#VALUE!</v>
      </c>
      <c r="BL5" t="e">
        <f>Fields!Q67+";Hb!3/"</f>
        <v>#VALUE!</v>
      </c>
      <c r="BM5" t="e">
        <f>Fields!A68+";Hb!30"</f>
        <v>#VALUE!</v>
      </c>
      <c r="BN5" t="e">
        <f>Fields!B68+";Hb!31"</f>
        <v>#VALUE!</v>
      </c>
      <c r="BO5" t="e">
        <f>Fields!C68+";Hb!32"</f>
        <v>#VALUE!</v>
      </c>
      <c r="BP5" t="e">
        <f>Fields!E68+";Hb!33"</f>
        <v>#VALUE!</v>
      </c>
      <c r="BQ5" t="e">
        <f>Fields!F68+";Hb!34"</f>
        <v>#VALUE!</v>
      </c>
      <c r="BR5" t="e">
        <f>Fields!P68+";Hb!35"</f>
        <v>#VALUE!</v>
      </c>
      <c r="BS5" t="e">
        <f>Fields!Q68+";Hb!36"</f>
        <v>#VALUE!</v>
      </c>
      <c r="BT5" t="e">
        <f>Fields!A69+";Hb!37"</f>
        <v>#VALUE!</v>
      </c>
      <c r="BU5" t="e">
        <f>Fields!B69+";Hb!38"</f>
        <v>#VALUE!</v>
      </c>
      <c r="BV5" t="e">
        <f>Fields!C69+";Hb!39"</f>
        <v>#VALUE!</v>
      </c>
      <c r="BW5" t="e">
        <f>Fields!E69+";Hb!3:"</f>
        <v>#VALUE!</v>
      </c>
      <c r="BX5" t="e">
        <f>Fields!F69+";Hb!3;"</f>
        <v>#VALUE!</v>
      </c>
      <c r="BY5" t="e">
        <f>Fields!P69+";Hb!3&lt;"</f>
        <v>#VALUE!</v>
      </c>
      <c r="BZ5" t="e">
        <f>Fields!Q69+";Hb!3="</f>
        <v>#VALUE!</v>
      </c>
      <c r="CA5" t="e">
        <f>Fields!A70+";Hb!3&gt;"</f>
        <v>#VALUE!</v>
      </c>
      <c r="CB5" t="e">
        <f>Fields!B70+";Hb!3?"</f>
        <v>#VALUE!</v>
      </c>
      <c r="CC5" t="e">
        <f>Fields!C70+";Hb!3@"</f>
        <v>#VALUE!</v>
      </c>
      <c r="CD5" t="e">
        <f>Fields!E70+";Hb!3A"</f>
        <v>#VALUE!</v>
      </c>
      <c r="CE5" t="e">
        <f>Fields!F70+";Hb!3B"</f>
        <v>#VALUE!</v>
      </c>
      <c r="CF5" t="e">
        <f>Fields!P70+";Hb!3C"</f>
        <v>#VALUE!</v>
      </c>
      <c r="CG5" t="e">
        <f>Fields!Q70+";Hb!3D"</f>
        <v>#VALUE!</v>
      </c>
      <c r="CH5" t="e">
        <f>Fields!A71+";Hb!3E"</f>
        <v>#VALUE!</v>
      </c>
      <c r="CI5" t="e">
        <f>Fields!B71+";Hb!3F"</f>
        <v>#VALUE!</v>
      </c>
      <c r="CJ5" t="e">
        <f>Fields!C71+";Hb!3G"</f>
        <v>#VALUE!</v>
      </c>
      <c r="CK5" t="e">
        <f>Fields!E71+";Hb!3H"</f>
        <v>#VALUE!</v>
      </c>
      <c r="CL5" t="e">
        <f>Fields!F71+";Hb!3I"</f>
        <v>#VALUE!</v>
      </c>
      <c r="CM5" t="e">
        <f>Fields!P71+";Hb!3J"</f>
        <v>#VALUE!</v>
      </c>
      <c r="CN5" t="e">
        <f>Fields!Q71+";Hb!3K"</f>
        <v>#VALUE!</v>
      </c>
      <c r="CO5" t="e">
        <f>Fields!A72+";Hb!3L"</f>
        <v>#VALUE!</v>
      </c>
      <c r="CP5" t="e">
        <f>Fields!B72+";Hb!3M"</f>
        <v>#VALUE!</v>
      </c>
      <c r="CQ5" t="e">
        <f>Fields!C72+";Hb!3N"</f>
        <v>#VALUE!</v>
      </c>
      <c r="CR5" t="e">
        <f>Fields!E72+";Hb!3O"</f>
        <v>#VALUE!</v>
      </c>
      <c r="CS5" t="e">
        <f>Fields!F72+";Hb!3P"</f>
        <v>#VALUE!</v>
      </c>
      <c r="CT5" t="e">
        <f>Fields!P72+";Hb!3Q"</f>
        <v>#VALUE!</v>
      </c>
      <c r="CU5" t="e">
        <f>Fields!Q72+";Hb!3R"</f>
        <v>#VALUE!</v>
      </c>
      <c r="CV5" t="e">
        <f>Fields!A74+";Hb!3S"</f>
        <v>#VALUE!</v>
      </c>
      <c r="CW5" t="e">
        <f>Fields!B74+";Hb!3T"</f>
        <v>#VALUE!</v>
      </c>
      <c r="CX5" t="e">
        <f>Fields!C74+";Hb!3U"</f>
        <v>#VALUE!</v>
      </c>
      <c r="CY5" t="e">
        <f>Fields!E74+";Hb!3V"</f>
        <v>#VALUE!</v>
      </c>
      <c r="CZ5" t="e">
        <f>Fields!F74+";Hb!3W"</f>
        <v>#VALUE!</v>
      </c>
      <c r="DA5" t="e">
        <f>Fields!P74+";Hb!3X"</f>
        <v>#VALUE!</v>
      </c>
      <c r="DB5" t="e">
        <f>Fields!Q74+";Hb!3Y"</f>
        <v>#VALUE!</v>
      </c>
      <c r="DC5" t="e">
        <f>Fields!A75+";Hb!3Z"</f>
        <v>#VALUE!</v>
      </c>
      <c r="DD5" t="e">
        <f>Fields!B75+";Hb!3["</f>
        <v>#VALUE!</v>
      </c>
      <c r="DE5" t="e">
        <f>Fields!C75+";Hb!3\"</f>
        <v>#VALUE!</v>
      </c>
      <c r="DF5" t="e">
        <f>Fields!E75+";Hb!3]"</f>
        <v>#VALUE!</v>
      </c>
      <c r="DG5" t="e">
        <f>Fields!F75+";Hb!3^"</f>
        <v>#VALUE!</v>
      </c>
      <c r="DH5" t="e">
        <f>Fields!P75+";Hb!3_"</f>
        <v>#VALUE!</v>
      </c>
      <c r="DI5" t="e">
        <f>Fields!Q75+";Hb!3`"</f>
        <v>#VALUE!</v>
      </c>
      <c r="DJ5" t="e">
        <f>Fields!A76+";Hb!3a"</f>
        <v>#VALUE!</v>
      </c>
      <c r="DK5" t="e">
        <f>Fields!B76+";Hb!3b"</f>
        <v>#VALUE!</v>
      </c>
      <c r="DL5" t="e">
        <f>Fields!C76+";Hb!3c"</f>
        <v>#VALUE!</v>
      </c>
      <c r="DM5" t="e">
        <f>Fields!E76+";Hb!3d"</f>
        <v>#VALUE!</v>
      </c>
      <c r="DN5" t="e">
        <f>Fields!F76+";Hb!3e"</f>
        <v>#VALUE!</v>
      </c>
      <c r="DO5" t="e">
        <f>Fields!P76+";Hb!3f"</f>
        <v>#VALUE!</v>
      </c>
      <c r="DP5" t="e">
        <f>Fields!Q76+";Hb!3g"</f>
        <v>#VALUE!</v>
      </c>
      <c r="DQ5" t="e">
        <f>Fields!A77+";Hb!3h"</f>
        <v>#VALUE!</v>
      </c>
      <c r="DR5" t="e">
        <f>Fields!B77+";Hb!3i"</f>
        <v>#VALUE!</v>
      </c>
      <c r="DS5" t="e">
        <f>Fields!C77+";Hb!3j"</f>
        <v>#VALUE!</v>
      </c>
      <c r="DT5" t="e">
        <f>Fields!E77+";Hb!3k"</f>
        <v>#VALUE!</v>
      </c>
      <c r="DU5" t="e">
        <f>Fields!F77+";Hb!3l"</f>
        <v>#VALUE!</v>
      </c>
      <c r="DV5" t="e">
        <f>Fields!P77+";Hb!3m"</f>
        <v>#VALUE!</v>
      </c>
      <c r="DW5" t="e">
        <f>Fields!Q77+";Hb!3n"</f>
        <v>#VALUE!</v>
      </c>
      <c r="DX5" t="e">
        <f>Fields!A78+";Hb!3o"</f>
        <v>#VALUE!</v>
      </c>
      <c r="DY5" t="e">
        <f>Fields!B78+";Hb!3p"</f>
        <v>#VALUE!</v>
      </c>
      <c r="DZ5" t="e">
        <f>Fields!C78+";Hb!3q"</f>
        <v>#VALUE!</v>
      </c>
      <c r="EA5" t="e">
        <f>Fields!E78+";Hb!3r"</f>
        <v>#VALUE!</v>
      </c>
      <c r="EB5" t="e">
        <f>Fields!F78+";Hb!3s"</f>
        <v>#VALUE!</v>
      </c>
      <c r="EC5" t="e">
        <f>Fields!P78+";Hb!3t"</f>
        <v>#VALUE!</v>
      </c>
      <c r="ED5" t="e">
        <f>Fields!Q78+";Hb!3u"</f>
        <v>#VALUE!</v>
      </c>
      <c r="EE5" t="e">
        <f>Fields!A79+";Hb!3v"</f>
        <v>#VALUE!</v>
      </c>
      <c r="EF5" t="e">
        <f>Fields!B79+";Hb!3w"</f>
        <v>#VALUE!</v>
      </c>
      <c r="EG5" t="e">
        <f>Fields!C79+";Hb!3x"</f>
        <v>#VALUE!</v>
      </c>
      <c r="EH5" t="e">
        <f>Fields!E79+";Hb!3y"</f>
        <v>#VALUE!</v>
      </c>
      <c r="EI5" t="e">
        <f>Fields!F79+";Hb!3z"</f>
        <v>#VALUE!</v>
      </c>
      <c r="EJ5" t="e">
        <f>Fields!P79+";Hb!3{"</f>
        <v>#VALUE!</v>
      </c>
      <c r="EK5" t="e">
        <f>Fields!Q79+";Hb!3|"</f>
        <v>#VALUE!</v>
      </c>
      <c r="EL5" t="e">
        <f>Fields!A80+";Hb!3}"</f>
        <v>#VALUE!</v>
      </c>
      <c r="EM5" t="e">
        <f>Fields!B80+";Hb!3~"</f>
        <v>#VALUE!</v>
      </c>
      <c r="EN5" t="e">
        <f>Fields!C80+";Hb!4#"</f>
        <v>#VALUE!</v>
      </c>
      <c r="EO5" t="e">
        <f>Fields!E80+";Hb!4$"</f>
        <v>#VALUE!</v>
      </c>
      <c r="EP5" t="e">
        <f>Fields!F80+";Hb!4%"</f>
        <v>#VALUE!</v>
      </c>
      <c r="EQ5" t="e">
        <f>Fields!P80+";Hb!4&amp;"</f>
        <v>#VALUE!</v>
      </c>
      <c r="ER5" t="e">
        <f>Fields!Q80+";Hb!4'"</f>
        <v>#VALUE!</v>
      </c>
      <c r="ES5" t="e">
        <f>Fields!A81+";Hb!4("</f>
        <v>#VALUE!</v>
      </c>
      <c r="ET5" t="e">
        <f>Fields!B81+";Hb!4)"</f>
        <v>#VALUE!</v>
      </c>
      <c r="EU5" t="e">
        <f>Fields!C81+";Hb!4."</f>
        <v>#VALUE!</v>
      </c>
      <c r="EV5" t="e">
        <f>Fields!E81+";Hb!4/"</f>
        <v>#VALUE!</v>
      </c>
      <c r="EW5" t="e">
        <f>Fields!F81+";Hb!40"</f>
        <v>#VALUE!</v>
      </c>
      <c r="EX5" t="e">
        <f>Fields!P81+";Hb!41"</f>
        <v>#VALUE!</v>
      </c>
      <c r="EY5" t="e">
        <f>Fields!Q81+";Hb!42"</f>
        <v>#VALUE!</v>
      </c>
      <c r="EZ5" t="e">
        <f>Fields!A82+";Hb!43"</f>
        <v>#VALUE!</v>
      </c>
      <c r="FA5" t="e">
        <f>Fields!B82+";Hb!44"</f>
        <v>#VALUE!</v>
      </c>
      <c r="FB5" t="e">
        <f>Fields!C82+";Hb!45"</f>
        <v>#VALUE!</v>
      </c>
      <c r="FC5" t="e">
        <f>Fields!E82+";Hb!46"</f>
        <v>#VALUE!</v>
      </c>
      <c r="FD5" t="e">
        <f>Fields!F82+";Hb!47"</f>
        <v>#VALUE!</v>
      </c>
      <c r="FE5" t="e">
        <f>Fields!P82+";Hb!48"</f>
        <v>#VALUE!</v>
      </c>
      <c r="FF5" t="e">
        <f>Fields!Q82+";Hb!49"</f>
        <v>#VALUE!</v>
      </c>
      <c r="FG5" t="e">
        <f>Fields!A84+";Hb!4:"</f>
        <v>#VALUE!</v>
      </c>
      <c r="FH5" t="e">
        <f>Fields!B84+";Hb!4;"</f>
        <v>#VALUE!</v>
      </c>
      <c r="FI5" t="e">
        <f>Fields!C84+";Hb!4&lt;"</f>
        <v>#VALUE!</v>
      </c>
      <c r="FJ5" t="e">
        <f>Fields!E84+";Hb!4="</f>
        <v>#VALUE!</v>
      </c>
      <c r="FK5" t="e">
        <f>Fields!F84+";Hb!4&gt;"</f>
        <v>#VALUE!</v>
      </c>
      <c r="FL5" t="e">
        <f>Fields!P84+";Hb!4?"</f>
        <v>#VALUE!</v>
      </c>
      <c r="FM5" t="e">
        <f>Fields!Q84+";Hb!4@"</f>
        <v>#VALUE!</v>
      </c>
      <c r="FN5" t="e">
        <f>Fields!A85+";Hb!4A"</f>
        <v>#VALUE!</v>
      </c>
      <c r="FO5" t="e">
        <f>Fields!B85+";Hb!4B"</f>
        <v>#VALUE!</v>
      </c>
      <c r="FP5" t="e">
        <f>Fields!C85+";Hb!4C"</f>
        <v>#VALUE!</v>
      </c>
      <c r="FQ5" t="e">
        <f>Fields!E85+";Hb!4D"</f>
        <v>#VALUE!</v>
      </c>
      <c r="FR5" s="7" t="e">
        <f>Fields!F85+";Hb!4E"</f>
        <v>#VALUE!</v>
      </c>
      <c r="FS5" t="e">
        <f>Fields!P85+";Hb!4F"</f>
        <v>#VALUE!</v>
      </c>
      <c r="FT5" t="e">
        <f>Fields!Q85+";Hb!4G"</f>
        <v>#VALUE!</v>
      </c>
      <c r="FU5" t="e">
        <f>Fields!A86+";Hb!4H"</f>
        <v>#VALUE!</v>
      </c>
      <c r="FV5" t="e">
        <f>Fields!B86+";Hb!4I"</f>
        <v>#VALUE!</v>
      </c>
      <c r="FW5" t="e">
        <f>Fields!C86+";Hb!4J"</f>
        <v>#VALUE!</v>
      </c>
      <c r="FX5" t="e">
        <f>Fields!E86+";Hb!4K"</f>
        <v>#VALUE!</v>
      </c>
      <c r="FY5" t="e">
        <f>Fields!F86+";Hb!4L"</f>
        <v>#VALUE!</v>
      </c>
      <c r="FZ5" t="e">
        <f>Fields!P86+";Hb!4M"</f>
        <v>#VALUE!</v>
      </c>
      <c r="GA5" t="e">
        <f>Fields!Q86+";Hb!4N"</f>
        <v>#VALUE!</v>
      </c>
      <c r="GB5" t="e">
        <f>Fields!A87+";Hb!4O"</f>
        <v>#VALUE!</v>
      </c>
      <c r="GC5" t="e">
        <f>Fields!B87+";Hb!4P"</f>
        <v>#VALUE!</v>
      </c>
      <c r="GD5" t="e">
        <f>Fields!C87+";Hb!4Q"</f>
        <v>#VALUE!</v>
      </c>
      <c r="GE5" t="e">
        <f>Fields!E87+";Hb!4R"</f>
        <v>#VALUE!</v>
      </c>
      <c r="GF5" t="e">
        <f>Fields!F87+";Hb!4S"</f>
        <v>#VALUE!</v>
      </c>
      <c r="GG5" t="e">
        <f>Fields!P87+";Hb!4T"</f>
        <v>#VALUE!</v>
      </c>
      <c r="GH5" t="e">
        <f>Fields!Q87+";Hb!4U"</f>
        <v>#VALUE!</v>
      </c>
      <c r="GI5" t="e">
        <f>Fields!A88+";Hb!4V"</f>
        <v>#VALUE!</v>
      </c>
      <c r="GJ5" t="e">
        <f>Fields!B88+";Hb!4W"</f>
        <v>#VALUE!</v>
      </c>
      <c r="GK5" t="e">
        <f>Fields!C88+";Hb!4X"</f>
        <v>#VALUE!</v>
      </c>
      <c r="GL5" t="e">
        <f>Fields!E88+";Hb!4Y"</f>
        <v>#VALUE!</v>
      </c>
      <c r="GM5" t="e">
        <f>Fields!F88+";Hb!4Z"</f>
        <v>#VALUE!</v>
      </c>
      <c r="GN5" t="e">
        <f>Fields!P88+";Hb!4["</f>
        <v>#VALUE!</v>
      </c>
      <c r="GO5" t="e">
        <f>Fields!Q88+";Hb!4\"</f>
        <v>#VALUE!</v>
      </c>
      <c r="GP5" t="e">
        <f>Fields!A89+";Hb!4]"</f>
        <v>#VALUE!</v>
      </c>
      <c r="GQ5" t="e">
        <f>Fields!B89+";Hb!4^"</f>
        <v>#VALUE!</v>
      </c>
      <c r="GR5" t="e">
        <f>Fields!C89+";Hb!4_"</f>
        <v>#VALUE!</v>
      </c>
      <c r="GS5" t="e">
        <f>Fields!E89+";Hb!4`"</f>
        <v>#VALUE!</v>
      </c>
      <c r="GT5" t="e">
        <f>Fields!F89+";Hb!4a"</f>
        <v>#VALUE!</v>
      </c>
      <c r="GU5" t="e">
        <f>Fields!P89+";Hb!4b"</f>
        <v>#VALUE!</v>
      </c>
      <c r="GV5" t="e">
        <f>Fields!Q89+";Hb!4c"</f>
        <v>#VALUE!</v>
      </c>
      <c r="GW5" t="e">
        <f>Fields!A90+";Hb!4d"</f>
        <v>#VALUE!</v>
      </c>
      <c r="GX5" t="e">
        <f>Fields!B90+";Hb!4e"</f>
        <v>#VALUE!</v>
      </c>
      <c r="GY5" t="e">
        <f>Fields!C90+";Hb!4f"</f>
        <v>#VALUE!</v>
      </c>
      <c r="GZ5" t="e">
        <f>Fields!E90+";Hb!4g"</f>
        <v>#VALUE!</v>
      </c>
      <c r="HA5" t="e">
        <f>Fields!F90+";Hb!4h"</f>
        <v>#VALUE!</v>
      </c>
      <c r="HB5" t="e">
        <f>Fields!P90+";Hb!4i"</f>
        <v>#VALUE!</v>
      </c>
      <c r="HC5" t="e">
        <f>Fields!Q90+";Hb!4j"</f>
        <v>#VALUE!</v>
      </c>
      <c r="HD5" t="e">
        <f>Fields!A91+";Hb!4k"</f>
        <v>#VALUE!</v>
      </c>
      <c r="HE5" t="e">
        <f>Fields!B91+";Hb!4l"</f>
        <v>#VALUE!</v>
      </c>
      <c r="HF5" t="e">
        <f>Fields!C91+";Hb!4m"</f>
        <v>#VALUE!</v>
      </c>
      <c r="HG5" t="e">
        <f>Fields!E91+";Hb!4n"</f>
        <v>#VALUE!</v>
      </c>
      <c r="HH5" t="e">
        <f>Fields!F91+";Hb!4o"</f>
        <v>#VALUE!</v>
      </c>
      <c r="HI5" t="e">
        <f>Fields!P91+";Hb!4p"</f>
        <v>#VALUE!</v>
      </c>
      <c r="HJ5" t="e">
        <f>Fields!Q91+";Hb!4q"</f>
        <v>#VALUE!</v>
      </c>
      <c r="HK5" t="e">
        <f>Fields!A92+";Hb!4r"</f>
        <v>#VALUE!</v>
      </c>
      <c r="HL5" t="e">
        <f>Fields!B92+";Hb!4s"</f>
        <v>#VALUE!</v>
      </c>
      <c r="HM5" t="e">
        <f>Fields!C92+";Hb!4t"</f>
        <v>#VALUE!</v>
      </c>
      <c r="HN5" t="e">
        <f>Fields!E92+";Hb!4u"</f>
        <v>#VALUE!</v>
      </c>
      <c r="HO5" t="e">
        <f>Fields!F92+";Hb!4v"</f>
        <v>#VALUE!</v>
      </c>
      <c r="HP5" t="e">
        <f>Fields!P92+";Hb!4w"</f>
        <v>#VALUE!</v>
      </c>
      <c r="HQ5" t="e">
        <f>Fields!Q92+";Hb!4x"</f>
        <v>#VALUE!</v>
      </c>
      <c r="HR5" t="e">
        <f>Fields!A93+";Hb!4y"</f>
        <v>#VALUE!</v>
      </c>
      <c r="HS5" t="e">
        <f>Fields!B93+";Hb!4z"</f>
        <v>#VALUE!</v>
      </c>
      <c r="HT5" t="e">
        <f>Fields!C93+";Hb!4{"</f>
        <v>#VALUE!</v>
      </c>
      <c r="HU5" t="e">
        <f>Fields!E93+";Hb!4|"</f>
        <v>#VALUE!</v>
      </c>
      <c r="HV5" t="e">
        <f>Fields!F93+";Hb!4}"</f>
        <v>#VALUE!</v>
      </c>
      <c r="HW5" t="e">
        <f>Fields!P93+";Hb!4~"</f>
        <v>#VALUE!</v>
      </c>
      <c r="HX5" t="e">
        <f>Fields!Q93+";Hb!5#"</f>
        <v>#VALUE!</v>
      </c>
      <c r="HY5" t="e">
        <f>Fields!A94+";Hb!5$"</f>
        <v>#VALUE!</v>
      </c>
      <c r="HZ5" t="e">
        <f>Fields!B94+";Hb!5%"</f>
        <v>#VALUE!</v>
      </c>
      <c r="IA5" t="e">
        <f>Fields!C94+";Hb!5&amp;"</f>
        <v>#VALUE!</v>
      </c>
      <c r="IB5" t="e">
        <f>Fields!E94+";Hb!5'"</f>
        <v>#VALUE!</v>
      </c>
      <c r="IC5" t="e">
        <f>Fields!F94+";Hb!5("</f>
        <v>#VALUE!</v>
      </c>
      <c r="ID5" t="e">
        <f>Fields!P94+";Hb!5)"</f>
        <v>#VALUE!</v>
      </c>
      <c r="IE5" t="e">
        <f>Fields!Q94+";Hb!5."</f>
        <v>#VALUE!</v>
      </c>
      <c r="IF5" t="e">
        <f>Fields!A95+";Hb!5/"</f>
        <v>#VALUE!</v>
      </c>
      <c r="IG5" t="e">
        <f>Fields!B95+";Hb!50"</f>
        <v>#VALUE!</v>
      </c>
      <c r="IH5" t="e">
        <f>Fields!C95+";Hb!51"</f>
        <v>#VALUE!</v>
      </c>
      <c r="II5" t="e">
        <f>Fields!E95+";Hb!52"</f>
        <v>#VALUE!</v>
      </c>
      <c r="IJ5" t="e">
        <f>Fields!F95+";Hb!53"</f>
        <v>#VALUE!</v>
      </c>
      <c r="IK5" t="e">
        <f>Fields!P95+";Hb!54"</f>
        <v>#VALUE!</v>
      </c>
      <c r="IL5" t="e">
        <f>Fields!Q95+";Hb!55"</f>
        <v>#VALUE!</v>
      </c>
      <c r="IM5" t="e">
        <f>Fields!A96+";Hb!56"</f>
        <v>#VALUE!</v>
      </c>
      <c r="IN5" t="e">
        <f>Fields!B96+";Hb!57"</f>
        <v>#VALUE!</v>
      </c>
      <c r="IO5" t="e">
        <f>Fields!C96+";Hb!58"</f>
        <v>#VALUE!</v>
      </c>
      <c r="IP5" t="e">
        <f>Fields!E96+";Hb!59"</f>
        <v>#VALUE!</v>
      </c>
      <c r="IQ5" t="e">
        <f>Fields!F96+";Hb!5:"</f>
        <v>#VALUE!</v>
      </c>
      <c r="IR5" t="e">
        <f>Fields!P96+";Hb!5;"</f>
        <v>#VALUE!</v>
      </c>
      <c r="IS5" t="e">
        <f>Fields!Q96+";Hb!5&lt;"</f>
        <v>#VALUE!</v>
      </c>
      <c r="IT5" t="e">
        <f>Fields!A97+";Hb!5="</f>
        <v>#VALUE!</v>
      </c>
      <c r="IU5" t="e">
        <f>Fields!B97+";Hb!5&gt;"</f>
        <v>#VALUE!</v>
      </c>
      <c r="IV5" t="e">
        <f>Fields!C97+";Hb!5?"</f>
        <v>#VALUE!</v>
      </c>
    </row>
    <row r="6" spans="1:256" x14ac:dyDescent="0.25">
      <c r="F6" t="e">
        <f>Fields!E97+";Hb!5@"</f>
        <v>#VALUE!</v>
      </c>
      <c r="G6" t="e">
        <f>Fields!F97+";Hb!5A"</f>
        <v>#VALUE!</v>
      </c>
      <c r="H6" t="e">
        <f>Fields!P97+";Hb!5B"</f>
        <v>#VALUE!</v>
      </c>
      <c r="I6" t="e">
        <f>Fields!Q97+";Hb!5C"</f>
        <v>#VALUE!</v>
      </c>
      <c r="J6" t="e">
        <f>Fields!A98+";Hb!5D"</f>
        <v>#VALUE!</v>
      </c>
      <c r="K6" t="e">
        <f>Fields!B98+";Hb!5E"</f>
        <v>#VALUE!</v>
      </c>
      <c r="L6" t="e">
        <f>Fields!C98+";Hb!5F"</f>
        <v>#VALUE!</v>
      </c>
      <c r="M6" t="e">
        <f>Fields!E98+";Hb!5G"</f>
        <v>#VALUE!</v>
      </c>
      <c r="N6" t="e">
        <f>Fields!F98+";Hb!5H"</f>
        <v>#VALUE!</v>
      </c>
      <c r="O6" t="e">
        <f>Fields!P98+";Hb!5I"</f>
        <v>#VALUE!</v>
      </c>
      <c r="P6" t="e">
        <f>Fields!Q98+";Hb!5J"</f>
        <v>#VALUE!</v>
      </c>
      <c r="Q6" t="e">
        <f>Fields!A99+";Hb!5K"</f>
        <v>#VALUE!</v>
      </c>
      <c r="R6" t="e">
        <f>Fields!B99+";Hb!5L"</f>
        <v>#VALUE!</v>
      </c>
      <c r="S6" t="e">
        <f>Fields!C99+";Hb!5M"</f>
        <v>#VALUE!</v>
      </c>
      <c r="T6" t="e">
        <f>Fields!E99+";Hb!5N"</f>
        <v>#VALUE!</v>
      </c>
      <c r="U6" t="e">
        <f>Fields!F99+";Hb!5O"</f>
        <v>#VALUE!</v>
      </c>
      <c r="V6" t="e">
        <f>Fields!P99+";Hb!5P"</f>
        <v>#VALUE!</v>
      </c>
      <c r="W6" t="e">
        <f>Fields!Q99+";Hb!5Q"</f>
        <v>#VALUE!</v>
      </c>
      <c r="X6" t="e">
        <f>Fields!A100+";Hb!5R"</f>
        <v>#VALUE!</v>
      </c>
      <c r="Y6" t="e">
        <f>Fields!B100+";Hb!5S"</f>
        <v>#VALUE!</v>
      </c>
      <c r="Z6" t="e">
        <f>Fields!C100+";Hb!5T"</f>
        <v>#VALUE!</v>
      </c>
      <c r="AA6" t="e">
        <f>Fields!E100+";Hb!5U"</f>
        <v>#VALUE!</v>
      </c>
      <c r="AB6" t="e">
        <f>Fields!F100+";Hb!5V"</f>
        <v>#VALUE!</v>
      </c>
      <c r="AC6" t="e">
        <f>Fields!P100+";Hb!5W"</f>
        <v>#VALUE!</v>
      </c>
      <c r="AD6" t="e">
        <f>Fields!Q100+";Hb!5X"</f>
        <v>#VALUE!</v>
      </c>
      <c r="AE6" t="e">
        <f>Fields!A101+";Hb!5Y"</f>
        <v>#VALUE!</v>
      </c>
      <c r="AF6" t="e">
        <f>Fields!B101+";Hb!5Z"</f>
        <v>#VALUE!</v>
      </c>
      <c r="AG6" t="e">
        <f>Fields!C101+";Hb!5["</f>
        <v>#VALUE!</v>
      </c>
      <c r="AH6" t="e">
        <f>Fields!E101+";Hb!5\"</f>
        <v>#VALUE!</v>
      </c>
      <c r="AI6" t="e">
        <f>Fields!F101+";Hb!5]"</f>
        <v>#VALUE!</v>
      </c>
      <c r="AJ6" t="e">
        <f>Fields!P101+";Hb!5^"</f>
        <v>#VALUE!</v>
      </c>
      <c r="AK6" t="e">
        <f>Fields!Q101+";Hb!5_"</f>
        <v>#VALUE!</v>
      </c>
      <c r="AL6" t="e">
        <f>Fields!A102+";Hb!5`"</f>
        <v>#VALUE!</v>
      </c>
      <c r="AM6" t="e">
        <f>Fields!B102+";Hb!5a"</f>
        <v>#VALUE!</v>
      </c>
      <c r="AN6" t="e">
        <f>Fields!C102+";Hb!5b"</f>
        <v>#VALUE!</v>
      </c>
      <c r="AO6" t="e">
        <f>Fields!E102+";Hb!5c"</f>
        <v>#VALUE!</v>
      </c>
      <c r="AP6" t="e">
        <f>Fields!F102+";Hb!5d"</f>
        <v>#VALUE!</v>
      </c>
      <c r="AQ6" t="e">
        <f>Fields!P102+";Hb!5e"</f>
        <v>#VALUE!</v>
      </c>
      <c r="AR6" t="e">
        <f>Fields!Q102+";Hb!5f"</f>
        <v>#VALUE!</v>
      </c>
      <c r="AS6" t="e">
        <f>Fields!A103+";Hb!5g"</f>
        <v>#VALUE!</v>
      </c>
      <c r="AT6" t="e">
        <f>Fields!B103+";Hb!5h"</f>
        <v>#VALUE!</v>
      </c>
      <c r="AU6" t="e">
        <f>Fields!C103+";Hb!5i"</f>
        <v>#VALUE!</v>
      </c>
      <c r="AV6" t="e">
        <f>Fields!E103+";Hb!5j"</f>
        <v>#VALUE!</v>
      </c>
      <c r="AW6" t="e">
        <f>Fields!F103+";Hb!5k"</f>
        <v>#VALUE!</v>
      </c>
      <c r="AX6" t="e">
        <f>Fields!P103+";Hb!5l"</f>
        <v>#VALUE!</v>
      </c>
      <c r="AY6" t="e">
        <f>Fields!Q103+";Hb!5m"</f>
        <v>#VALUE!</v>
      </c>
      <c r="AZ6" t="e">
        <f>#REF!*";Hb!5o"</f>
        <v>#REF!</v>
      </c>
      <c r="BA6" t="e">
        <f>#REF!*";Hb!5p"</f>
        <v>#REF!</v>
      </c>
      <c r="BB6" t="e">
        <f>#REF!*";Hb!5q"</f>
        <v>#REF!</v>
      </c>
      <c r="BC6" t="e">
        <f>#REF!*";Hb!5r"</f>
        <v>#REF!</v>
      </c>
      <c r="BD6" t="e">
        <f>#REF!*";Hb!5s"</f>
        <v>#REF!</v>
      </c>
      <c r="BE6" t="e">
        <f>#REF!*";Hb!5t"</f>
        <v>#REF!</v>
      </c>
      <c r="BF6" t="e">
        <f>#REF!*";Hb!5u"</f>
        <v>#REF!</v>
      </c>
      <c r="BG6" t="e">
        <f>#REF!*";Hb!5v"</f>
        <v>#REF!</v>
      </c>
      <c r="BH6" t="e">
        <f>#REF!*";Hb!5w"</f>
        <v>#REF!</v>
      </c>
      <c r="BI6" t="e">
        <f>#REF!*";Hb!5x"</f>
        <v>#REF!</v>
      </c>
      <c r="BJ6" t="e">
        <f>#REF!*";Hb!5y"</f>
        <v>#REF!</v>
      </c>
      <c r="BK6" t="e">
        <f>#REF!*";Hb!5z"</f>
        <v>#REF!</v>
      </c>
      <c r="BL6" t="e">
        <f>#REF!*";Hb!5{"</f>
        <v>#REF!</v>
      </c>
      <c r="BM6" t="e">
        <f>#REF!*";Hb!5|"</f>
        <v>#REF!</v>
      </c>
      <c r="BN6" t="e">
        <f>#REF!*";Hb!5}"</f>
        <v>#REF!</v>
      </c>
      <c r="BO6" t="e">
        <f>#REF!*";Hb!5~"</f>
        <v>#REF!</v>
      </c>
      <c r="BP6" t="e">
        <f>#REF!*";Hb!6#"</f>
        <v>#REF!</v>
      </c>
      <c r="BQ6" t="e">
        <f>#REF!*";Hb!6$"</f>
        <v>#REF!</v>
      </c>
      <c r="BR6" t="e">
        <f>#REF!*";Hb!6%"</f>
        <v>#REF!</v>
      </c>
      <c r="BS6" t="e">
        <f>#REF!*";Hb!6&amp;"</f>
        <v>#REF!</v>
      </c>
      <c r="BT6" t="e">
        <f>#REF!*";Hb!6'"</f>
        <v>#REF!</v>
      </c>
      <c r="BU6" t="e">
        <f>#REF!*";Hb!6("</f>
        <v>#REF!</v>
      </c>
      <c r="BV6" t="e">
        <f>#REF!*";Hb!6)"</f>
        <v>#REF!</v>
      </c>
      <c r="BW6" t="e">
        <f>#REF!*";Hb!6."</f>
        <v>#REF!</v>
      </c>
      <c r="BX6" t="e">
        <f>#REF!*";Hb!6/"</f>
        <v>#REF!</v>
      </c>
      <c r="BY6" t="e">
        <f>#REF!*";Hb!60"</f>
        <v>#REF!</v>
      </c>
      <c r="BZ6" t="e">
        <f>#REF!*";Hb!61"</f>
        <v>#REF!</v>
      </c>
      <c r="CA6" t="e">
        <f>#REF!*";Hb!62"</f>
        <v>#REF!</v>
      </c>
      <c r="CB6" t="e">
        <f>#REF!*";Hb!63"</f>
        <v>#REF!</v>
      </c>
      <c r="CC6" t="e">
        <f>#REF!*";Hb!64"</f>
        <v>#REF!</v>
      </c>
      <c r="CD6" t="e">
        <f>#REF!*";Hb!65"</f>
        <v>#REF!</v>
      </c>
      <c r="CE6" t="e">
        <f>#REF!*";Hb!66"</f>
        <v>#REF!</v>
      </c>
      <c r="CF6" t="e">
        <f>#REF!*";Hb!67"</f>
        <v>#REF!</v>
      </c>
      <c r="CG6" t="e">
        <f>#REF!*";Hb!68"</f>
        <v>#REF!</v>
      </c>
      <c r="CH6" t="e">
        <f>#REF!*";Hb!69"</f>
        <v>#REF!</v>
      </c>
      <c r="CI6" t="e">
        <f>#REF!*";Hb!6:"</f>
        <v>#REF!</v>
      </c>
      <c r="CJ6" t="e">
        <f>#REF!*";Hb!6;"</f>
        <v>#REF!</v>
      </c>
      <c r="CK6" t="e">
        <f>#REF!*";Hb!6&lt;"</f>
        <v>#REF!</v>
      </c>
      <c r="CL6" t="e">
        <f>#REF!*";Hb!6="</f>
        <v>#REF!</v>
      </c>
      <c r="CM6" t="e">
        <f>#REF!*";Hb!6&gt;"</f>
        <v>#REF!</v>
      </c>
      <c r="CN6" t="e">
        <f>#REF!*";Hb!6?"</f>
        <v>#REF!</v>
      </c>
      <c r="CO6" t="e">
        <f>#REF!*";Hb!6@"</f>
        <v>#REF!</v>
      </c>
      <c r="CP6" t="e">
        <f>#REF!*";Hb!6A"</f>
        <v>#REF!</v>
      </c>
      <c r="CQ6" t="e">
        <f>#REF!*";Hb!6B"</f>
        <v>#REF!</v>
      </c>
      <c r="CR6" t="e">
        <f>#REF!*";Hb!6C"</f>
        <v>#REF!</v>
      </c>
      <c r="CS6" t="e">
        <f>#REF!*";Hb!6D"</f>
        <v>#REF!</v>
      </c>
      <c r="CT6" t="e">
        <f>#REF!*";Hb!6E"</f>
        <v>#REF!</v>
      </c>
      <c r="CU6" t="e">
        <f>#REF!*";Hb!6F"</f>
        <v>#REF!</v>
      </c>
      <c r="CV6" t="e">
        <f>#REF!*";Hb!6G"</f>
        <v>#REF!</v>
      </c>
      <c r="CW6" t="e">
        <f>#REF!*";Hb!6H"</f>
        <v>#REF!</v>
      </c>
      <c r="CX6" t="e">
        <f>#REF!*";Hb!6I"</f>
        <v>#REF!</v>
      </c>
      <c r="CY6" t="e">
        <f>#REF!-";Hb!6J"</f>
        <v>#REF!</v>
      </c>
      <c r="CZ6" t="e">
        <f>#REF!-";Hb!6K"</f>
        <v>#REF!</v>
      </c>
      <c r="DA6" t="e">
        <f>#REF!-";Hb!6L"</f>
        <v>#REF!</v>
      </c>
      <c r="DB6" t="e">
        <f>#REF!-";Hb!6M"</f>
        <v>#REF!</v>
      </c>
      <c r="DC6" t="e">
        <f>#REF!-";Hb!6N"</f>
        <v>#REF!</v>
      </c>
      <c r="DD6" t="e">
        <f>#REF!-";Hb!6O"</f>
        <v>#REF!</v>
      </c>
      <c r="DE6" t="e">
        <f>#REF!-";Hb!6P"</f>
        <v>#REF!</v>
      </c>
      <c r="DF6" t="e">
        <f>#REF!-";Hb!6Q"</f>
        <v>#REF!</v>
      </c>
      <c r="DG6" t="e">
        <f>#REF!-";Hb!6R"</f>
        <v>#REF!</v>
      </c>
      <c r="DH6" t="e">
        <f>#REF!-";Hb!6S"</f>
        <v>#REF!</v>
      </c>
      <c r="DI6" t="e">
        <f>#REF!-";Hb!6T"</f>
        <v>#REF!</v>
      </c>
      <c r="DJ6" t="e">
        <f>#REF!-";Hb!6U"</f>
        <v>#REF!</v>
      </c>
      <c r="DK6" t="e">
        <f>#REF!-";Hb!6V"</f>
        <v>#REF!</v>
      </c>
      <c r="DL6" t="e">
        <f>#REF!-";Hb!6W"</f>
        <v>#REF!</v>
      </c>
      <c r="DM6" t="e">
        <f>#REF!-";Hb!6X"</f>
        <v>#REF!</v>
      </c>
      <c r="DN6" t="e">
        <f>#REF!-";Hb!6Y"</f>
        <v>#REF!</v>
      </c>
      <c r="DO6" t="e">
        <f>#REF!-";Hb!6Z"</f>
        <v>#REF!</v>
      </c>
      <c r="DP6" t="e">
        <f>#REF!-";Hb!6["</f>
        <v>#REF!</v>
      </c>
      <c r="DQ6" t="e">
        <f>#REF!-";Hb!6\"</f>
        <v>#REF!</v>
      </c>
      <c r="DR6" t="e">
        <f>#REF!-";Hb!6]"</f>
        <v>#REF!</v>
      </c>
      <c r="DS6" t="e">
        <f>#REF!-";Hb!6^"</f>
        <v>#REF!</v>
      </c>
      <c r="DT6" t="e">
        <f>#REF!-";Hb!6_"</f>
        <v>#REF!</v>
      </c>
      <c r="DU6" t="e">
        <f>#REF!-";Hb!6`"</f>
        <v>#REF!</v>
      </c>
      <c r="DV6" t="e">
        <f>#REF!-";Hb!6a"</f>
        <v>#REF!</v>
      </c>
      <c r="DW6" t="e">
        <f>#REF!-";Hb!6b"</f>
        <v>#REF!</v>
      </c>
      <c r="DX6" t="e">
        <f>#REF!-";Hb!6c"</f>
        <v>#REF!</v>
      </c>
      <c r="DY6" t="e">
        <f>#REF!-";Hb!6d"</f>
        <v>#REF!</v>
      </c>
      <c r="DZ6" t="e">
        <f>#REF!-";Hb!6e"</f>
        <v>#REF!</v>
      </c>
      <c r="EA6" t="e">
        <f>#REF!-";Hb!6f"</f>
        <v>#REF!</v>
      </c>
      <c r="EB6" t="e">
        <f>#REF!-";Hb!6g"</f>
        <v>#REF!</v>
      </c>
      <c r="EC6" t="e">
        <f>#REF!-";Hb!6h"</f>
        <v>#REF!</v>
      </c>
      <c r="ED6" t="e">
        <f>#REF!-";Hb!6i"</f>
        <v>#REF!</v>
      </c>
      <c r="EE6" t="e">
        <f>#REF!-";Hb!6j"</f>
        <v>#REF!</v>
      </c>
      <c r="EF6" t="e">
        <f>#REF!-";Hb!6k"</f>
        <v>#REF!</v>
      </c>
      <c r="EG6" t="e">
        <f>#REF!-";Hb!6l"</f>
        <v>#REF!</v>
      </c>
      <c r="EH6" t="e">
        <f>#REF!-";Hb!6m"</f>
        <v>#REF!</v>
      </c>
      <c r="EI6" t="e">
        <f>#REF!-";Hb!6n"</f>
        <v>#REF!</v>
      </c>
      <c r="EJ6" t="e">
        <f>#REF!-";Hb!6o"</f>
        <v>#REF!</v>
      </c>
      <c r="EK6" t="e">
        <f>#REF!-";Hb!6p"</f>
        <v>#REF!</v>
      </c>
      <c r="EL6" t="e">
        <f>#REF!-";Hb!6q"</f>
        <v>#REF!</v>
      </c>
      <c r="EM6" t="e">
        <f>#REF!-";Hb!6r"</f>
        <v>#REF!</v>
      </c>
      <c r="EN6" t="e">
        <f>#REF!-";Hb!6s"</f>
        <v>#REF!</v>
      </c>
      <c r="EO6" t="e">
        <f>#REF!-";Hb!6t"</f>
        <v>#REF!</v>
      </c>
      <c r="EP6" t="e">
        <f>#REF!-";Hb!6u"</f>
        <v>#REF!</v>
      </c>
      <c r="EQ6" t="e">
        <f>#REF!-";Hb!6v"</f>
        <v>#REF!</v>
      </c>
      <c r="ER6" t="e">
        <f>#REF!-";Hb!6w"</f>
        <v>#REF!</v>
      </c>
      <c r="ES6" t="e">
        <f>#REF!-";Hb!6x"</f>
        <v>#REF!</v>
      </c>
      <c r="ET6" t="e">
        <f>#REF!-";Hb!6y"</f>
        <v>#REF!</v>
      </c>
      <c r="EU6" t="e">
        <f>#REF!-";Hb!6z"</f>
        <v>#REF!</v>
      </c>
      <c r="EV6" t="e">
        <f>#REF!-";Hb!6{"</f>
        <v>#REF!</v>
      </c>
      <c r="EW6" t="e">
        <f>#REF!-";Hb!6|"</f>
        <v>#REF!</v>
      </c>
      <c r="EX6" t="e">
        <f>#REF!-";Hb!6}"</f>
        <v>#REF!</v>
      </c>
      <c r="EY6" t="e">
        <f>#REF!-";Hb!6~"</f>
        <v>#REF!</v>
      </c>
      <c r="EZ6" t="e">
        <f>#REF!-";Hb!7#"</f>
        <v>#REF!</v>
      </c>
      <c r="FA6" t="e">
        <f>#REF!-";Hb!7$"</f>
        <v>#REF!</v>
      </c>
      <c r="FB6" t="e">
        <f>#REF!-";Hb!7%"</f>
        <v>#REF!</v>
      </c>
      <c r="FC6" t="e">
        <f>#REF!-";Hb!7&amp;"</f>
        <v>#REF!</v>
      </c>
      <c r="FD6" t="e">
        <f>#REF!-";Hb!7'"</f>
        <v>#REF!</v>
      </c>
      <c r="FE6" t="e">
        <f>#REF!-";Hb!7("</f>
        <v>#REF!</v>
      </c>
      <c r="FF6" t="e">
        <f>#REF!-";Hb!7)"</f>
        <v>#REF!</v>
      </c>
      <c r="FG6" t="e">
        <f>#REF!-";Hb!7."</f>
        <v>#REF!</v>
      </c>
      <c r="FH6" t="e">
        <f>#REF!-";Hb!7/"</f>
        <v>#REF!</v>
      </c>
      <c r="FI6" t="e">
        <f>#REF!-";Hb!70"</f>
        <v>#REF!</v>
      </c>
      <c r="FJ6" t="e">
        <f>#REF!-";Hb!71"</f>
        <v>#REF!</v>
      </c>
      <c r="FK6" t="e">
        <f>#REF!-";Hb!72"</f>
        <v>#REF!</v>
      </c>
      <c r="FL6" t="e">
        <f>#REF!-";Hb!73"</f>
        <v>#REF!</v>
      </c>
      <c r="FM6" t="e">
        <f>#REF!-";Hb!74"</f>
        <v>#REF!</v>
      </c>
      <c r="FN6" t="e">
        <f>#REF!-";Hb!75"</f>
        <v>#REF!</v>
      </c>
      <c r="FO6" t="e">
        <f>#REF!-";Hb!76"</f>
        <v>#REF!</v>
      </c>
      <c r="FP6" t="e">
        <f>#REF!-";Hb!77"</f>
        <v>#REF!</v>
      </c>
      <c r="FQ6" t="e">
        <f>#REF!-";Hb!78"</f>
        <v>#REF!</v>
      </c>
      <c r="FR6" t="e">
        <f>#REF!-";Hb!79"</f>
        <v>#REF!</v>
      </c>
      <c r="FS6" t="e">
        <f>#REF!-";Hb!7:"</f>
        <v>#REF!</v>
      </c>
      <c r="FT6" t="e">
        <f>#REF!-";Hb!7;"</f>
        <v>#REF!</v>
      </c>
      <c r="FU6" t="e">
        <f>#REF!-";Hb!7&lt;"</f>
        <v>#REF!</v>
      </c>
      <c r="FV6" t="e">
        <f>#REF!-";Hb!7="</f>
        <v>#REF!</v>
      </c>
      <c r="FW6" t="e">
        <f>#REF!-";Hb!7&gt;"</f>
        <v>#REF!</v>
      </c>
      <c r="FX6" t="e">
        <f>#REF!-";Hb!7?"</f>
        <v>#REF!</v>
      </c>
      <c r="FY6" t="e">
        <f>#REF!-";Hb!7@"</f>
        <v>#REF!</v>
      </c>
      <c r="FZ6" t="e">
        <f>#REF!-";Hb!7A"</f>
        <v>#REF!</v>
      </c>
      <c r="GA6" t="e">
        <f>#REF!-";Hb!7B"</f>
        <v>#REF!</v>
      </c>
      <c r="GB6" t="e">
        <f>#REF!-";Hb!7C"</f>
        <v>#REF!</v>
      </c>
      <c r="GC6" t="e">
        <f>#REF!-";Hb!7D"</f>
        <v>#REF!</v>
      </c>
      <c r="GD6" t="e">
        <f>#REF!-";Hb!7E"</f>
        <v>#REF!</v>
      </c>
      <c r="GE6" t="e">
        <f>#REF!-";Hb!7F"</f>
        <v>#REF!</v>
      </c>
      <c r="GF6" t="e">
        <f>#REF!-";Hb!7G"</f>
        <v>#REF!</v>
      </c>
      <c r="GG6" t="e">
        <f>#REF!-";Hb!7H"</f>
        <v>#REF!</v>
      </c>
      <c r="GH6" t="e">
        <f>#REF!-";Hb!7I"</f>
        <v>#REF!</v>
      </c>
      <c r="GI6" t="e">
        <f>#REF!-";Hb!7J"</f>
        <v>#REF!</v>
      </c>
      <c r="GJ6" t="e">
        <f>#REF!-";Hb!7K"</f>
        <v>#REF!</v>
      </c>
      <c r="GK6" t="e">
        <f>#REF!-";Hb!7L"</f>
        <v>#REF!</v>
      </c>
      <c r="GL6" t="e">
        <f>#REF!-";Hb!7M"</f>
        <v>#REF!</v>
      </c>
      <c r="GM6" t="e">
        <f>#REF!-";Hb!7N"</f>
        <v>#REF!</v>
      </c>
      <c r="GN6" t="e">
        <f>#REF!-";Hb!7O"</f>
        <v>#REF!</v>
      </c>
      <c r="GO6" t="e">
        <f>#REF!-";Hb!7P"</f>
        <v>#REF!</v>
      </c>
      <c r="GP6" t="e">
        <f>#REF!-";Hb!7Q"</f>
        <v>#REF!</v>
      </c>
      <c r="GQ6" t="e">
        <f>#REF!-";Hb!7R"</f>
        <v>#REF!</v>
      </c>
      <c r="GR6" t="e">
        <f>#REF!-";Hb!7S"</f>
        <v>#REF!</v>
      </c>
      <c r="GS6" t="e">
        <f>#REF!-";Hb!7T"</f>
        <v>#REF!</v>
      </c>
      <c r="GT6" t="e">
        <f>#REF!-";Hb!7U"</f>
        <v>#REF!</v>
      </c>
      <c r="GU6" t="e">
        <f>#REF!-";Hb!7V"</f>
        <v>#REF!</v>
      </c>
      <c r="GV6" t="e">
        <f>#REF!-";Hb!7W"</f>
        <v>#REF!</v>
      </c>
      <c r="GW6" t="e">
        <f>#REF!-";Hb!7X"</f>
        <v>#REF!</v>
      </c>
      <c r="GX6" t="e">
        <f>#REF!-";Hb!7Y"</f>
        <v>#REF!</v>
      </c>
      <c r="GY6" t="e">
        <f>#REF!-";Hb!7Z"</f>
        <v>#REF!</v>
      </c>
      <c r="GZ6" t="e">
        <f>#REF!-";Hb!7["</f>
        <v>#REF!</v>
      </c>
      <c r="HA6" t="e">
        <f>#REF!-";Hb!7\"</f>
        <v>#REF!</v>
      </c>
      <c r="HB6" t="e">
        <f>#REF!-";Hb!7]"</f>
        <v>#REF!</v>
      </c>
      <c r="HC6" t="e">
        <f>#REF!-";Hb!7^"</f>
        <v>#REF!</v>
      </c>
      <c r="HD6" t="e">
        <f>#REF!-";Hb!7_"</f>
        <v>#REF!</v>
      </c>
      <c r="HE6" t="e">
        <f>#REF!-";Hb!7`"</f>
        <v>#REF!</v>
      </c>
      <c r="HF6" t="e">
        <f>#REF!-";Hb!7a"</f>
        <v>#REF!</v>
      </c>
      <c r="HG6" t="e">
        <f>#REF!-";Hb!7b"</f>
        <v>#REF!</v>
      </c>
      <c r="HH6" t="e">
        <f>#REF!-";Hb!7c"</f>
        <v>#REF!</v>
      </c>
      <c r="HI6" t="e">
        <f>#REF!-";Hb!7d"</f>
        <v>#REF!</v>
      </c>
      <c r="HJ6" t="e">
        <f>#REF!-";Hb!7e"</f>
        <v>#REF!</v>
      </c>
      <c r="HK6" t="e">
        <f>#REF!-";Hb!7f"</f>
        <v>#REF!</v>
      </c>
      <c r="HL6" t="e">
        <f>#REF!-";Hb!7g"</f>
        <v>#REF!</v>
      </c>
      <c r="HM6" t="e">
        <f>#REF!-";Hb!7h"</f>
        <v>#REF!</v>
      </c>
      <c r="HN6" t="e">
        <f>#REF!-";Hb!7i"</f>
        <v>#REF!</v>
      </c>
      <c r="HO6" t="e">
        <f>#REF!-";Hb!7j"</f>
        <v>#REF!</v>
      </c>
      <c r="HP6" t="e">
        <f>#REF!-";Hb!7k"</f>
        <v>#REF!</v>
      </c>
      <c r="HQ6" t="e">
        <f>#REF!-";Hb!7l"</f>
        <v>#REF!</v>
      </c>
      <c r="HR6" t="e">
        <f>#REF!-";Hb!7m"</f>
        <v>#REF!</v>
      </c>
      <c r="HS6" t="e">
        <f>#REF!-";Hb!7n"</f>
        <v>#REF!</v>
      </c>
      <c r="HT6" t="e">
        <f>#REF!-";Hb!7o"</f>
        <v>#REF!</v>
      </c>
      <c r="HU6" t="e">
        <f>#REF!-";Hb!7p"</f>
        <v>#REF!</v>
      </c>
      <c r="HV6" t="e">
        <f>#REF!-";Hb!7q"</f>
        <v>#REF!</v>
      </c>
      <c r="HW6" t="e">
        <f>#REF!-";Hb!7r"</f>
        <v>#REF!</v>
      </c>
      <c r="HX6" t="e">
        <f>#REF!-";Hb!7s"</f>
        <v>#REF!</v>
      </c>
      <c r="HY6" t="e">
        <f>#REF!-";Hb!7t"</f>
        <v>#REF!</v>
      </c>
      <c r="HZ6" t="e">
        <f>#REF!-";Hb!7u"</f>
        <v>#REF!</v>
      </c>
      <c r="IA6" t="e">
        <f>#REF!-";Hb!7v"</f>
        <v>#REF!</v>
      </c>
      <c r="IB6" t="e">
        <f>#REF!-";Hb!7w"</f>
        <v>#REF!</v>
      </c>
      <c r="IC6" t="e">
        <f>#REF!-";Hb!7x"</f>
        <v>#REF!</v>
      </c>
      <c r="ID6" t="e">
        <f>#REF!-";Hb!7y"</f>
        <v>#REF!</v>
      </c>
      <c r="IE6" t="e">
        <f>#REF!-";Hb!7z"</f>
        <v>#REF!</v>
      </c>
      <c r="IF6" t="e">
        <f>#REF!-";Hb!7{"</f>
        <v>#REF!</v>
      </c>
      <c r="IG6" t="e">
        <f>#REF!-";Hb!7|"</f>
        <v>#REF!</v>
      </c>
      <c r="IH6" t="e">
        <f>#REF!-";Hb!7}"</f>
        <v>#REF!</v>
      </c>
      <c r="II6" t="e">
        <f>#REF!-";Hb!7~"</f>
        <v>#REF!</v>
      </c>
      <c r="IJ6" t="e">
        <f>#REF!-";Hb!8#"</f>
        <v>#REF!</v>
      </c>
      <c r="IK6" t="e">
        <f>#REF!-";Hb!8$"</f>
        <v>#REF!</v>
      </c>
      <c r="IL6" t="e">
        <f>#REF!-";Hb!8%"</f>
        <v>#REF!</v>
      </c>
      <c r="IM6" t="e">
        <f>#REF!-";Hb!8&amp;"</f>
        <v>#REF!</v>
      </c>
      <c r="IN6" t="e">
        <f>#REF!-";Hb!8'"</f>
        <v>#REF!</v>
      </c>
      <c r="IO6" t="e">
        <f>#REF!-";Hb!8("</f>
        <v>#REF!</v>
      </c>
      <c r="IP6" t="e">
        <f>#REF!-";Hb!8)"</f>
        <v>#REF!</v>
      </c>
      <c r="IQ6" t="e">
        <f>#REF!-";Hb!8."</f>
        <v>#REF!</v>
      </c>
      <c r="IR6" t="e">
        <f>#REF!-";Hb!8/"</f>
        <v>#REF!</v>
      </c>
      <c r="IS6" t="e">
        <f>#REF!-";Hb!80"</f>
        <v>#REF!</v>
      </c>
      <c r="IT6" t="e">
        <f>#REF!-";Hb!81"</f>
        <v>#REF!</v>
      </c>
      <c r="IU6" t="e">
        <f>#REF!-";Hb!82"</f>
        <v>#REF!</v>
      </c>
      <c r="IV6" t="e">
        <f>#REF!-";Hb!83"</f>
        <v>#REF!</v>
      </c>
    </row>
    <row r="7" spans="1:256" x14ac:dyDescent="0.25">
      <c r="F7" t="e">
        <f>#REF!-";Hb!84"</f>
        <v>#REF!</v>
      </c>
      <c r="G7" t="e">
        <f>#REF!-";Hb!85"</f>
        <v>#REF!</v>
      </c>
      <c r="H7" t="e">
        <f>#REF!-";Hb!86"</f>
        <v>#REF!</v>
      </c>
      <c r="I7" t="e">
        <f>#REF!-";Hb!87"</f>
        <v>#REF!</v>
      </c>
      <c r="J7" t="e">
        <f>#REF!-";Hb!88"</f>
        <v>#REF!</v>
      </c>
      <c r="K7" t="e">
        <f>#REF!-";Hb!89"</f>
        <v>#REF!</v>
      </c>
      <c r="L7" t="e">
        <f>#REF!-";Hb!8:"</f>
        <v>#REF!</v>
      </c>
      <c r="M7" t="e">
        <f>#REF!-";Hb!8;"</f>
        <v>#REF!</v>
      </c>
      <c r="N7" t="e">
        <f>#REF!-";Hb!8&lt;"</f>
        <v>#REF!</v>
      </c>
      <c r="O7" t="e">
        <f>#REF!-";Hb!8="</f>
        <v>#REF!</v>
      </c>
      <c r="P7" t="e">
        <f>#REF!-";Hb!8&gt;"</f>
        <v>#REF!</v>
      </c>
      <c r="Q7" t="e">
        <f>#REF!-";Hb!8?"</f>
        <v>#REF!</v>
      </c>
      <c r="R7" t="e">
        <f>#REF!-";Hb!8@"</f>
        <v>#REF!</v>
      </c>
      <c r="S7" t="e">
        <f>#REF!-";Hb!8A"</f>
        <v>#REF!</v>
      </c>
      <c r="T7" t="e">
        <f>#REF!-";Hb!8B"</f>
        <v>#REF!</v>
      </c>
      <c r="U7" t="e">
        <f>#REF!-";Hb!8C"</f>
        <v>#REF!</v>
      </c>
      <c r="V7" t="e">
        <f>#REF!-";Hb!8D"</f>
        <v>#REF!</v>
      </c>
      <c r="W7" t="e">
        <f>#REF!-";Hb!8E"</f>
        <v>#REF!</v>
      </c>
      <c r="X7" t="e">
        <f>#REF!-";Hb!8F"</f>
        <v>#REF!</v>
      </c>
      <c r="Y7" t="e">
        <f>#REF!-";Hb!8G"</f>
        <v>#REF!</v>
      </c>
      <c r="Z7" t="e">
        <f>#REF!-";Hb!8H"</f>
        <v>#REF!</v>
      </c>
      <c r="AA7" t="e">
        <f>#REF!-";Hb!8I"</f>
        <v>#REF!</v>
      </c>
      <c r="AB7" t="e">
        <f>#REF!-";Hb!8J"</f>
        <v>#REF!</v>
      </c>
      <c r="AC7" t="e">
        <f>#REF!-";Hb!8K"</f>
        <v>#REF!</v>
      </c>
      <c r="AD7" t="e">
        <f>#REF!-";Hb!8L"</f>
        <v>#REF!</v>
      </c>
      <c r="AE7" t="e">
        <f>#REF!-";Hb!8M"</f>
        <v>#REF!</v>
      </c>
      <c r="AF7" t="e">
        <f>#REF!-";Hb!8N"</f>
        <v>#REF!</v>
      </c>
      <c r="AG7" t="e">
        <f>#REF!-";Hb!8O"</f>
        <v>#REF!</v>
      </c>
      <c r="AH7" t="e">
        <f>#REF!-";Hb!8P"</f>
        <v>#REF!</v>
      </c>
      <c r="AI7" t="e">
        <f>#REF!-";Hb!8Q"</f>
        <v>#REF!</v>
      </c>
      <c r="AJ7" t="e">
        <f>#REF!-";Hb!8R"</f>
        <v>#REF!</v>
      </c>
      <c r="AK7" t="e">
        <f>#REF!-";Hb!8S"</f>
        <v>#REF!</v>
      </c>
      <c r="AL7" t="e">
        <f>#REF!-";Hb!8T"</f>
        <v>#REF!</v>
      </c>
      <c r="AM7" t="e">
        <f>#REF!-";Hb!8U"</f>
        <v>#REF!</v>
      </c>
      <c r="AN7" t="e">
        <f>#REF!-";Hb!8V"</f>
        <v>#REF!</v>
      </c>
      <c r="AO7" t="e">
        <f>#REF!-";Hb!8W"</f>
        <v>#REF!</v>
      </c>
      <c r="AP7" t="e">
        <f>#REF!-";Hb!8X"</f>
        <v>#REF!</v>
      </c>
      <c r="AQ7" t="e">
        <f>#REF!-";Hb!8Y"</f>
        <v>#REF!</v>
      </c>
      <c r="AR7" t="e">
        <f>#REF!-";Hb!8Z"</f>
        <v>#REF!</v>
      </c>
      <c r="AS7" t="e">
        <f>#REF!-";Hb!8["</f>
        <v>#REF!</v>
      </c>
      <c r="AT7" t="e">
        <f>#REF!-";Hb!8\"</f>
        <v>#REF!</v>
      </c>
      <c r="AU7" t="e">
        <f>#REF!-";Hb!8]"</f>
        <v>#REF!</v>
      </c>
      <c r="AV7" t="e">
        <f>#REF!-";Hb!8^"</f>
        <v>#REF!</v>
      </c>
      <c r="AW7" t="e">
        <f>#REF!-";Hb!8_"</f>
        <v>#REF!</v>
      </c>
      <c r="AX7" t="e">
        <f>#REF!-";Hb!8`"</f>
        <v>#REF!</v>
      </c>
      <c r="AY7" t="e">
        <f>#REF!-";Hb!8a"</f>
        <v>#REF!</v>
      </c>
      <c r="AZ7" t="e">
        <f>#REF!-";Hb!8b"</f>
        <v>#REF!</v>
      </c>
      <c r="BA7" t="e">
        <f>#REF!*";Hb!8c"</f>
        <v>#REF!</v>
      </c>
      <c r="BB7" t="e">
        <f>#REF!*";Hb!8d"</f>
        <v>#REF!</v>
      </c>
      <c r="BC7" t="e">
        <f>#REF!*";Hb!8e"</f>
        <v>#REF!</v>
      </c>
      <c r="BD7" t="e">
        <f>#REF!*";Hb!8f"</f>
        <v>#REF!</v>
      </c>
      <c r="BE7" t="e">
        <f>#REF!*";Hb!8g"</f>
        <v>#REF!</v>
      </c>
      <c r="BF7" t="e">
        <f>#REF!*";Hb!8h"</f>
        <v>#REF!</v>
      </c>
      <c r="BG7" t="e">
        <f>#REF!*";Hb!8i"</f>
        <v>#REF!</v>
      </c>
      <c r="BH7" t="e">
        <f>#REF!*";Hb!8j"</f>
        <v>#REF!</v>
      </c>
      <c r="BI7" t="e">
        <f>#REF!*";Hb!8k"</f>
        <v>#REF!</v>
      </c>
      <c r="BJ7" t="e">
        <f>#REF!*";Hb!8l"</f>
        <v>#REF!</v>
      </c>
      <c r="BK7" t="e">
        <f>#REF!*";Hb!8m"</f>
        <v>#REF!</v>
      </c>
      <c r="BL7" t="e">
        <f>#REF!*";Hb!8n"</f>
        <v>#REF!</v>
      </c>
      <c r="BM7" t="e">
        <f>#REF!*";Hb!8o"</f>
        <v>#REF!</v>
      </c>
      <c r="BN7" t="e">
        <f>#REF!*";Hb!8p"</f>
        <v>#REF!</v>
      </c>
      <c r="BO7" t="e">
        <f>#REF!*";Hb!8q"</f>
        <v>#REF!</v>
      </c>
      <c r="BP7" t="e">
        <f>#REF!*";Hb!8r"</f>
        <v>#REF!</v>
      </c>
      <c r="BQ7" t="e">
        <f>#REF!*";Hb!8s"</f>
        <v>#REF!</v>
      </c>
      <c r="BR7" t="e">
        <f>#REF!*";Hb!8t"</f>
        <v>#REF!</v>
      </c>
      <c r="BS7" t="e">
        <f>#REF!*";Hb!8u"</f>
        <v>#REF!</v>
      </c>
      <c r="BT7" t="e">
        <f>#REF!*";Hb!8v"</f>
        <v>#REF!</v>
      </c>
      <c r="BU7" t="e">
        <f>#REF!*";Hb!8w"</f>
        <v>#REF!</v>
      </c>
      <c r="BV7" t="e">
        <f>#REF!*";Hb!8x"</f>
        <v>#REF!</v>
      </c>
      <c r="BW7" t="e">
        <f>#REF!*";Hb!8y"</f>
        <v>#REF!</v>
      </c>
      <c r="BX7" t="e">
        <f>#REF!*";Hb!8z"</f>
        <v>#REF!</v>
      </c>
      <c r="BY7" t="e">
        <f>#REF!*";Hb!8{"</f>
        <v>#REF!</v>
      </c>
      <c r="BZ7" t="e">
        <f>#REF!*";Hb!8|"</f>
        <v>#REF!</v>
      </c>
      <c r="CA7" t="e">
        <f>#REF!*";Hb!8}"</f>
        <v>#REF!</v>
      </c>
      <c r="CB7" t="e">
        <f>#REF!*";Hb!8~"</f>
        <v>#REF!</v>
      </c>
      <c r="CC7" t="e">
        <f>#REF!*";Hb!9#"</f>
        <v>#REF!</v>
      </c>
      <c r="CD7" t="e">
        <f>#REF!*";Hb!9$"</f>
        <v>#REF!</v>
      </c>
      <c r="CE7" t="e">
        <f>#REF!*";Hb!9%"</f>
        <v>#REF!</v>
      </c>
      <c r="CF7" t="e">
        <f>#REF!*";Hb!9&amp;"</f>
        <v>#REF!</v>
      </c>
      <c r="CG7" t="e">
        <f>#REF!*";Hb!9'"</f>
        <v>#REF!</v>
      </c>
      <c r="CH7" t="e">
        <f>#REF!*";Hb!9("</f>
        <v>#REF!</v>
      </c>
      <c r="CI7" t="e">
        <f>#REF!*";Hb!9)"</f>
        <v>#REF!</v>
      </c>
      <c r="CJ7" t="e">
        <f>#REF!*";Hb!9."</f>
        <v>#REF!</v>
      </c>
      <c r="CK7" t="e">
        <f>#REF!*";Hb!9/"</f>
        <v>#REF!</v>
      </c>
      <c r="CL7" t="e">
        <f>#REF!*";Hb!90"</f>
        <v>#REF!</v>
      </c>
      <c r="CM7" t="e">
        <f>#REF!*";Hb!91"</f>
        <v>#REF!</v>
      </c>
      <c r="CN7" t="e">
        <f>#REF!*";Hb!92"</f>
        <v>#REF!</v>
      </c>
      <c r="CO7" t="e">
        <f>#REF!*";Hb!93"</f>
        <v>#REF!</v>
      </c>
      <c r="CP7" t="e">
        <f>#REF!*";Hb!94"</f>
        <v>#REF!</v>
      </c>
      <c r="CQ7" t="e">
        <f>#REF!*";Hb!95"</f>
        <v>#REF!</v>
      </c>
      <c r="CR7" t="e">
        <f>#REF!*";Hb!96"</f>
        <v>#REF!</v>
      </c>
      <c r="CS7" t="e">
        <f>#REF!*";Hb!97"</f>
        <v>#REF!</v>
      </c>
      <c r="CT7" t="e">
        <f>#REF!*";Hb!98"</f>
        <v>#REF!</v>
      </c>
      <c r="CU7" t="e">
        <f>#REF!*";Hb!99"</f>
        <v>#REF!</v>
      </c>
      <c r="CV7" t="e">
        <f>#REF!*";Hb!9:"</f>
        <v>#REF!</v>
      </c>
      <c r="CW7" t="e">
        <f>#REF!*";Hb!9;"</f>
        <v>#REF!</v>
      </c>
      <c r="CX7" t="e">
        <f>#REF!*";Hb!9&lt;"</f>
        <v>#REF!</v>
      </c>
      <c r="CY7" t="e">
        <f>#REF!*";Hb!9="</f>
        <v>#REF!</v>
      </c>
      <c r="CZ7" t="e">
        <f>#REF!*";Hb!9&gt;"</f>
        <v>#REF!</v>
      </c>
      <c r="DA7" t="e">
        <f>#REF!*";Hb!9?"</f>
        <v>#REF!</v>
      </c>
      <c r="DB7" t="e">
        <f>#REF!*";Hb!9@"</f>
        <v>#REF!</v>
      </c>
      <c r="DC7" t="e">
        <f>#REF!-";Hb!9A"</f>
        <v>#REF!</v>
      </c>
      <c r="DD7" t="e">
        <f>#REF!-";Hb!9B"</f>
        <v>#REF!</v>
      </c>
      <c r="DE7" t="e">
        <f>#REF!-";Hb!9C"</f>
        <v>#REF!</v>
      </c>
      <c r="DF7" t="e">
        <f>#REF!-";Hb!9D"</f>
        <v>#REF!</v>
      </c>
      <c r="DG7" t="e">
        <f>#REF!-";Hb!9E"</f>
        <v>#REF!</v>
      </c>
      <c r="DH7" t="e">
        <f>#REF!-";Hb!9F"</f>
        <v>#REF!</v>
      </c>
      <c r="DI7" t="e">
        <f>#REF!-";Hb!9G"</f>
        <v>#REF!</v>
      </c>
      <c r="DJ7" t="e">
        <f>#REF!-";Hb!9H"</f>
        <v>#REF!</v>
      </c>
      <c r="DK7" t="e">
        <f>#REF!-";Hb!9I"</f>
        <v>#REF!</v>
      </c>
      <c r="DL7" t="e">
        <f>#REF!-";Hb!9J"</f>
        <v>#REF!</v>
      </c>
      <c r="DM7" t="e">
        <f>#REF!-";Hb!9K"</f>
        <v>#REF!</v>
      </c>
      <c r="DN7" t="e">
        <f>#REF!-";Hb!9L"</f>
        <v>#REF!</v>
      </c>
      <c r="DO7" t="e">
        <f>#REF!-";Hb!9M"</f>
        <v>#REF!</v>
      </c>
      <c r="DP7" t="e">
        <f>#REF!-";Hb!9N"</f>
        <v>#REF!</v>
      </c>
      <c r="DQ7" t="e">
        <f>#REF!-";Hb!9O"</f>
        <v>#REF!</v>
      </c>
      <c r="DR7" t="e">
        <f>#REF!-";Hb!9P"</f>
        <v>#REF!</v>
      </c>
      <c r="DS7" t="e">
        <f>#REF!-";Hb!9Q"</f>
        <v>#REF!</v>
      </c>
      <c r="DT7" t="e">
        <f>#REF!-";Hb!9R"</f>
        <v>#REF!</v>
      </c>
      <c r="DU7" t="e">
        <f>#REF!-";Hb!9S"</f>
        <v>#REF!</v>
      </c>
      <c r="DV7" t="e">
        <f>#REF!-";Hb!9T"</f>
        <v>#REF!</v>
      </c>
      <c r="DW7" t="e">
        <f>#REF!-";Hb!9U"</f>
        <v>#REF!</v>
      </c>
      <c r="DX7" t="e">
        <f>#REF!-";Hb!9V"</f>
        <v>#REF!</v>
      </c>
      <c r="DY7" t="e">
        <f>#REF!-";Hb!9W"</f>
        <v>#REF!</v>
      </c>
      <c r="DZ7" t="e">
        <f>#REF!-";Hb!9X"</f>
        <v>#REF!</v>
      </c>
      <c r="EA7" t="e">
        <f>#REF!-";Hb!9Y"</f>
        <v>#REF!</v>
      </c>
      <c r="EB7" t="e">
        <f>#REF!-";Hb!9Z"</f>
        <v>#REF!</v>
      </c>
      <c r="EC7" t="e">
        <f>#REF!-";Hb!9["</f>
        <v>#REF!</v>
      </c>
      <c r="ED7" t="e">
        <f>#REF!-";Hb!9\"</f>
        <v>#REF!</v>
      </c>
      <c r="EE7" t="e">
        <f>#REF!-";Hb!9]"</f>
        <v>#REF!</v>
      </c>
      <c r="EF7" t="e">
        <f>#REF!-";Hb!9^"</f>
        <v>#REF!</v>
      </c>
      <c r="EG7" t="e">
        <f>#REF!-";Hb!9_"</f>
        <v>#REF!</v>
      </c>
      <c r="EH7" t="e">
        <f>#REF!-";Hb!9`"</f>
        <v>#REF!</v>
      </c>
      <c r="EI7" t="e">
        <f>#REF!-";Hb!9a"</f>
        <v>#REF!</v>
      </c>
      <c r="EJ7" t="e">
        <f>#REF!-";Hb!9b"</f>
        <v>#REF!</v>
      </c>
      <c r="EK7" t="e">
        <f>#REF!-";Hb!9c"</f>
        <v>#REF!</v>
      </c>
      <c r="EL7" t="e">
        <f>#REF!-";Hb!9d"</f>
        <v>#REF!</v>
      </c>
      <c r="EM7" t="e">
        <f>#REF!-";Hb!9e"</f>
        <v>#REF!</v>
      </c>
      <c r="EN7" t="e">
        <f>#REF!-";Hb!9f"</f>
        <v>#REF!</v>
      </c>
      <c r="EO7" t="e">
        <f>#REF!-";Hb!9g"</f>
        <v>#REF!</v>
      </c>
      <c r="EP7" t="e">
        <f>#REF!-";Hb!9h"</f>
        <v>#REF!</v>
      </c>
      <c r="EQ7" t="e">
        <f>#REF!-";Hb!9i"</f>
        <v>#REF!</v>
      </c>
      <c r="ER7" t="e">
        <f>#REF!-";Hb!9j"</f>
        <v>#REF!</v>
      </c>
      <c r="ES7" t="e">
        <f>#REF!-";Hb!9k"</f>
        <v>#REF!</v>
      </c>
      <c r="ET7" t="e">
        <f>#REF!-";Hb!9l"</f>
        <v>#REF!</v>
      </c>
      <c r="EU7" t="e">
        <f>#REF!-";Hb!9m"</f>
        <v>#REF!</v>
      </c>
      <c r="EV7" t="e">
        <f>#REF!-";Hb!9n"</f>
        <v>#REF!</v>
      </c>
      <c r="EW7" t="e">
        <f>#REF!-";Hb!9o"</f>
        <v>#REF!</v>
      </c>
      <c r="EX7" t="e">
        <f>#REF!-";Hb!9p"</f>
        <v>#REF!</v>
      </c>
      <c r="EY7" t="e">
        <f>#REF!-";Hb!9q"</f>
        <v>#REF!</v>
      </c>
      <c r="EZ7" t="e">
        <f>#REF!-";Hb!9r"</f>
        <v>#REF!</v>
      </c>
      <c r="FA7" t="e">
        <f>#REF!-";Hb!9s"</f>
        <v>#REF!</v>
      </c>
      <c r="FB7" t="e">
        <f>#REF!-";Hb!9t"</f>
        <v>#REF!</v>
      </c>
      <c r="FC7" t="e">
        <f>#REF!-";Hb!9u"</f>
        <v>#REF!</v>
      </c>
      <c r="FD7" t="e">
        <f>#REF!-";Hb!9v"</f>
        <v>#REF!</v>
      </c>
      <c r="FE7" t="e">
        <f>#REF!-";Hb!9w"</f>
        <v>#REF!</v>
      </c>
      <c r="FF7" t="e">
        <f>#REF!-";Hb!9x"</f>
        <v>#REF!</v>
      </c>
      <c r="FG7" t="e">
        <f>#REF!-";Hb!9y"</f>
        <v>#REF!</v>
      </c>
      <c r="FH7" t="e">
        <f>#REF!-";Hb!9z"</f>
        <v>#REF!</v>
      </c>
      <c r="FI7" t="e">
        <f>#REF!-";Hb!9{"</f>
        <v>#REF!</v>
      </c>
      <c r="FJ7" t="e">
        <f>#REF!-";Hb!9|"</f>
        <v>#REF!</v>
      </c>
      <c r="FK7" t="e">
        <f>#REF!-";Hb!9}"</f>
        <v>#REF!</v>
      </c>
      <c r="FL7" t="e">
        <f>#REF!-";Hb!9~"</f>
        <v>#REF!</v>
      </c>
      <c r="FM7" t="e">
        <f>#REF!-";Hb!:#"</f>
        <v>#REF!</v>
      </c>
      <c r="FN7" t="e">
        <f>#REF!-";Hb!:$"</f>
        <v>#REF!</v>
      </c>
      <c r="FO7" t="e">
        <f>#REF!-";Hb!:%"</f>
        <v>#REF!</v>
      </c>
      <c r="FP7" t="e">
        <f>#REF!-";Hb!:&amp;"</f>
        <v>#REF!</v>
      </c>
      <c r="FQ7" t="e">
        <f>#REF!-";Hb!:'"</f>
        <v>#REF!</v>
      </c>
      <c r="FR7" t="e">
        <f>#REF!-";Hb!:("</f>
        <v>#REF!</v>
      </c>
      <c r="FS7" t="e">
        <f>#REF!-";Hb!:)"</f>
        <v>#REF!</v>
      </c>
      <c r="FT7" t="e">
        <f>#REF!-";Hb!:."</f>
        <v>#REF!</v>
      </c>
      <c r="FU7" t="e">
        <f>#REF!-";Hb!:/"</f>
        <v>#REF!</v>
      </c>
      <c r="FV7" t="e">
        <f>#REF!-";Hb!:0"</f>
        <v>#REF!</v>
      </c>
      <c r="FW7" t="e">
        <f>#REF!-";Hb!:1"</f>
        <v>#REF!</v>
      </c>
      <c r="FX7" t="e">
        <f>#REF!-";Hb!:2"</f>
        <v>#REF!</v>
      </c>
      <c r="FY7" t="e">
        <f>#REF!-";Hb!:3"</f>
        <v>#REF!</v>
      </c>
      <c r="FZ7" t="e">
        <f>#REF!-";Hb!:4"</f>
        <v>#REF!</v>
      </c>
      <c r="GA7" t="e">
        <f>#REF!-";Hb!:5"</f>
        <v>#REF!</v>
      </c>
      <c r="GB7" t="e">
        <f>#REF!-";Hb!:6"</f>
        <v>#REF!</v>
      </c>
      <c r="GC7" t="e">
        <f>#REF!-";Hb!:7"</f>
        <v>#REF!</v>
      </c>
      <c r="GD7" t="e">
        <f>#REF!-";Hb!:8"</f>
        <v>#REF!</v>
      </c>
      <c r="GE7" t="e">
        <f>#REF!-";Hb!:9"</f>
        <v>#REF!</v>
      </c>
      <c r="GF7" t="e">
        <f>#REF!-";Hb!::"</f>
        <v>#REF!</v>
      </c>
      <c r="GG7" t="e">
        <f>#REF!-";Hb!:;"</f>
        <v>#REF!</v>
      </c>
      <c r="GH7" t="e">
        <f>#REF!-";Hb!:&lt;"</f>
        <v>#REF!</v>
      </c>
      <c r="GI7" t="e">
        <f>#REF!-";Hb!:="</f>
        <v>#REF!</v>
      </c>
      <c r="GJ7" t="e">
        <f>#REF!-";Hb!:&gt;"</f>
        <v>#REF!</v>
      </c>
      <c r="GK7" t="e">
        <f>#REF!-";Hb!:?"</f>
        <v>#REF!</v>
      </c>
      <c r="GL7" t="e">
        <f>#REF!-";Hb!:@"</f>
        <v>#REF!</v>
      </c>
      <c r="GM7" t="e">
        <f>#REF!-";Hb!:A"</f>
        <v>#REF!</v>
      </c>
      <c r="GN7" t="e">
        <f>#REF!-";Hb!:B"</f>
        <v>#REF!</v>
      </c>
      <c r="GO7" t="e">
        <f>#REF!-";Hb!:C"</f>
        <v>#REF!</v>
      </c>
      <c r="GP7" t="e">
        <f>#REF!-";Hb!:D"</f>
        <v>#REF!</v>
      </c>
      <c r="GQ7" t="e">
        <f>#REF!-";Hb!:E"</f>
        <v>#REF!</v>
      </c>
      <c r="GR7" t="e">
        <f>#REF!-";Hb!:F"</f>
        <v>#REF!</v>
      </c>
      <c r="GS7" t="e">
        <f>#REF!-";Hb!:G"</f>
        <v>#REF!</v>
      </c>
      <c r="GT7" t="e">
        <f>#REF!-";Hb!:H"</f>
        <v>#REF!</v>
      </c>
      <c r="GU7" t="e">
        <f>#REF!-";Hb!:I"</f>
        <v>#REF!</v>
      </c>
      <c r="GV7" t="e">
        <f>#REF!-";Hb!:J"</f>
        <v>#REF!</v>
      </c>
      <c r="GW7" t="e">
        <f>#REF!-";Hb!:K"</f>
        <v>#REF!</v>
      </c>
      <c r="GX7" t="e">
        <f>#REF!-";Hb!:L"</f>
        <v>#REF!</v>
      </c>
      <c r="GY7" t="e">
        <f>#REF!-";Hb!:M"</f>
        <v>#REF!</v>
      </c>
      <c r="GZ7" t="e">
        <f>#REF!-";Hb!:N"</f>
        <v>#REF!</v>
      </c>
      <c r="HA7" t="e">
        <f>#REF!-";Hb!:O"</f>
        <v>#REF!</v>
      </c>
      <c r="HB7" t="e">
        <f>#REF!-";Hb!:P"</f>
        <v>#REF!</v>
      </c>
      <c r="HC7" t="e">
        <f>#REF!-";Hb!:Q"</f>
        <v>#REF!</v>
      </c>
      <c r="HD7" t="e">
        <f>#REF!-";Hb!:R"</f>
        <v>#REF!</v>
      </c>
      <c r="HE7" t="e">
        <f>#REF!-";Hb!:S"</f>
        <v>#REF!</v>
      </c>
      <c r="HF7" t="e">
        <f>#REF!-";Hb!:T"</f>
        <v>#REF!</v>
      </c>
      <c r="HG7" t="e">
        <f>#REF!-";Hb!:U"</f>
        <v>#REF!</v>
      </c>
      <c r="HH7" t="e">
        <f>#REF!-";Hb!:V"</f>
        <v>#REF!</v>
      </c>
      <c r="HI7" t="e">
        <f>#REF!-";Hb!:W"</f>
        <v>#REF!</v>
      </c>
      <c r="HJ7" t="e">
        <f>#REF!-";Hb!:X"</f>
        <v>#REF!</v>
      </c>
      <c r="HK7" t="e">
        <f>#REF!-";Hb!:Y"</f>
        <v>#REF!</v>
      </c>
      <c r="HL7" t="e">
        <f>#REF!-";Hb!:Z"</f>
        <v>#REF!</v>
      </c>
      <c r="HM7" t="e">
        <f>#REF!-";Hb!:["</f>
        <v>#REF!</v>
      </c>
      <c r="HN7" t="e">
        <f>#REF!-";Hb!:\"</f>
        <v>#REF!</v>
      </c>
      <c r="HO7" t="e">
        <f>#REF!-";Hb!:]"</f>
        <v>#REF!</v>
      </c>
      <c r="HP7" t="e">
        <f>#REF!-";Hb!:^"</f>
        <v>#REF!</v>
      </c>
      <c r="HQ7" t="e">
        <f>#REF!-";Hb!:_"</f>
        <v>#REF!</v>
      </c>
      <c r="HR7" t="e">
        <f>#REF!-";Hb!:`"</f>
        <v>#REF!</v>
      </c>
      <c r="HS7" t="e">
        <f>#REF!-";Hb!:a"</f>
        <v>#REF!</v>
      </c>
      <c r="HT7" t="e">
        <f>#REF!-";Hb!:b"</f>
        <v>#REF!</v>
      </c>
      <c r="HU7" t="e">
        <f>#REF!-";Hb!:c"</f>
        <v>#REF!</v>
      </c>
      <c r="HV7" t="e">
        <f>#REF!-";Hb!:d"</f>
        <v>#REF!</v>
      </c>
      <c r="HW7" t="e">
        <f>#REF!-";Hb!:e"</f>
        <v>#REF!</v>
      </c>
      <c r="HX7" t="e">
        <f>#REF!-";Hb!:f"</f>
        <v>#REF!</v>
      </c>
      <c r="HY7" t="e">
        <f>#REF!-";Hb!:g"</f>
        <v>#REF!</v>
      </c>
      <c r="HZ7" t="e">
        <f>#REF!-";Hb!:h"</f>
        <v>#REF!</v>
      </c>
      <c r="IA7" t="e">
        <f>#REF!-";Hb!:i"</f>
        <v>#REF!</v>
      </c>
      <c r="IB7" t="e">
        <f>#REF!-";Hb!:j"</f>
        <v>#REF!</v>
      </c>
      <c r="IC7" t="e">
        <f>#REF!-";Hb!:k"</f>
        <v>#REF!</v>
      </c>
      <c r="ID7" t="e">
        <f>#REF!-";Hb!:l"</f>
        <v>#REF!</v>
      </c>
      <c r="IE7" t="e">
        <f>#REF!-";Hb!:m"</f>
        <v>#REF!</v>
      </c>
      <c r="IF7" t="e">
        <f>#REF!-";Hb!:n"</f>
        <v>#REF!</v>
      </c>
      <c r="IG7" t="e">
        <f>#REF!-";Hb!:o"</f>
        <v>#REF!</v>
      </c>
      <c r="IH7" t="e">
        <f>#REF!-";Hb!:p"</f>
        <v>#REF!</v>
      </c>
      <c r="II7" t="e">
        <f>#REF!-";Hb!:q"</f>
        <v>#REF!</v>
      </c>
      <c r="IJ7" t="e">
        <f>#REF!-";Hb!:r"</f>
        <v>#REF!</v>
      </c>
      <c r="IK7" t="e">
        <f>#REF!-";Hb!:s"</f>
        <v>#REF!</v>
      </c>
      <c r="IL7" t="e">
        <f>#REF!-";Hb!:t"</f>
        <v>#REF!</v>
      </c>
      <c r="IM7" t="e">
        <f>#REF!-";Hb!:u"</f>
        <v>#REF!</v>
      </c>
      <c r="IN7" t="e">
        <f>#REF!-";Hb!:v"</f>
        <v>#REF!</v>
      </c>
      <c r="IO7" t="e">
        <f>#REF!-";Hb!:w"</f>
        <v>#REF!</v>
      </c>
      <c r="IP7" t="e">
        <f>#REF!-";Hb!:x"</f>
        <v>#REF!</v>
      </c>
      <c r="IQ7" t="e">
        <f>#REF!-";Hb!:y"</f>
        <v>#REF!</v>
      </c>
      <c r="IR7" t="e">
        <f>#REF!-";Hb!:z"</f>
        <v>#REF!</v>
      </c>
      <c r="IS7" t="e">
        <f>#REF!-";Hb!:{"</f>
        <v>#REF!</v>
      </c>
      <c r="IT7" t="e">
        <f>#REF!-";Hb!:|"</f>
        <v>#REF!</v>
      </c>
      <c r="IU7" t="e">
        <f>#REF!-";Hb!:}"</f>
        <v>#REF!</v>
      </c>
      <c r="IV7" t="e">
        <f>#REF!-";Hb!:~"</f>
        <v>#REF!</v>
      </c>
    </row>
    <row r="8" spans="1:256" x14ac:dyDescent="0.25">
      <c r="F8" t="e">
        <f>#REF!-";Hb!;#"</f>
        <v>#REF!</v>
      </c>
      <c r="G8" t="e">
        <f>#REF!-";Hb!;$"</f>
        <v>#REF!</v>
      </c>
      <c r="H8" t="e">
        <f>#REF!-";Hb!;%"</f>
        <v>#REF!</v>
      </c>
      <c r="I8" t="e">
        <f>#REF!-";Hb!;&amp;"</f>
        <v>#REF!</v>
      </c>
      <c r="J8" t="e">
        <f>#REF!-";Hb!;'"</f>
        <v>#REF!</v>
      </c>
      <c r="K8" t="e">
        <f>#REF!-";Hb!;("</f>
        <v>#REF!</v>
      </c>
      <c r="L8" t="e">
        <f>#REF!-";Hb!;)"</f>
        <v>#REF!</v>
      </c>
      <c r="M8" t="e">
        <f>#REF!-";Hb!;."</f>
        <v>#REF!</v>
      </c>
      <c r="N8" t="e">
        <f>#REF!-";Hb!;/"</f>
        <v>#REF!</v>
      </c>
      <c r="O8" t="e">
        <f>#REF!-";Hb!;0"</f>
        <v>#REF!</v>
      </c>
      <c r="P8" t="e">
        <f>#REF!-";Hb!;1"</f>
        <v>#REF!</v>
      </c>
      <c r="Q8" t="e">
        <f>#REF!-";Hb!;2"</f>
        <v>#REF!</v>
      </c>
      <c r="R8" t="e">
        <f>#REF!-";Hb!;3"</f>
        <v>#REF!</v>
      </c>
      <c r="S8" t="e">
        <f>#REF!-";Hb!;4"</f>
        <v>#REF!</v>
      </c>
      <c r="T8" t="e">
        <f>#REF!-";Hb!;5"</f>
        <v>#REF!</v>
      </c>
      <c r="U8" t="e">
        <f>#REF!-";Hb!;6"</f>
        <v>#REF!</v>
      </c>
      <c r="V8" t="e">
        <f>#REF!-";Hb!;7"</f>
        <v>#REF!</v>
      </c>
      <c r="W8" t="e">
        <f>#REF!-";Hb!;8"</f>
        <v>#REF!</v>
      </c>
      <c r="X8" t="e">
        <f>#REF!-";Hb!;9"</f>
        <v>#REF!</v>
      </c>
      <c r="Y8" t="e">
        <f>#REF!-";Hb!;:"</f>
        <v>#REF!</v>
      </c>
      <c r="Z8" t="e">
        <f>#REF!-";Hb!;;"</f>
        <v>#REF!</v>
      </c>
      <c r="AA8" t="e">
        <f>#REF!-";Hb!;&lt;"</f>
        <v>#REF!</v>
      </c>
      <c r="AB8" t="e">
        <f>#REF!-";Hb!;="</f>
        <v>#REF!</v>
      </c>
      <c r="AC8" t="e">
        <f>#REF!-";Hb!;&gt;"</f>
        <v>#REF!</v>
      </c>
      <c r="AD8" t="e">
        <f>#REF!-";Hb!;?"</f>
        <v>#REF!</v>
      </c>
      <c r="AE8" t="e">
        <f>#REF!-";Hb!;@"</f>
        <v>#REF!</v>
      </c>
      <c r="AF8" t="e">
        <f>#REF!-";Hb!;A"</f>
        <v>#REF!</v>
      </c>
      <c r="AG8" t="e">
        <f>#REF!-";Hb!;B"</f>
        <v>#REF!</v>
      </c>
      <c r="AH8" t="e">
        <f>#REF!-";Hb!;C"</f>
        <v>#REF!</v>
      </c>
      <c r="AI8" t="e">
        <f>#REF!-";Hb!;D"</f>
        <v>#REF!</v>
      </c>
      <c r="AJ8" t="e">
        <f>#REF!-";Hb!;E"</f>
        <v>#REF!</v>
      </c>
      <c r="AK8" t="e">
        <f>#REF!-";Hb!;F"</f>
        <v>#REF!</v>
      </c>
      <c r="AL8" t="e">
        <f>#REF!-";Hb!;G"</f>
        <v>#REF!</v>
      </c>
      <c r="AM8" t="e">
        <f>#REF!-";Hb!;H"</f>
        <v>#REF!</v>
      </c>
      <c r="AN8" t="e">
        <f>#REF!-";Hb!;I"</f>
        <v>#REF!</v>
      </c>
      <c r="AO8" t="e">
        <f>#REF!-";Hb!;J"</f>
        <v>#REF!</v>
      </c>
      <c r="AP8" t="e">
        <f>#REF!-";Hb!;K"</f>
        <v>#REF!</v>
      </c>
      <c r="AQ8" t="e">
        <f>#REF!-";Hb!;L"</f>
        <v>#REF!</v>
      </c>
      <c r="AR8" t="e">
        <f>#REF!-";Hb!;M"</f>
        <v>#REF!</v>
      </c>
      <c r="AS8" t="e">
        <f>#REF!-";Hb!;N"</f>
        <v>#REF!</v>
      </c>
      <c r="AT8" t="e">
        <f>#REF!-";Hb!;O"</f>
        <v>#REF!</v>
      </c>
      <c r="AU8" t="e">
        <f>#REF!-";Hb!;P"</f>
        <v>#REF!</v>
      </c>
      <c r="AV8" t="e">
        <f>#REF!-";Hb!;Q"</f>
        <v>#REF!</v>
      </c>
      <c r="AW8" t="e">
        <f>#REF!-";Hb!;R"</f>
        <v>#REF!</v>
      </c>
      <c r="AX8" t="e">
        <f>#REF!-";Hb!;S"</f>
        <v>#REF!</v>
      </c>
      <c r="AY8" t="e">
        <f>#REF!-";Hb!;T"</f>
        <v>#REF!</v>
      </c>
      <c r="AZ8" t="e">
        <f>#REF!-";Hb!;U"</f>
        <v>#REF!</v>
      </c>
      <c r="BA8" t="e">
        <f>#REF!-";Hb!;V"</f>
        <v>#REF!</v>
      </c>
      <c r="BB8" t="e">
        <f>#REF!-";Hb!;W"</f>
        <v>#REF!</v>
      </c>
      <c r="BC8" t="e">
        <f>#REF!-";Hb!;X"</f>
        <v>#REF!</v>
      </c>
      <c r="BD8" t="e">
        <f>#REF!-";Hb!;Y"</f>
        <v>#REF!</v>
      </c>
      <c r="BE8" t="e">
        <f>#REF!-";Hb!;Z"</f>
        <v>#REF!</v>
      </c>
      <c r="BF8" t="e">
        <f>#REF!-";Hb!;["</f>
        <v>#REF!</v>
      </c>
      <c r="BG8" t="e">
        <f>#REF!-";Hb!;\"</f>
        <v>#REF!</v>
      </c>
      <c r="BH8" t="e">
        <f>#REF!-";Hb!;]"</f>
        <v>#REF!</v>
      </c>
      <c r="BI8" t="e">
        <f>#REF!-";Hb!;^"</f>
        <v>#REF!</v>
      </c>
      <c r="BJ8" t="e">
        <f>#REF!-";Hb!;_"</f>
        <v>#REF!</v>
      </c>
      <c r="BK8" t="e">
        <f>#REF!-";Hb!;`"</f>
        <v>#REF!</v>
      </c>
      <c r="BL8" t="e">
        <f>#REF!-";Hb!;a"</f>
        <v>#REF!</v>
      </c>
      <c r="BM8" t="e">
        <f>#REF!-";Hb!;b"</f>
        <v>#REF!</v>
      </c>
      <c r="BN8" t="e">
        <f>#REF!-";Hb!;c"</f>
        <v>#REF!</v>
      </c>
      <c r="BO8" t="e">
        <f>#REF!-";Hb!;d"</f>
        <v>#REF!</v>
      </c>
      <c r="BP8" t="e">
        <f>#REF!-";Hb!;e"</f>
        <v>#REF!</v>
      </c>
      <c r="BQ8" t="e">
        <f>#REF!-";Hb!;f"</f>
        <v>#REF!</v>
      </c>
      <c r="BR8" t="e">
        <f>#REF!-";Hb!;g"</f>
        <v>#REF!</v>
      </c>
      <c r="BS8" t="e">
        <f>#REF!-";Hb!;h"</f>
        <v>#REF!</v>
      </c>
      <c r="BT8" t="e">
        <f>#REF!-";Hb!;i"</f>
        <v>#REF!</v>
      </c>
      <c r="BU8" t="e">
        <f>#REF!-";Hb!;j"</f>
        <v>#REF!</v>
      </c>
      <c r="BV8" t="e">
        <f>#REF!-";Hb!;k"</f>
        <v>#REF!</v>
      </c>
      <c r="BW8" t="e">
        <f>#REF!-";Hb!;l"</f>
        <v>#REF!</v>
      </c>
      <c r="BX8" t="e">
        <f>#REF!-";Hb!;m"</f>
        <v>#REF!</v>
      </c>
      <c r="BY8" t="e">
        <f>#REF!-";Hb!;n"</f>
        <v>#REF!</v>
      </c>
      <c r="BZ8" t="e">
        <f>#REF!-";Hb!;o"</f>
        <v>#REF!</v>
      </c>
      <c r="CA8" t="e">
        <f>#REF!-";Hb!;p"</f>
        <v>#REF!</v>
      </c>
      <c r="CB8" t="e">
        <f>#REF!-";Hb!;q"</f>
        <v>#REF!</v>
      </c>
      <c r="CC8" t="e">
        <f>#REF!-";Hb!;r"</f>
        <v>#REF!</v>
      </c>
      <c r="CD8" t="e">
        <f>#REF!-";Hb!;s"</f>
        <v>#REF!</v>
      </c>
      <c r="CE8" t="e">
        <f>#REF!-";Hb!;t"</f>
        <v>#REF!</v>
      </c>
      <c r="CF8" t="e">
        <f>#REF!-";Hb!;u"</f>
        <v>#REF!</v>
      </c>
      <c r="CG8" t="e">
        <f>#REF!-";Hb!;v"</f>
        <v>#REF!</v>
      </c>
      <c r="CH8" t="e">
        <f>#REF!-";Hb!;w"</f>
        <v>#REF!</v>
      </c>
      <c r="CI8" t="e">
        <f>#REF!-";Hb!;x"</f>
        <v>#REF!</v>
      </c>
      <c r="CJ8" t="e">
        <f>#REF!-";Hb!;y"</f>
        <v>#REF!</v>
      </c>
      <c r="CK8" t="e">
        <f>#REF!-";Hb!;z"</f>
        <v>#REF!</v>
      </c>
      <c r="CL8" t="e">
        <f>#REF!-";Hb!;{"</f>
        <v>#REF!</v>
      </c>
      <c r="CM8" t="e">
        <f>#REF!-";Hb!;|"</f>
        <v>#REF!</v>
      </c>
      <c r="CN8" t="e">
        <f>#REF!-";Hb!;}"</f>
        <v>#REF!</v>
      </c>
      <c r="CO8" t="e">
        <f>#REF!-";Hb!;~"</f>
        <v>#REF!</v>
      </c>
      <c r="CP8" t="e">
        <f>#REF!-";Hb!&lt;#"</f>
        <v>#REF!</v>
      </c>
      <c r="CQ8" t="e">
        <f>#REF!-";Hb!&lt;$"</f>
        <v>#REF!</v>
      </c>
      <c r="CR8" t="e">
        <f>#REF!-";Hb!&lt;%"</f>
        <v>#REF!</v>
      </c>
      <c r="CS8" t="e">
        <f>#REF!-";Hb!&lt;&amp;"</f>
        <v>#REF!</v>
      </c>
      <c r="CT8" t="e">
        <f>#REF!-";Hb!&lt;'"</f>
        <v>#REF!</v>
      </c>
      <c r="CU8" t="e">
        <f>#REF!-";Hb!&lt;("</f>
        <v>#REF!</v>
      </c>
      <c r="CV8" t="e">
        <f>#REF!-";Hb!&lt;)"</f>
        <v>#REF!</v>
      </c>
      <c r="CW8" t="e">
        <f>#REF!-";Hb!&lt;."</f>
        <v>#REF!</v>
      </c>
      <c r="CX8" t="e">
        <f>#REF!-";Hb!&lt;/"</f>
        <v>#REF!</v>
      </c>
      <c r="CY8" t="e">
        <f>#REF!-";Hb!&lt;0"</f>
        <v>#REF!</v>
      </c>
      <c r="CZ8" t="e">
        <f>#REF!-";Hb!&lt;1"</f>
        <v>#REF!</v>
      </c>
      <c r="DA8" t="e">
        <f>#REF!-";Hb!&lt;2"</f>
        <v>#REF!</v>
      </c>
      <c r="DB8" t="e">
        <f>#REF!-";Hb!&lt;3"</f>
        <v>#REF!</v>
      </c>
      <c r="DC8" t="e">
        <f>#REF!-";Hb!&lt;4"</f>
        <v>#REF!</v>
      </c>
      <c r="DD8" t="e">
        <f>#REF!-";Hb!&lt;5"</f>
        <v>#REF!</v>
      </c>
      <c r="DE8" t="e">
        <f>#REF!-";Hb!&lt;6"</f>
        <v>#REF!</v>
      </c>
      <c r="DF8" t="e">
        <f>#REF!-";Hb!&lt;7"</f>
        <v>#REF!</v>
      </c>
      <c r="DG8" t="e">
        <f>#REF!-";Hb!&lt;8"</f>
        <v>#REF!</v>
      </c>
      <c r="DH8" t="e">
        <f>#REF!-";Hb!&lt;9"</f>
        <v>#REF!</v>
      </c>
      <c r="DI8" t="e">
        <f>#REF!-";Hb!&lt;:"</f>
        <v>#REF!</v>
      </c>
      <c r="DJ8" t="e">
        <f>#REF!-";Hb!&lt;;"</f>
        <v>#REF!</v>
      </c>
      <c r="DK8" t="e">
        <f>#REF!-";Hb!&lt;&lt;"</f>
        <v>#REF!</v>
      </c>
      <c r="DL8" t="e">
        <f>#REF!-";Hb!&lt;="</f>
        <v>#REF!</v>
      </c>
      <c r="DM8" t="e">
        <f>#REF!-";Hb!&lt;&gt;"</f>
        <v>#REF!</v>
      </c>
      <c r="DN8" t="e">
        <f>#REF!-";Hb!&lt;?"</f>
        <v>#REF!</v>
      </c>
      <c r="DO8" t="e">
        <f>#REF!-";Hb!&lt;@"</f>
        <v>#REF!</v>
      </c>
      <c r="DP8" t="e">
        <f>#REF!-";Hb!&lt;A"</f>
        <v>#REF!</v>
      </c>
      <c r="DQ8" t="e">
        <f>#REF!-";Hb!&lt;B"</f>
        <v>#REF!</v>
      </c>
      <c r="DR8" t="e">
        <f>#REF!-";Hb!&lt;C"</f>
        <v>#REF!</v>
      </c>
      <c r="DS8" t="e">
        <f>#REF!-";Hb!&lt;D"</f>
        <v>#REF!</v>
      </c>
      <c r="DT8" t="e">
        <f>#REF!-";Hb!&lt;E"</f>
        <v>#REF!</v>
      </c>
      <c r="DU8" t="e">
        <f>#REF!-";Hb!&lt;F"</f>
        <v>#REF!</v>
      </c>
      <c r="DV8" t="e">
        <f>#REF!-";Hb!&lt;G"</f>
        <v>#REF!</v>
      </c>
      <c r="DW8" t="e">
        <f>#REF!-";Hb!&lt;H"</f>
        <v>#REF!</v>
      </c>
      <c r="DX8" t="e">
        <f>#REF!-";Hb!&lt;I"</f>
        <v>#REF!</v>
      </c>
      <c r="DY8" t="e">
        <f>#REF!-";Hb!&lt;J"</f>
        <v>#REF!</v>
      </c>
      <c r="DZ8" t="e">
        <f>#REF!-";Hb!&lt;K"</f>
        <v>#REF!</v>
      </c>
      <c r="EA8" t="e">
        <f>#REF!-";Hb!&lt;L"</f>
        <v>#REF!</v>
      </c>
      <c r="EB8" t="e">
        <f>#REF!-";Hb!&lt;M"</f>
        <v>#REF!</v>
      </c>
      <c r="EC8" t="e">
        <f>#REF!-";Hb!&lt;N"</f>
        <v>#REF!</v>
      </c>
      <c r="ED8" t="e">
        <f>#REF!-";Hb!&lt;O"</f>
        <v>#REF!</v>
      </c>
      <c r="EE8" t="e">
        <f>#REF!-";Hb!&lt;P"</f>
        <v>#REF!</v>
      </c>
      <c r="EF8" t="e">
        <f>#REF!-";Hb!&lt;Q"</f>
        <v>#REF!</v>
      </c>
      <c r="EG8" t="e">
        <f>#REF!-";Hb!&lt;R"</f>
        <v>#REF!</v>
      </c>
      <c r="EH8" t="e">
        <f>#REF!-";Hb!&lt;S"</f>
        <v>#REF!</v>
      </c>
      <c r="EI8" t="e">
        <f>#REF!-";Hb!&lt;T"</f>
        <v>#REF!</v>
      </c>
      <c r="EJ8" t="e">
        <f>#REF!-";Hb!&lt;U"</f>
        <v>#REF!</v>
      </c>
      <c r="EK8" t="e">
        <f>#REF!-";Hb!&lt;V"</f>
        <v>#REF!</v>
      </c>
      <c r="EL8" t="e">
        <f>#REF!-";Hb!&lt;W"</f>
        <v>#REF!</v>
      </c>
      <c r="EM8" t="e">
        <f>#REF!-";Hb!&lt;X"</f>
        <v>#REF!</v>
      </c>
      <c r="EN8" t="e">
        <f>#REF!-";Hb!&lt;Y"</f>
        <v>#REF!</v>
      </c>
      <c r="EO8" t="e">
        <f>#REF!-";Hb!&lt;Z"</f>
        <v>#REF!</v>
      </c>
      <c r="EP8" t="e">
        <f>#REF!-";Hb!&lt;["</f>
        <v>#REF!</v>
      </c>
      <c r="EQ8" t="e">
        <f>#REF!-";Hb!&lt;\"</f>
        <v>#REF!</v>
      </c>
      <c r="ER8" t="e">
        <f>#REF!-";Hb!&lt;]"</f>
        <v>#REF!</v>
      </c>
      <c r="ES8" t="e">
        <f>#REF!-";Hb!&lt;^"</f>
        <v>#REF!</v>
      </c>
      <c r="ET8" t="e">
        <f>#REF!-";Hb!&lt;_"</f>
        <v>#REF!</v>
      </c>
      <c r="EU8" t="e">
        <f>#REF!-";Hb!&lt;`"</f>
        <v>#REF!</v>
      </c>
      <c r="EV8" t="e">
        <f>#REF!-";Hb!&lt;a"</f>
        <v>#REF!</v>
      </c>
      <c r="EW8" t="e">
        <f>#REF!-";Hb!&lt;b"</f>
        <v>#REF!</v>
      </c>
      <c r="EX8" t="e">
        <f>#REF!-";Hb!&lt;c"</f>
        <v>#REF!</v>
      </c>
      <c r="EY8" t="e">
        <f>#REF!-";Hb!&lt;d"</f>
        <v>#REF!</v>
      </c>
      <c r="EZ8" t="e">
        <f>#REF!-";Hb!&lt;e"</f>
        <v>#REF!</v>
      </c>
      <c r="FA8" t="e">
        <f>#REF!-";Hb!&lt;f"</f>
        <v>#REF!</v>
      </c>
      <c r="FB8" t="e">
        <f>#REF!-";Hb!&lt;g"</f>
        <v>#REF!</v>
      </c>
      <c r="FC8" t="e">
        <f>#REF!-";Hb!&lt;h"</f>
        <v>#REF!</v>
      </c>
      <c r="FD8" t="e">
        <f>#REF!-";Hb!&lt;i"</f>
        <v>#REF!</v>
      </c>
      <c r="FE8" t="e">
        <f>#REF!-";Hb!&lt;j"</f>
        <v>#REF!</v>
      </c>
      <c r="FF8" t="e">
        <f>#REF!-";Hb!&lt;k"</f>
        <v>#REF!</v>
      </c>
      <c r="FG8" t="e">
        <f>#REF!-";Hb!&lt;l"</f>
        <v>#REF!</v>
      </c>
      <c r="FH8" t="e">
        <f>#REF!-";Hb!&lt;m"</f>
        <v>#REF!</v>
      </c>
      <c r="FI8" t="e">
        <f>#REF!-";Hb!&lt;n"</f>
        <v>#REF!</v>
      </c>
      <c r="FJ8" t="e">
        <f>#REF!-";Hb!&lt;o"</f>
        <v>#REF!</v>
      </c>
      <c r="FK8" t="e">
        <f>#REF!-";Hb!&lt;p"</f>
        <v>#REF!</v>
      </c>
      <c r="FL8" t="e">
        <f>#REF!-";Hb!&lt;q"</f>
        <v>#REF!</v>
      </c>
      <c r="FM8" t="e">
        <f>#REF!-";Hb!&lt;r"</f>
        <v>#REF!</v>
      </c>
      <c r="FN8" t="e">
        <f>#REF!-";Hb!&lt;s"</f>
        <v>#REF!</v>
      </c>
      <c r="FO8" t="e">
        <f>#REF!-";Hb!&lt;t"</f>
        <v>#REF!</v>
      </c>
      <c r="FP8" t="e">
        <f>#REF!-";Hb!&lt;u"</f>
        <v>#REF!</v>
      </c>
      <c r="FQ8" t="e">
        <f>#REF!-";Hb!&lt;v"</f>
        <v>#REF!</v>
      </c>
      <c r="FR8" t="e">
        <f>#REF!-";Hb!&lt;w"</f>
        <v>#REF!</v>
      </c>
      <c r="FS8" t="e">
        <f>#REF!-";Hb!&lt;x"</f>
        <v>#REF!</v>
      </c>
      <c r="FT8" t="e">
        <f>#REF!-";Hb!&lt;y"</f>
        <v>#REF!</v>
      </c>
      <c r="FU8" t="e">
        <f>#REF!-";Hb!&lt;z"</f>
        <v>#REF!</v>
      </c>
      <c r="FV8" t="e">
        <f>#REF!-";Hb!&lt;{"</f>
        <v>#REF!</v>
      </c>
      <c r="FW8" t="e">
        <f>#REF!-";Hb!&lt;|"</f>
        <v>#REF!</v>
      </c>
      <c r="FX8" t="e">
        <f>#REF!-";Hb!&lt;}"</f>
        <v>#REF!</v>
      </c>
      <c r="FY8" t="e">
        <f>#REF!-";Hb!&lt;~"</f>
        <v>#REF!</v>
      </c>
      <c r="FZ8" t="e">
        <f>#REF!-";Hb!=#"</f>
        <v>#REF!</v>
      </c>
      <c r="GA8" t="e">
        <f>#REF!-";Hb!=$"</f>
        <v>#REF!</v>
      </c>
      <c r="GB8" t="e">
        <f>#REF!-";Hb!=%"</f>
        <v>#REF!</v>
      </c>
      <c r="GC8" t="e">
        <f>#REF!-";Hb!=&amp;"</f>
        <v>#REF!</v>
      </c>
      <c r="GD8" t="e">
        <f>#REF!-";Hb!='"</f>
        <v>#REF!</v>
      </c>
      <c r="GE8" t="e">
        <f>#REF!-";Hb!=("</f>
        <v>#REF!</v>
      </c>
      <c r="GF8" t="e">
        <f>#REF!-";Hb!=)"</f>
        <v>#REF!</v>
      </c>
      <c r="GG8" t="e">
        <f>#REF!-";Hb!=."</f>
        <v>#REF!</v>
      </c>
      <c r="GH8" t="e">
        <f>#REF!-";Hb!=/"</f>
        <v>#REF!</v>
      </c>
      <c r="GI8" t="e">
        <f>#REF!-";Hb!=0"</f>
        <v>#REF!</v>
      </c>
      <c r="GJ8" t="e">
        <f>#REF!-";Hb!=1"</f>
        <v>#REF!</v>
      </c>
      <c r="GK8" t="e">
        <f>#REF!-";Hb!=2"</f>
        <v>#REF!</v>
      </c>
      <c r="GL8" t="e">
        <f>#REF!-";Hb!=3"</f>
        <v>#REF!</v>
      </c>
      <c r="GM8" t="e">
        <f>#REF!-";Hb!=4"</f>
        <v>#REF!</v>
      </c>
      <c r="GN8" t="e">
        <f>#REF!-";Hb!=5"</f>
        <v>#REF!</v>
      </c>
      <c r="GO8" t="e">
        <f>#REF!-";Hb!=6"</f>
        <v>#REF!</v>
      </c>
      <c r="GP8" t="e">
        <f>#REF!-";Hb!=7"</f>
        <v>#REF!</v>
      </c>
      <c r="GQ8" t="e">
        <f>#REF!-";Hb!=8"</f>
        <v>#REF!</v>
      </c>
      <c r="GR8" t="e">
        <f>#REF!-";Hb!=9"</f>
        <v>#REF!</v>
      </c>
      <c r="GS8" t="e">
        <f>#REF!-";Hb!=:"</f>
        <v>#REF!</v>
      </c>
      <c r="GT8" t="e">
        <f>#REF!-";Hb!=;"</f>
        <v>#REF!</v>
      </c>
      <c r="GU8" t="e">
        <f>#REF!-";Hb!=&lt;"</f>
        <v>#REF!</v>
      </c>
      <c r="GV8" t="e">
        <f>#REF!-";Hb!=="</f>
        <v>#REF!</v>
      </c>
      <c r="GW8" t="e">
        <f>#REF!-";Hb!=&gt;"</f>
        <v>#REF!</v>
      </c>
      <c r="GX8" t="e">
        <f>#REF!-";Hb!=?"</f>
        <v>#REF!</v>
      </c>
      <c r="GY8" t="e">
        <f>#REF!-";Hb!=@"</f>
        <v>#REF!</v>
      </c>
      <c r="GZ8" t="e">
        <f>#REF!-";Hb!=A"</f>
        <v>#REF!</v>
      </c>
      <c r="HA8" t="e">
        <f>#REF!-";Hb!=B"</f>
        <v>#REF!</v>
      </c>
      <c r="HB8" t="e">
        <f>#REF!-";Hb!=C"</f>
        <v>#REF!</v>
      </c>
      <c r="HC8" t="e">
        <f>#REF!-";Hb!=D"</f>
        <v>#REF!</v>
      </c>
      <c r="HD8" t="e">
        <f>#REF!-";Hb!=E"</f>
        <v>#REF!</v>
      </c>
      <c r="HE8" t="e">
        <f>#REF!-";Hb!=F"</f>
        <v>#REF!</v>
      </c>
      <c r="HF8" t="e">
        <f>#REF!-";Hb!=G"</f>
        <v>#REF!</v>
      </c>
      <c r="HG8" t="e">
        <f>#REF!-";Hb!=H"</f>
        <v>#REF!</v>
      </c>
      <c r="HH8" t="e">
        <f>#REF!-";Hb!=I"</f>
        <v>#REF!</v>
      </c>
      <c r="HI8" t="e">
        <f>#REF!-";Hb!=J"</f>
        <v>#REF!</v>
      </c>
      <c r="HJ8" t="e">
        <f>#REF!-";Hb!=K"</f>
        <v>#REF!</v>
      </c>
      <c r="HK8" t="e">
        <f>#REF!-";Hb!=L"</f>
        <v>#REF!</v>
      </c>
      <c r="HL8" t="e">
        <f>#REF!-";Hb!=M"</f>
        <v>#REF!</v>
      </c>
      <c r="HM8" t="e">
        <f>#REF!-";Hb!=N"</f>
        <v>#REF!</v>
      </c>
      <c r="HN8" t="e">
        <f>#REF!-";Hb!=O"</f>
        <v>#REF!</v>
      </c>
      <c r="HO8" t="e">
        <f>#REF!-";Hb!=P"</f>
        <v>#REF!</v>
      </c>
      <c r="HP8" t="e">
        <f>#REF!-";Hb!=Q"</f>
        <v>#REF!</v>
      </c>
      <c r="HQ8" t="e">
        <f>#REF!-";Hb!=R"</f>
        <v>#REF!</v>
      </c>
      <c r="HR8" t="e">
        <f>#REF!-";Hb!=S"</f>
        <v>#REF!</v>
      </c>
      <c r="HS8" t="e">
        <f>#REF!-";Hb!=T"</f>
        <v>#REF!</v>
      </c>
      <c r="HT8" t="e">
        <f>#REF!-";Hb!=U"</f>
        <v>#REF!</v>
      </c>
      <c r="HU8" t="e">
        <f>#REF!-";Hb!=V"</f>
        <v>#REF!</v>
      </c>
      <c r="HV8" t="e">
        <f>#REF!-";Hb!=W"</f>
        <v>#REF!</v>
      </c>
      <c r="HW8" t="e">
        <f>#REF!-";Hb!=X"</f>
        <v>#REF!</v>
      </c>
      <c r="HX8" t="e">
        <f>#REF!-";Hb!=Y"</f>
        <v>#REF!</v>
      </c>
      <c r="HY8" t="e">
        <f>#REF!-";Hb!=Z"</f>
        <v>#REF!</v>
      </c>
      <c r="HZ8" t="e">
        <f>#REF!-";Hb!=["</f>
        <v>#REF!</v>
      </c>
      <c r="IA8" t="e">
        <f>#REF!-";Hb!=\"</f>
        <v>#REF!</v>
      </c>
      <c r="IB8" t="e">
        <f>#REF!-";Hb!=]"</f>
        <v>#REF!</v>
      </c>
      <c r="IC8" t="e">
        <f>#REF!-";Hb!=^"</f>
        <v>#REF!</v>
      </c>
      <c r="ID8" t="e">
        <f>#REF!-";Hb!=_"</f>
        <v>#REF!</v>
      </c>
      <c r="IE8" t="e">
        <f>#REF!-";Hb!=`"</f>
        <v>#REF!</v>
      </c>
      <c r="IF8" t="e">
        <f>#REF!-";Hb!=a"</f>
        <v>#REF!</v>
      </c>
      <c r="IG8" t="e">
        <f>#REF!-";Hb!=b"</f>
        <v>#REF!</v>
      </c>
      <c r="IH8" t="e">
        <f>#REF!-";Hb!=c"</f>
        <v>#REF!</v>
      </c>
      <c r="II8" t="e">
        <f>#REF!-";Hb!=d"</f>
        <v>#REF!</v>
      </c>
      <c r="IJ8" t="e">
        <f>#REF!-";Hb!=e"</f>
        <v>#REF!</v>
      </c>
      <c r="IK8" t="e">
        <f>#REF!-";Hb!=f"</f>
        <v>#REF!</v>
      </c>
      <c r="IL8" t="e">
        <f>#REF!-";Hb!=g"</f>
        <v>#REF!</v>
      </c>
      <c r="IM8" t="e">
        <f>#REF!-";Hb!=h"</f>
        <v>#REF!</v>
      </c>
      <c r="IN8" t="e">
        <f>#REF!-";Hb!=i"</f>
        <v>#REF!</v>
      </c>
      <c r="IO8" t="e">
        <f>#REF!-";Hb!=j"</f>
        <v>#REF!</v>
      </c>
      <c r="IP8" t="e">
        <f>#REF!-";Hb!=k"</f>
        <v>#REF!</v>
      </c>
      <c r="IQ8" t="e">
        <f>#REF!-";Hb!=l"</f>
        <v>#REF!</v>
      </c>
      <c r="IR8" t="e">
        <f>#REF!-";Hb!=m"</f>
        <v>#REF!</v>
      </c>
      <c r="IS8" t="e">
        <f>#REF!-";Hb!=n"</f>
        <v>#REF!</v>
      </c>
      <c r="IT8" t="e">
        <f>#REF!-";Hb!=o"</f>
        <v>#REF!</v>
      </c>
      <c r="IU8" t="e">
        <f>#REF!-";Hb!=p"</f>
        <v>#REF!</v>
      </c>
      <c r="IV8" t="e">
        <f>#REF!-";Hb!=q"</f>
        <v>#REF!</v>
      </c>
    </row>
    <row r="9" spans="1:256" x14ac:dyDescent="0.25">
      <c r="F9" t="e">
        <f>#REF!-";Hb!=r"</f>
        <v>#REF!</v>
      </c>
      <c r="G9" t="e">
        <f>#REF!-";Hb!=s"</f>
        <v>#REF!</v>
      </c>
      <c r="H9" t="e">
        <f>#REF!-";Hb!=t"</f>
        <v>#REF!</v>
      </c>
      <c r="I9" t="e">
        <f>#REF!-";Hb!=u"</f>
        <v>#REF!</v>
      </c>
      <c r="J9" t="e">
        <f>#REF!-";Hb!=v"</f>
        <v>#REF!</v>
      </c>
      <c r="K9" t="e">
        <f>#REF!-";Hb!=w"</f>
        <v>#REF!</v>
      </c>
      <c r="L9" t="e">
        <f>#REF!-";Hb!=x"</f>
        <v>#REF!</v>
      </c>
      <c r="M9" t="e">
        <f>#REF!-";Hb!=y"</f>
        <v>#REF!</v>
      </c>
      <c r="N9" t="e">
        <f>#REF!-";Hb!=z"</f>
        <v>#REF!</v>
      </c>
      <c r="O9" t="e">
        <f>#REF!-";Hb!={"</f>
        <v>#REF!</v>
      </c>
      <c r="P9" t="e">
        <f>#REF!-";Hb!=|"</f>
        <v>#REF!</v>
      </c>
      <c r="Q9" t="e">
        <f>#REF!-";Hb!=}"</f>
        <v>#REF!</v>
      </c>
      <c r="R9" t="e">
        <f>#REF!-";Hb!=~"</f>
        <v>#REF!</v>
      </c>
      <c r="S9" t="e">
        <f>#REF!-";Hb!&gt;#"</f>
        <v>#REF!</v>
      </c>
      <c r="T9" t="e">
        <f>#REF!-";Hb!&gt;$"</f>
        <v>#REF!</v>
      </c>
      <c r="U9" t="e">
        <f>#REF!-";Hb!&gt;%"</f>
        <v>#REF!</v>
      </c>
      <c r="V9" t="e">
        <f>#REF!-";Hb!&gt;&amp;"</f>
        <v>#REF!</v>
      </c>
      <c r="W9" t="e">
        <f>#REF!-";Hb!&gt;'"</f>
        <v>#REF!</v>
      </c>
      <c r="X9" t="e">
        <f>#REF!-";Hb!&gt;("</f>
        <v>#REF!</v>
      </c>
      <c r="Y9" t="e">
        <f>#REF!-";Hb!&gt;)"</f>
        <v>#REF!</v>
      </c>
      <c r="Z9" t="e">
        <f>#REF!-";Hb!&gt;."</f>
        <v>#REF!</v>
      </c>
      <c r="AA9" t="e">
        <f>#REF!-";Hb!&gt;/"</f>
        <v>#REF!</v>
      </c>
      <c r="AB9" t="e">
        <f>#REF!-";Hb!&gt;0"</f>
        <v>#REF!</v>
      </c>
      <c r="AC9" t="e">
        <f>#REF!-";Hb!&gt;1"</f>
        <v>#REF!</v>
      </c>
      <c r="AD9" t="e">
        <f>#REF!-";Hb!&gt;2"</f>
        <v>#REF!</v>
      </c>
      <c r="AE9" t="e">
        <f>#REF!-";Hb!&gt;3"</f>
        <v>#REF!</v>
      </c>
      <c r="AF9" t="e">
        <f>#REF!-";Hb!&gt;4"</f>
        <v>#REF!</v>
      </c>
      <c r="AG9" t="e">
        <f>#REF!-";Hb!&gt;5"</f>
        <v>#REF!</v>
      </c>
      <c r="AH9" t="e">
        <f>#REF!-";Hb!&gt;6"</f>
        <v>#REF!</v>
      </c>
      <c r="AI9" t="e">
        <f>#REF!-";Hb!&gt;7"</f>
        <v>#REF!</v>
      </c>
      <c r="AJ9" t="e">
        <f>#REF!-";Hb!&gt;8"</f>
        <v>#REF!</v>
      </c>
      <c r="AK9" t="e">
        <f>#REF!-";Hb!&gt;9"</f>
        <v>#REF!</v>
      </c>
      <c r="AL9" t="e">
        <f>#REF!-";Hb!&gt;:"</f>
        <v>#REF!</v>
      </c>
      <c r="AM9" t="e">
        <f>#REF!-";Hb!&gt;;"</f>
        <v>#REF!</v>
      </c>
      <c r="AN9" t="e">
        <f>#REF!-";Hb!&gt;&lt;"</f>
        <v>#REF!</v>
      </c>
      <c r="AO9" t="e">
        <f>#REF!-";Hb!&gt;="</f>
        <v>#REF!</v>
      </c>
      <c r="AP9" t="e">
        <f>#REF!-";Hb!&gt;&gt;"</f>
        <v>#REF!</v>
      </c>
      <c r="AQ9" t="e">
        <f>#REF!-";Hb!&gt;?"</f>
        <v>#REF!</v>
      </c>
      <c r="AR9" t="e">
        <f>#REF!-";Hb!&gt;@"</f>
        <v>#REF!</v>
      </c>
      <c r="AS9" t="e">
        <f>#REF!-";Hb!&gt;A"</f>
        <v>#REF!</v>
      </c>
      <c r="AT9" t="e">
        <f>#REF!-";Hb!&gt;B"</f>
        <v>#REF!</v>
      </c>
      <c r="AU9" t="e">
        <f>#REF!-";Hb!&gt;C"</f>
        <v>#REF!</v>
      </c>
      <c r="AV9" t="e">
        <f>#REF!-";Hb!&gt;D"</f>
        <v>#REF!</v>
      </c>
      <c r="AW9" t="e">
        <f>#REF!-";Hb!&gt;E"</f>
        <v>#REF!</v>
      </c>
      <c r="AX9" t="e">
        <f>#REF!-";Hb!&gt;F"</f>
        <v>#REF!</v>
      </c>
      <c r="AY9" t="e">
        <f>#REF!-";Hb!&gt;G"</f>
        <v>#REF!</v>
      </c>
      <c r="AZ9" t="e">
        <f>#REF!-";Hb!&gt;H"</f>
        <v>#REF!</v>
      </c>
      <c r="BA9" t="e">
        <f>#REF!-";Hb!&gt;I"</f>
        <v>#REF!</v>
      </c>
      <c r="BB9" t="e">
        <f>#REF!-";Hb!&gt;J"</f>
        <v>#REF!</v>
      </c>
      <c r="BC9" t="e">
        <f>#REF!-";Hb!&gt;K"</f>
        <v>#REF!</v>
      </c>
      <c r="BD9" t="e">
        <f>#REF!-";Hb!&gt;L"</f>
        <v>#REF!</v>
      </c>
      <c r="BE9" t="e">
        <f>#REF!-";Hb!&gt;M"</f>
        <v>#REF!</v>
      </c>
      <c r="BF9" t="e">
        <f>#REF!-";Hb!&gt;N"</f>
        <v>#REF!</v>
      </c>
      <c r="BG9" t="e">
        <f>#REF!-";Hb!&gt;O"</f>
        <v>#REF!</v>
      </c>
      <c r="BH9" t="e">
        <f>#REF!-";Hb!&gt;P"</f>
        <v>#REF!</v>
      </c>
      <c r="BI9" t="e">
        <f>#REF!-";Hb!&gt;Q"</f>
        <v>#REF!</v>
      </c>
      <c r="BJ9" t="e">
        <f>#REF!-";Hb!&gt;R"</f>
        <v>#REF!</v>
      </c>
      <c r="BK9" t="e">
        <f>#REF!-";Hb!&gt;S"</f>
        <v>#REF!</v>
      </c>
      <c r="BL9" t="e">
        <f>#REF!-";Hb!&gt;T"</f>
        <v>#REF!</v>
      </c>
      <c r="BM9" t="e">
        <f>#REF!-";Hb!&gt;U"</f>
        <v>#REF!</v>
      </c>
      <c r="BN9" t="e">
        <f>#REF!-";Hb!&gt;V"</f>
        <v>#REF!</v>
      </c>
      <c r="BO9" t="e">
        <f>#REF!-";Hb!&gt;W"</f>
        <v>#REF!</v>
      </c>
      <c r="BP9" t="e">
        <f>#REF!-";Hb!&gt;X"</f>
        <v>#REF!</v>
      </c>
      <c r="BQ9" t="e">
        <f>#REF!-";Hb!&gt;Y"</f>
        <v>#REF!</v>
      </c>
      <c r="BR9" t="e">
        <f>#REF!-";Hb!&gt;Z"</f>
        <v>#REF!</v>
      </c>
      <c r="BS9" t="e">
        <f>#REF!-";Hb!&gt;["</f>
        <v>#REF!</v>
      </c>
      <c r="BT9" t="e">
        <f>#REF!-";Hb!&gt;\"</f>
        <v>#REF!</v>
      </c>
      <c r="BU9" t="e">
        <f>#REF!-";Hb!&gt;]"</f>
        <v>#REF!</v>
      </c>
      <c r="BV9" t="e">
        <f>#REF!-";Hb!&gt;^"</f>
        <v>#REF!</v>
      </c>
      <c r="BW9" t="e">
        <f>#REF!-";Hb!&gt;_"</f>
        <v>#REF!</v>
      </c>
      <c r="BX9" t="e">
        <f>#REF!-";Hb!&gt;`"</f>
        <v>#REF!</v>
      </c>
      <c r="BY9" t="e">
        <f>#REF!-";Hb!&gt;a"</f>
        <v>#REF!</v>
      </c>
      <c r="BZ9" t="e">
        <f>#REF!-";Hb!&gt;b"</f>
        <v>#REF!</v>
      </c>
      <c r="CA9" t="e">
        <f>#REF!-";Hb!&gt;c"</f>
        <v>#REF!</v>
      </c>
      <c r="CB9" t="e">
        <f>#REF!-";Hb!&gt;d"</f>
        <v>#REF!</v>
      </c>
      <c r="CC9" t="e">
        <f>#REF!-";Hb!&gt;e"</f>
        <v>#REF!</v>
      </c>
      <c r="CD9" t="e">
        <f>#REF!-";Hb!&gt;f"</f>
        <v>#REF!</v>
      </c>
      <c r="CE9" t="e">
        <f>#REF!-";Hb!&gt;g"</f>
        <v>#REF!</v>
      </c>
      <c r="CF9" t="e">
        <f>#REF!-";Hb!&gt;h"</f>
        <v>#REF!</v>
      </c>
      <c r="CG9" t="e">
        <f>#REF!-";Hb!&gt;i"</f>
        <v>#REF!</v>
      </c>
      <c r="CH9" t="e">
        <f>#REF!-";Hb!&gt;j"</f>
        <v>#REF!</v>
      </c>
      <c r="CI9" t="e">
        <f>#REF!-";Hb!&gt;k"</f>
        <v>#REF!</v>
      </c>
      <c r="CJ9" t="e">
        <f>#REF!-";Hb!&gt;l"</f>
        <v>#REF!</v>
      </c>
      <c r="CK9" t="e">
        <f>#REF!-";Hb!&gt;m"</f>
        <v>#REF!</v>
      </c>
      <c r="CL9" t="e">
        <f>#REF!-";Hb!&gt;n"</f>
        <v>#REF!</v>
      </c>
      <c r="CM9" t="e">
        <f>#REF!-";Hb!&gt;o"</f>
        <v>#REF!</v>
      </c>
      <c r="CN9" t="e">
        <f>#REF!-";Hb!&gt;p"</f>
        <v>#REF!</v>
      </c>
      <c r="CO9" t="e">
        <f>#REF!-";Hb!&gt;q"</f>
        <v>#REF!</v>
      </c>
      <c r="CP9" t="e">
        <f>#REF!-";Hb!&gt;r"</f>
        <v>#REF!</v>
      </c>
      <c r="CQ9" t="e">
        <f>#REF!-";Hb!&gt;s"</f>
        <v>#REF!</v>
      </c>
      <c r="CR9" t="e">
        <f>#REF!-";Hb!&gt;t"</f>
        <v>#REF!</v>
      </c>
      <c r="CS9" t="e">
        <f>#REF!-";Hb!&gt;u"</f>
        <v>#REF!</v>
      </c>
      <c r="CT9" t="e">
        <f>#REF!-";Hb!&gt;v"</f>
        <v>#REF!</v>
      </c>
      <c r="CU9" t="e">
        <f>#REF!-";Hb!&gt;w"</f>
        <v>#REF!</v>
      </c>
      <c r="CV9" t="e">
        <f>#REF!-";Hb!&gt;x"</f>
        <v>#REF!</v>
      </c>
      <c r="CW9" t="e">
        <f>#REF!-";Hb!&gt;y"</f>
        <v>#REF!</v>
      </c>
      <c r="CX9" t="e">
        <f>#REF!-";Hb!&gt;z"</f>
        <v>#REF!</v>
      </c>
      <c r="CY9" t="e">
        <f>#REF!-";Hb!&gt;{"</f>
        <v>#REF!</v>
      </c>
      <c r="CZ9" t="e">
        <f>#REF!-";Hb!&gt;|"</f>
        <v>#REF!</v>
      </c>
      <c r="DA9" t="e">
        <f>#REF!-";Hb!&gt;}"</f>
        <v>#REF!</v>
      </c>
      <c r="DB9" t="e">
        <f>#REF!-";Hb!&gt;~"</f>
        <v>#REF!</v>
      </c>
      <c r="DC9" t="e">
        <f>#REF!-";Hb!?#"</f>
        <v>#REF!</v>
      </c>
      <c r="DD9" t="e">
        <f>#REF!-";Hb!?$"</f>
        <v>#REF!</v>
      </c>
      <c r="DE9" t="e">
        <f>#REF!-";Hb!?%"</f>
        <v>#REF!</v>
      </c>
      <c r="DF9" t="e">
        <f>#REF!-";Hb!?&amp;"</f>
        <v>#REF!</v>
      </c>
      <c r="DG9" t="e">
        <f>#REF!-";Hb!?'"</f>
        <v>#REF!</v>
      </c>
      <c r="DH9" t="e">
        <f>#REF!-";Hb!?("</f>
        <v>#REF!</v>
      </c>
      <c r="DI9" t="e">
        <f>#REF!-";Hb!?)"</f>
        <v>#REF!</v>
      </c>
      <c r="DJ9" t="e">
        <f>#REF!-";Hb!?."</f>
        <v>#REF!</v>
      </c>
      <c r="DK9" t="e">
        <f>#REF!-";Hb!?/"</f>
        <v>#REF!</v>
      </c>
      <c r="DL9" t="e">
        <f>#REF!-";Hb!?0"</f>
        <v>#REF!</v>
      </c>
      <c r="DM9" t="e">
        <f>#REF!-";Hb!?1"</f>
        <v>#REF!</v>
      </c>
      <c r="DN9" t="e">
        <f>#REF!-";Hb!?2"</f>
        <v>#REF!</v>
      </c>
      <c r="DO9" t="e">
        <f>#REF!-";Hb!?3"</f>
        <v>#REF!</v>
      </c>
      <c r="DP9" t="e">
        <f>#REF!-";Hb!?4"</f>
        <v>#REF!</v>
      </c>
      <c r="DQ9" t="e">
        <f>#REF!-";Hb!?5"</f>
        <v>#REF!</v>
      </c>
      <c r="DR9" t="e">
        <f>#REF!-";Hb!?6"</f>
        <v>#REF!</v>
      </c>
      <c r="DS9" t="e">
        <f>#REF!-";Hb!?7"</f>
        <v>#REF!</v>
      </c>
      <c r="DT9" t="e">
        <f>#REF!-";Hb!?8"</f>
        <v>#REF!</v>
      </c>
      <c r="DU9" t="e">
        <f>#REF!-";Hb!?9"</f>
        <v>#REF!</v>
      </c>
      <c r="DV9" t="e">
        <f>#REF!-";Hb!?:"</f>
        <v>#REF!</v>
      </c>
      <c r="DW9" t="e">
        <f>#REF!-";Hb!?;"</f>
        <v>#REF!</v>
      </c>
      <c r="DX9" t="e">
        <f>#REF!-";Hb!?&lt;"</f>
        <v>#REF!</v>
      </c>
      <c r="DY9" t="e">
        <f>#REF!-";Hb!?="</f>
        <v>#REF!</v>
      </c>
      <c r="DZ9" t="e">
        <f>#REF!-";Hb!?&gt;"</f>
        <v>#REF!</v>
      </c>
      <c r="EA9" t="e">
        <f>#REF!-";Hb!??"</f>
        <v>#REF!</v>
      </c>
      <c r="EB9" t="e">
        <f>#REF!-";Hb!?@"</f>
        <v>#REF!</v>
      </c>
      <c r="EC9" t="e">
        <f>#REF!-";Hb!?A"</f>
        <v>#REF!</v>
      </c>
      <c r="ED9" t="e">
        <f>#REF!-";Hb!?B"</f>
        <v>#REF!</v>
      </c>
      <c r="EE9" t="e">
        <f>#REF!-";Hb!?C"</f>
        <v>#REF!</v>
      </c>
      <c r="EF9" t="e">
        <f>#REF!-";Hb!?D"</f>
        <v>#REF!</v>
      </c>
      <c r="EG9" t="e">
        <f>#REF!-";Hb!?E"</f>
        <v>#REF!</v>
      </c>
      <c r="EH9" t="e">
        <f>#REF!-";Hb!?F"</f>
        <v>#REF!</v>
      </c>
      <c r="EI9" t="e">
        <f>#REF!-";Hb!?G"</f>
        <v>#REF!</v>
      </c>
      <c r="EJ9" t="e">
        <f>#REF!-";Hb!?H"</f>
        <v>#REF!</v>
      </c>
      <c r="EK9" t="e">
        <f>#REF!-";Hb!?I"</f>
        <v>#REF!</v>
      </c>
      <c r="EL9" t="e">
        <f>#REF!-";Hb!?J"</f>
        <v>#REF!</v>
      </c>
      <c r="EM9" t="e">
        <f>#REF!-";Hb!?K"</f>
        <v>#REF!</v>
      </c>
      <c r="EN9" t="e">
        <f>#REF!-";Hb!?L"</f>
        <v>#REF!</v>
      </c>
      <c r="EO9" t="e">
        <f>#REF!-";Hb!?M"</f>
        <v>#REF!</v>
      </c>
      <c r="EP9" t="e">
        <f>#REF!-";Hb!?N"</f>
        <v>#REF!</v>
      </c>
      <c r="EQ9" t="e">
        <f>#REF!-";Hb!?O"</f>
        <v>#REF!</v>
      </c>
      <c r="ER9" t="e">
        <f>#REF!-";Hb!?P"</f>
        <v>#REF!</v>
      </c>
      <c r="ES9" t="e">
        <f>#REF!-";Hb!?Q"</f>
        <v>#REF!</v>
      </c>
      <c r="ET9" t="e">
        <f>#REF!-";Hb!?R"</f>
        <v>#REF!</v>
      </c>
      <c r="EU9" t="e">
        <f>#REF!-";Hb!?S"</f>
        <v>#REF!</v>
      </c>
      <c r="EV9" t="e">
        <f>#REF!-";Hb!?T"</f>
        <v>#REF!</v>
      </c>
      <c r="EW9" t="e">
        <f>#REF!-";Hb!?U"</f>
        <v>#REF!</v>
      </c>
      <c r="EX9" t="e">
        <f>#REF!-";Hb!?V"</f>
        <v>#REF!</v>
      </c>
      <c r="EY9" t="e">
        <f>#REF!-";Hb!?W"</f>
        <v>#REF!</v>
      </c>
      <c r="EZ9" t="e">
        <f>#REF!-";Hb!?X"</f>
        <v>#REF!</v>
      </c>
      <c r="FA9" t="e">
        <f>#REF!-";Hb!?Y"</f>
        <v>#REF!</v>
      </c>
      <c r="FB9" t="e">
        <f>#REF!-";Hb!?Z"</f>
        <v>#REF!</v>
      </c>
      <c r="FC9" t="e">
        <f>#REF!-";Hb!?["</f>
        <v>#REF!</v>
      </c>
      <c r="FD9" t="e">
        <f>#REF!-";Hb!?\"</f>
        <v>#REF!</v>
      </c>
      <c r="FE9" t="e">
        <f>#REF!-";Hb!?]"</f>
        <v>#REF!</v>
      </c>
      <c r="FF9" t="e">
        <f>#REF!-";Hb!?^"</f>
        <v>#REF!</v>
      </c>
      <c r="FG9" t="e">
        <f>#REF!-";Hb!?_"</f>
        <v>#REF!</v>
      </c>
      <c r="FH9" t="e">
        <f>#REF!-";Hb!?`"</f>
        <v>#REF!</v>
      </c>
      <c r="FI9" t="e">
        <f>#REF!-";Hb!?a"</f>
        <v>#REF!</v>
      </c>
      <c r="FJ9" t="e">
        <f>#REF!-";Hb!?b"</f>
        <v>#REF!</v>
      </c>
      <c r="FK9" t="e">
        <f>#REF!-";Hb!?c"</f>
        <v>#REF!</v>
      </c>
      <c r="FL9" t="e">
        <f>#REF!-";Hb!?d"</f>
        <v>#REF!</v>
      </c>
      <c r="FM9" t="e">
        <f>#REF!-";Hb!?e"</f>
        <v>#REF!</v>
      </c>
      <c r="FN9" t="e">
        <f>#REF!-";Hb!?f"</f>
        <v>#REF!</v>
      </c>
      <c r="FO9" t="e">
        <f>#REF!-";Hb!?g"</f>
        <v>#REF!</v>
      </c>
      <c r="FP9" t="e">
        <f>#REF!-";Hb!?h"</f>
        <v>#REF!</v>
      </c>
      <c r="FQ9" t="e">
        <f>#REF!-";Hb!?i"</f>
        <v>#REF!</v>
      </c>
      <c r="FR9" t="e">
        <f>#REF!-";Hb!?j"</f>
        <v>#REF!</v>
      </c>
      <c r="FS9" t="e">
        <f>#REF!-";Hb!?k"</f>
        <v>#REF!</v>
      </c>
      <c r="FT9" t="e">
        <f>#REF!-";Hb!?l"</f>
        <v>#REF!</v>
      </c>
      <c r="FU9" t="e">
        <f>#REF!-";Hb!?m"</f>
        <v>#REF!</v>
      </c>
      <c r="FV9" t="e">
        <f>#REF!-";Hb!?n"</f>
        <v>#REF!</v>
      </c>
      <c r="FW9" t="e">
        <f>#REF!-";Hb!?o"</f>
        <v>#REF!</v>
      </c>
      <c r="FX9" t="e">
        <f>#REF!-";Hb!?p"</f>
        <v>#REF!</v>
      </c>
      <c r="FY9" t="e">
        <f>#REF!-";Hb!?q"</f>
        <v>#REF!</v>
      </c>
      <c r="FZ9" t="e">
        <f>#REF!-";Hb!?r"</f>
        <v>#REF!</v>
      </c>
      <c r="GA9" t="e">
        <f>#REF!-";Hb!?s"</f>
        <v>#REF!</v>
      </c>
      <c r="GB9" t="e">
        <f>#REF!-";Hb!?t"</f>
        <v>#REF!</v>
      </c>
      <c r="GC9" t="e">
        <f>#REF!-";Hb!?u"</f>
        <v>#REF!</v>
      </c>
      <c r="GD9" t="e">
        <f>#REF!-";Hb!?v"</f>
        <v>#REF!</v>
      </c>
      <c r="GE9" t="e">
        <f>#REF!-";Hb!?w"</f>
        <v>#REF!</v>
      </c>
      <c r="GF9" t="e">
        <f>#REF!-";Hb!?x"</f>
        <v>#REF!</v>
      </c>
      <c r="GG9" t="e">
        <f>#REF!-";Hb!?y"</f>
        <v>#REF!</v>
      </c>
      <c r="GH9" t="e">
        <f>#REF!-";Hb!?z"</f>
        <v>#REF!</v>
      </c>
      <c r="GI9" t="e">
        <f>#REF!-";Hb!?{"</f>
        <v>#REF!</v>
      </c>
      <c r="GJ9" t="e">
        <f>#REF!-";Hb!?|"</f>
        <v>#REF!</v>
      </c>
      <c r="GK9" t="e">
        <f>#REF!-";Hb!?}"</f>
        <v>#REF!</v>
      </c>
      <c r="GL9" t="e">
        <f>#REF!-";Hb!?~"</f>
        <v>#REF!</v>
      </c>
      <c r="GM9" t="e">
        <f>#REF!-";Hb!@#"</f>
        <v>#REF!</v>
      </c>
      <c r="GN9" t="e">
        <f>#REF!-";Hb!@$"</f>
        <v>#REF!</v>
      </c>
      <c r="GO9" t="e">
        <f>#REF!-";Hb!@%"</f>
        <v>#REF!</v>
      </c>
      <c r="GP9" t="e">
        <f>#REF!-";Hb!@&amp;"</f>
        <v>#REF!</v>
      </c>
      <c r="GQ9" t="e">
        <f>#REF!-";Hb!@'"</f>
        <v>#REF!</v>
      </c>
      <c r="GR9" t="e">
        <f>#REF!-";Hb!@("</f>
        <v>#REF!</v>
      </c>
      <c r="GS9" t="e">
        <f>#REF!-";Hb!@)"</f>
        <v>#REF!</v>
      </c>
      <c r="GT9" t="e">
        <f>#REF!-";Hb!@."</f>
        <v>#REF!</v>
      </c>
      <c r="GU9" t="e">
        <f>#REF!-";Hb!@/"</f>
        <v>#REF!</v>
      </c>
      <c r="GV9" t="e">
        <f>#REF!-";Hb!@0"</f>
        <v>#REF!</v>
      </c>
      <c r="GW9" t="e">
        <f>#REF!-";Hb!@1"</f>
        <v>#REF!</v>
      </c>
      <c r="GX9" t="e">
        <f>#REF!-";Hb!@2"</f>
        <v>#REF!</v>
      </c>
      <c r="GY9" t="e">
        <f>#REF!-";Hb!@3"</f>
        <v>#REF!</v>
      </c>
      <c r="GZ9" t="e">
        <f>#REF!-";Hb!@4"</f>
        <v>#REF!</v>
      </c>
      <c r="HA9" t="e">
        <f>#REF!-";Hb!@5"</f>
        <v>#REF!</v>
      </c>
      <c r="HB9" t="e">
        <f>#REF!-";Hb!@6"</f>
        <v>#REF!</v>
      </c>
      <c r="HC9" t="e">
        <f>#REF!-";Hb!@7"</f>
        <v>#REF!</v>
      </c>
      <c r="HD9" t="e">
        <f>#REF!-";Hb!@8"</f>
        <v>#REF!</v>
      </c>
      <c r="HE9" t="e">
        <f>#REF!-";Hb!@9"</f>
        <v>#REF!</v>
      </c>
      <c r="HF9" t="e">
        <f>#REF!-";Hb!@:"</f>
        <v>#REF!</v>
      </c>
      <c r="HG9" t="e">
        <f>#REF!-";Hb!@;"</f>
        <v>#REF!</v>
      </c>
      <c r="HH9" t="e">
        <f>#REF!-";Hb!@&lt;"</f>
        <v>#REF!</v>
      </c>
      <c r="HI9" t="e">
        <f>#REF!-";Hb!@="</f>
        <v>#REF!</v>
      </c>
      <c r="HJ9" t="e">
        <f>#REF!-";Hb!@&gt;"</f>
        <v>#REF!</v>
      </c>
      <c r="HK9" t="e">
        <f>#REF!-";Hb!@?"</f>
        <v>#REF!</v>
      </c>
      <c r="HL9" t="e">
        <f>#REF!-";Hb!@@"</f>
        <v>#REF!</v>
      </c>
      <c r="HM9" t="e">
        <f>#REF!-";Hb!@A"</f>
        <v>#REF!</v>
      </c>
      <c r="HN9" t="e">
        <f>#REF!-";Hb!@B"</f>
        <v>#REF!</v>
      </c>
      <c r="HO9" t="e">
        <f>#REF!-";Hb!@C"</f>
        <v>#REF!</v>
      </c>
      <c r="HP9" t="e">
        <f>#REF!-";Hb!@D"</f>
        <v>#REF!</v>
      </c>
      <c r="HQ9" t="e">
        <f>#REF!-";Hb!@E"</f>
        <v>#REF!</v>
      </c>
      <c r="HR9" t="e">
        <f>#REF!-";Hb!@F"</f>
        <v>#REF!</v>
      </c>
      <c r="HS9" t="e">
        <f>#REF!-";Hb!@G"</f>
        <v>#REF!</v>
      </c>
      <c r="HT9" t="e">
        <f>#REF!-";Hb!@H"</f>
        <v>#REF!</v>
      </c>
      <c r="HU9" t="e">
        <f>#REF!-";Hb!@I"</f>
        <v>#REF!</v>
      </c>
      <c r="HV9" t="e">
        <f>#REF!-";Hb!@J"</f>
        <v>#REF!</v>
      </c>
      <c r="HW9" t="e">
        <f>#REF!-";Hb!@K"</f>
        <v>#REF!</v>
      </c>
      <c r="HX9" t="e">
        <f>#REF!-";Hb!@L"</f>
        <v>#REF!</v>
      </c>
      <c r="HY9" t="e">
        <f>#REF!-";Hb!@M"</f>
        <v>#REF!</v>
      </c>
      <c r="HZ9" t="e">
        <f>#REF!-";Hb!@N"</f>
        <v>#REF!</v>
      </c>
      <c r="IA9" t="e">
        <f>#REF!-";Hb!@O"</f>
        <v>#REF!</v>
      </c>
      <c r="IB9" t="e">
        <f>#REF!-";Hb!@P"</f>
        <v>#REF!</v>
      </c>
      <c r="IC9" t="e">
        <f>#REF!-";Hb!@Q"</f>
        <v>#REF!</v>
      </c>
      <c r="ID9" t="e">
        <f>#REF!-";Hb!@R"</f>
        <v>#REF!</v>
      </c>
      <c r="IE9" t="e">
        <f>#REF!-";Hb!@S"</f>
        <v>#REF!</v>
      </c>
      <c r="IF9" t="e">
        <f>#REF!-";Hb!@T"</f>
        <v>#REF!</v>
      </c>
      <c r="IG9" t="e">
        <f>#REF!-";Hb!@U"</f>
        <v>#REF!</v>
      </c>
      <c r="IH9" t="e">
        <f>#REF!-";Hb!@V"</f>
        <v>#REF!</v>
      </c>
      <c r="II9" t="e">
        <f>#REF!-";Hb!@W"</f>
        <v>#REF!</v>
      </c>
      <c r="IJ9" t="e">
        <f>#REF!-";Hb!@X"</f>
        <v>#REF!</v>
      </c>
      <c r="IK9" t="e">
        <f>#REF!-";Hb!@Y"</f>
        <v>#REF!</v>
      </c>
      <c r="IL9" t="e">
        <f>#REF!-";Hb!@Z"</f>
        <v>#REF!</v>
      </c>
      <c r="IM9" t="e">
        <f>#REF!-";Hb!@["</f>
        <v>#REF!</v>
      </c>
      <c r="IN9" t="e">
        <f>#REF!-";Hb!@\"</f>
        <v>#REF!</v>
      </c>
      <c r="IO9" t="e">
        <f>#REF!-";Hb!@]"</f>
        <v>#REF!</v>
      </c>
      <c r="IP9" t="e">
        <f>#REF!-";Hb!@^"</f>
        <v>#REF!</v>
      </c>
      <c r="IQ9" t="e">
        <f>#REF!-";Hb!@_"</f>
        <v>#REF!</v>
      </c>
      <c r="IR9" t="e">
        <f>#REF!-";Hb!@`"</f>
        <v>#REF!</v>
      </c>
      <c r="IS9" t="e">
        <f>#REF!-";Hb!@a"</f>
        <v>#REF!</v>
      </c>
      <c r="IT9" t="e">
        <f>#REF!-";Hb!@b"</f>
        <v>#REF!</v>
      </c>
      <c r="IU9" t="e">
        <f>#REF!-";Hb!@c"</f>
        <v>#REF!</v>
      </c>
      <c r="IV9" t="e">
        <f>#REF!-";Hb!@d"</f>
        <v>#REF!</v>
      </c>
    </row>
    <row r="10" spans="1:256" x14ac:dyDescent="0.25">
      <c r="F10" t="e">
        <f>#REF!-";Hb!@e"</f>
        <v>#REF!</v>
      </c>
      <c r="G10" t="e">
        <f>#REF!-";Hb!@f"</f>
        <v>#REF!</v>
      </c>
      <c r="H10" t="e">
        <f>#REF!-";Hb!@g"</f>
        <v>#REF!</v>
      </c>
      <c r="I10" t="e">
        <f>#REF!-";Hb!@h"</f>
        <v>#REF!</v>
      </c>
      <c r="J10" t="e">
        <f>#REF!-";Hb!@i"</f>
        <v>#REF!</v>
      </c>
      <c r="K10" t="e">
        <f>#REF!-";Hb!@j"</f>
        <v>#REF!</v>
      </c>
      <c r="L10" t="e">
        <f>#REF!-";Hb!@k"</f>
        <v>#REF!</v>
      </c>
      <c r="M10" t="e">
        <f>#REF!-";Hb!@l"</f>
        <v>#REF!</v>
      </c>
      <c r="N10" t="e">
        <f>#REF!-";Hb!@m"</f>
        <v>#REF!</v>
      </c>
      <c r="O10" t="e">
        <f>#REF!-";Hb!@n"</f>
        <v>#REF!</v>
      </c>
      <c r="P10" t="e">
        <f>#REF!-";Hb!@o"</f>
        <v>#REF!</v>
      </c>
      <c r="Q10" t="e">
        <f>#REF!-";Hb!@p"</f>
        <v>#REF!</v>
      </c>
      <c r="R10" t="e">
        <f>#REF!-";Hb!@q"</f>
        <v>#REF!</v>
      </c>
      <c r="S10" t="e">
        <f>#REF!-";Hb!@r"</f>
        <v>#REF!</v>
      </c>
      <c r="T10" t="e">
        <f>#REF!-";Hb!@s"</f>
        <v>#REF!</v>
      </c>
      <c r="U10" t="e">
        <f>#REF!-";Hb!@t"</f>
        <v>#REF!</v>
      </c>
      <c r="V10" t="e">
        <f>#REF!-";Hb!@u"</f>
        <v>#REF!</v>
      </c>
      <c r="W10" t="e">
        <f>#REF!-";Hb!@v"</f>
        <v>#REF!</v>
      </c>
      <c r="X10" t="e">
        <f>#REF!-";Hb!@w"</f>
        <v>#REF!</v>
      </c>
      <c r="Y10" t="e">
        <f>#REF!-";Hb!@x"</f>
        <v>#REF!</v>
      </c>
      <c r="Z10" t="e">
        <f>#REF!-";Hb!@y"</f>
        <v>#REF!</v>
      </c>
      <c r="AA10" t="e">
        <f>#REF!-";Hb!@z"</f>
        <v>#REF!</v>
      </c>
      <c r="AB10" t="e">
        <f>#REF!-";Hb!@{"</f>
        <v>#REF!</v>
      </c>
      <c r="AC10" t="e">
        <f>#REF!-";Hb!@|"</f>
        <v>#REF!</v>
      </c>
      <c r="AD10" t="e">
        <f>#REF!-";Hb!@}"</f>
        <v>#REF!</v>
      </c>
      <c r="AE10" t="e">
        <f>#REF!-";Hb!@~"</f>
        <v>#REF!</v>
      </c>
      <c r="AF10" t="e">
        <f>#REF!-";Hb!A#"</f>
        <v>#REF!</v>
      </c>
      <c r="AG10" t="e">
        <f>#REF!-";Hb!A$"</f>
        <v>#REF!</v>
      </c>
      <c r="AH10" t="e">
        <f>#REF!-";Hb!A%"</f>
        <v>#REF!</v>
      </c>
      <c r="AI10" t="e">
        <f>#REF!-";Hb!A&amp;"</f>
        <v>#REF!</v>
      </c>
      <c r="AJ10" t="e">
        <f>#REF!-";Hb!A'"</f>
        <v>#REF!</v>
      </c>
      <c r="AK10" t="e">
        <f>#REF!-";Hb!A("</f>
        <v>#REF!</v>
      </c>
      <c r="AL10" t="e">
        <f>#REF!-";Hb!A)"</f>
        <v>#REF!</v>
      </c>
      <c r="AM10" t="e">
        <f>#REF!-";Hb!A."</f>
        <v>#REF!</v>
      </c>
      <c r="AN10" t="e">
        <f>#REF!-";Hb!A/"</f>
        <v>#REF!</v>
      </c>
      <c r="AO10" t="e">
        <f>#REF!-";Hb!A0"</f>
        <v>#REF!</v>
      </c>
      <c r="AP10" t="e">
        <f>#REF!-";Hb!A1"</f>
        <v>#REF!</v>
      </c>
      <c r="AQ10" t="e">
        <f>#REF!-";Hb!A2"</f>
        <v>#REF!</v>
      </c>
      <c r="AR10" t="e">
        <f>#REF!-";Hb!A3"</f>
        <v>#REF!</v>
      </c>
      <c r="AS10" t="e">
        <f>#REF!-";Hb!A4"</f>
        <v>#REF!</v>
      </c>
      <c r="AT10" t="e">
        <f>#REF!-";Hb!A5"</f>
        <v>#REF!</v>
      </c>
      <c r="AU10" t="e">
        <f>#REF!-";Hb!A6"</f>
        <v>#REF!</v>
      </c>
      <c r="AV10" t="e">
        <f>#REF!-";Hb!A7"</f>
        <v>#REF!</v>
      </c>
      <c r="AW10" t="e">
        <f>#REF!-";Hb!A8"</f>
        <v>#REF!</v>
      </c>
      <c r="AX10" t="e">
        <f>#REF!-";Hb!A9"</f>
        <v>#REF!</v>
      </c>
      <c r="AY10" t="e">
        <f>#REF!-";Hb!A:"</f>
        <v>#REF!</v>
      </c>
      <c r="AZ10" t="e">
        <f>#REF!-";Hb!A;"</f>
        <v>#REF!</v>
      </c>
      <c r="BA10" t="e">
        <f>#REF!-";Hb!A&lt;"</f>
        <v>#REF!</v>
      </c>
      <c r="BB10" t="e">
        <f>#REF!-";Hb!A="</f>
        <v>#REF!</v>
      </c>
      <c r="BC10" t="e">
        <f>#REF!-";Hb!A&gt;"</f>
        <v>#REF!</v>
      </c>
      <c r="BD10" t="e">
        <f>#REF!-";Hb!A?"</f>
        <v>#REF!</v>
      </c>
      <c r="BE10" t="e">
        <f>#REF!-";Hb!A@"</f>
        <v>#REF!</v>
      </c>
      <c r="BF10" t="e">
        <f>#REF!-";Hb!AA"</f>
        <v>#REF!</v>
      </c>
      <c r="BG10" t="e">
        <f>#REF!-";Hb!AB"</f>
        <v>#REF!</v>
      </c>
      <c r="BH10" t="e">
        <f>#REF!-";Hb!AC"</f>
        <v>#REF!</v>
      </c>
      <c r="BI10" t="e">
        <f>#REF!-";Hb!AD"</f>
        <v>#REF!</v>
      </c>
      <c r="BJ10" t="e">
        <f>#REF!-";Hb!AE"</f>
        <v>#REF!</v>
      </c>
      <c r="BK10" t="e">
        <f>#REF!-";Hb!AF"</f>
        <v>#REF!</v>
      </c>
      <c r="BL10" t="e">
        <f>#REF!-";Hb!AG"</f>
        <v>#REF!</v>
      </c>
      <c r="BM10" t="e">
        <f>#REF!-";Hb!AH"</f>
        <v>#REF!</v>
      </c>
      <c r="BN10" t="e">
        <f>#REF!-";Hb!AI"</f>
        <v>#REF!</v>
      </c>
      <c r="BO10" t="e">
        <f>#REF!-";Hb!AJ"</f>
        <v>#REF!</v>
      </c>
      <c r="BP10" t="e">
        <f>#REF!-";Hb!AK"</f>
        <v>#REF!</v>
      </c>
      <c r="BQ10" t="e">
        <f>#REF!-";Hb!AL"</f>
        <v>#REF!</v>
      </c>
      <c r="BR10" t="e">
        <f>#REF!-";Hb!AM"</f>
        <v>#REF!</v>
      </c>
      <c r="BS10" t="e">
        <f>#REF!-";Hb!AN"</f>
        <v>#REF!</v>
      </c>
      <c r="BT10" t="e">
        <f>#REF!-";Hb!AO"</f>
        <v>#REF!</v>
      </c>
      <c r="BU10" t="e">
        <f>#REF!-";Hb!AP"</f>
        <v>#REF!</v>
      </c>
      <c r="BV10" t="e">
        <f>#REF!-";Hb!AQ"</f>
        <v>#REF!</v>
      </c>
      <c r="BW10" t="e">
        <f>#REF!-";Hb!AR"</f>
        <v>#REF!</v>
      </c>
      <c r="BX10" t="e">
        <f>#REF!-";Hb!AS"</f>
        <v>#REF!</v>
      </c>
      <c r="BY10" t="e">
        <f>#REF!-";Hb!AT"</f>
        <v>#REF!</v>
      </c>
      <c r="BZ10" t="e">
        <f>#REF!-";Hb!AU"</f>
        <v>#REF!</v>
      </c>
      <c r="CA10" t="e">
        <f>#REF!-";Hb!AV"</f>
        <v>#REF!</v>
      </c>
      <c r="CB10" t="e">
        <f>#REF!-";Hb!AW"</f>
        <v>#REF!</v>
      </c>
      <c r="CC10" t="e">
        <f>#REF!-";Hb!AX"</f>
        <v>#REF!</v>
      </c>
      <c r="CD10" t="e">
        <f>#REF!-";Hb!AY"</f>
        <v>#REF!</v>
      </c>
      <c r="CE10" t="e">
        <f>#REF!-";Hb!AZ"</f>
        <v>#REF!</v>
      </c>
      <c r="CF10" t="e">
        <f>#REF!-";Hb!A["</f>
        <v>#REF!</v>
      </c>
      <c r="CG10" t="e">
        <f>#REF!-";Hb!A\"</f>
        <v>#REF!</v>
      </c>
      <c r="CH10" t="e">
        <f>#REF!-";Hb!A]"</f>
        <v>#REF!</v>
      </c>
      <c r="CI10" t="e">
        <f>#REF!-";Hb!A^"</f>
        <v>#REF!</v>
      </c>
      <c r="CJ10" t="e">
        <f>#REF!-";Hb!A_"</f>
        <v>#REF!</v>
      </c>
      <c r="CK10" t="e">
        <f>#REF!-";Hb!A`"</f>
        <v>#REF!</v>
      </c>
      <c r="CL10" t="e">
        <f>#REF!-";Hb!Aa"</f>
        <v>#REF!</v>
      </c>
      <c r="CM10" t="e">
        <f>#REF!-";Hb!Ab"</f>
        <v>#REF!</v>
      </c>
      <c r="CN10" t="e">
        <f>#REF!-";Hb!Ac"</f>
        <v>#REF!</v>
      </c>
      <c r="CO10" t="e">
        <f>#REF!-";Hb!Ad"</f>
        <v>#REF!</v>
      </c>
      <c r="CP10" t="e">
        <f>#REF!-";Hb!Ae"</f>
        <v>#REF!</v>
      </c>
      <c r="CQ10" t="e">
        <f>#REF!-";Hb!Af"</f>
        <v>#REF!</v>
      </c>
      <c r="CR10" t="e">
        <f>#REF!-";Hb!Ag"</f>
        <v>#REF!</v>
      </c>
      <c r="CS10" t="e">
        <f>#REF!-";Hb!Ah"</f>
        <v>#REF!</v>
      </c>
      <c r="CT10" t="e">
        <f>#REF!-";Hb!Ai"</f>
        <v>#REF!</v>
      </c>
      <c r="CU10" t="e">
        <f>#REF!-";Hb!Aj"</f>
        <v>#REF!</v>
      </c>
      <c r="CV10" t="e">
        <f>#REF!-";Hb!Ak"</f>
        <v>#REF!</v>
      </c>
      <c r="CW10" t="e">
        <f>#REF!-";Hb!Al"</f>
        <v>#REF!</v>
      </c>
      <c r="CX10" t="e">
        <f>#REF!-";Hb!Am"</f>
        <v>#REF!</v>
      </c>
      <c r="CY10" t="e">
        <f>#REF!-";Hb!An"</f>
        <v>#REF!</v>
      </c>
      <c r="CZ10" t="e">
        <f>#REF!-";Hb!Ao"</f>
        <v>#REF!</v>
      </c>
      <c r="DA10" t="e">
        <f>#REF!-";Hb!Ap"</f>
        <v>#REF!</v>
      </c>
      <c r="DB10" t="e">
        <f>#REF!-";Hb!Aq"</f>
        <v>#REF!</v>
      </c>
      <c r="DC10" t="e">
        <f>#REF!-";Hb!Ar"</f>
        <v>#REF!</v>
      </c>
      <c r="DD10" t="e">
        <f>#REF!-";Hb!As"</f>
        <v>#REF!</v>
      </c>
      <c r="DE10" t="e">
        <f>#REF!-";Hb!At"</f>
        <v>#REF!</v>
      </c>
      <c r="DF10" t="e">
        <f>#REF!-";Hb!Au"</f>
        <v>#REF!</v>
      </c>
      <c r="DG10" t="e">
        <f>#REF!-";Hb!Av"</f>
        <v>#REF!</v>
      </c>
      <c r="DH10" t="e">
        <f>#REF!-";Hb!Aw"</f>
        <v>#REF!</v>
      </c>
      <c r="DI10" t="e">
        <f>#REF!-";Hb!Ax"</f>
        <v>#REF!</v>
      </c>
      <c r="DJ10" t="e">
        <f>#REF!-";Hb!Ay"</f>
        <v>#REF!</v>
      </c>
      <c r="DK10" t="e">
        <f>#REF!-";Hb!Az"</f>
        <v>#REF!</v>
      </c>
      <c r="DL10" t="e">
        <f>#REF!-";Hb!A{"</f>
        <v>#REF!</v>
      </c>
      <c r="DM10" t="e">
        <f>#REF!-";Hb!A|"</f>
        <v>#REF!</v>
      </c>
      <c r="DN10" t="e">
        <f>#REF!-";Hb!A}"</f>
        <v>#REF!</v>
      </c>
      <c r="DO10" t="e">
        <f>#REF!-";Hb!A~"</f>
        <v>#REF!</v>
      </c>
      <c r="DP10" t="e">
        <f>#REF!-";Hb!B#"</f>
        <v>#REF!</v>
      </c>
      <c r="DQ10" t="e">
        <f>#REF!-";Hb!B$"</f>
        <v>#REF!</v>
      </c>
      <c r="DR10" t="e">
        <f>#REF!-";Hb!B%"</f>
        <v>#REF!</v>
      </c>
      <c r="DS10" t="e">
        <f>#REF!-";Hb!B&amp;"</f>
        <v>#REF!</v>
      </c>
      <c r="DT10" t="e">
        <f>#REF!-";Hb!B'"</f>
        <v>#REF!</v>
      </c>
      <c r="DU10" t="e">
        <f>#REF!-";Hb!B("</f>
        <v>#REF!</v>
      </c>
      <c r="DV10" t="e">
        <f>#REF!-";Hb!B)"</f>
        <v>#REF!</v>
      </c>
      <c r="DW10" t="e">
        <f>#REF!-";Hb!B."</f>
        <v>#REF!</v>
      </c>
      <c r="DX10" t="e">
        <f>#REF!-";Hb!B/"</f>
        <v>#REF!</v>
      </c>
      <c r="DY10" t="e">
        <f>#REF!-";Hb!B0"</f>
        <v>#REF!</v>
      </c>
      <c r="DZ10" t="e">
        <f>#REF!-";Hb!B1"</f>
        <v>#REF!</v>
      </c>
      <c r="EA10" t="e">
        <f>#REF!-";Hb!B2"</f>
        <v>#REF!</v>
      </c>
      <c r="EB10" t="e">
        <f>#REF!-";Hb!B3"</f>
        <v>#REF!</v>
      </c>
      <c r="EC10" t="e">
        <f>#REF!-";Hb!B4"</f>
        <v>#REF!</v>
      </c>
      <c r="ED10" t="e">
        <f>#REF!-";Hb!B5"</f>
        <v>#REF!</v>
      </c>
      <c r="EE10" t="e">
        <f>#REF!-";Hb!B6"</f>
        <v>#REF!</v>
      </c>
      <c r="EF10" t="e">
        <f>#REF!-";Hb!B7"</f>
        <v>#REF!</v>
      </c>
      <c r="EG10" t="e">
        <f>#REF!-";Hb!B8"</f>
        <v>#REF!</v>
      </c>
      <c r="EH10" t="e">
        <f>#REF!-";Hb!B9"</f>
        <v>#REF!</v>
      </c>
      <c r="EI10" t="e">
        <f>#REF!-";Hb!B:"</f>
        <v>#REF!</v>
      </c>
      <c r="EJ10" t="e">
        <f>#REF!-";Hb!B;"</f>
        <v>#REF!</v>
      </c>
      <c r="EK10" t="e">
        <f>#REF!-";Hb!B&lt;"</f>
        <v>#REF!</v>
      </c>
      <c r="EL10" t="e">
        <f>#REF!-";Hb!B="</f>
        <v>#REF!</v>
      </c>
      <c r="EM10" t="e">
        <f>#REF!-";Hb!B&gt;"</f>
        <v>#REF!</v>
      </c>
      <c r="EN10" t="e">
        <f>#REF!-";Hb!B?"</f>
        <v>#REF!</v>
      </c>
      <c r="EO10" t="e">
        <f>#REF!-";Hb!B@"</f>
        <v>#REF!</v>
      </c>
      <c r="EP10" t="e">
        <f>#REF!-";Hb!BA"</f>
        <v>#REF!</v>
      </c>
      <c r="EQ10" t="e">
        <f>#REF!-";Hb!BB"</f>
        <v>#REF!</v>
      </c>
      <c r="ER10" t="e">
        <f>#REF!-";Hb!BC"</f>
        <v>#REF!</v>
      </c>
      <c r="ES10" t="e">
        <f>#REF!-";Hb!BD"</f>
        <v>#REF!</v>
      </c>
      <c r="ET10" t="e">
        <f>#REF!-";Hb!BE"</f>
        <v>#REF!</v>
      </c>
      <c r="EU10" t="e">
        <f>#REF!-";Hb!BF"</f>
        <v>#REF!</v>
      </c>
      <c r="EV10" t="e">
        <f>#REF!-";Hb!BG"</f>
        <v>#REF!</v>
      </c>
      <c r="EW10" t="e">
        <f>#REF!-";Hb!BH"</f>
        <v>#REF!</v>
      </c>
      <c r="EX10" t="e">
        <f>#REF!-";Hb!BI"</f>
        <v>#REF!</v>
      </c>
      <c r="EY10" t="e">
        <f>#REF!-";Hb!BJ"</f>
        <v>#REF!</v>
      </c>
      <c r="EZ10" t="e">
        <f>#REF!-";Hb!BK"</f>
        <v>#REF!</v>
      </c>
      <c r="FA10" t="e">
        <f>#REF!-";Hb!BL"</f>
        <v>#REF!</v>
      </c>
      <c r="FB10" t="e">
        <f>#REF!-";Hb!BM"</f>
        <v>#REF!</v>
      </c>
      <c r="FC10" t="e">
        <f>#REF!-";Hb!BN"</f>
        <v>#REF!</v>
      </c>
      <c r="FD10" t="e">
        <f>#REF!-";Hb!BO"</f>
        <v>#REF!</v>
      </c>
      <c r="FE10" t="e">
        <f>#REF!-";Hb!BP"</f>
        <v>#REF!</v>
      </c>
      <c r="FF10" t="e">
        <f>#REF!-";Hb!BQ"</f>
        <v>#REF!</v>
      </c>
      <c r="FG10" t="e">
        <f>#REF!-";Hb!BR"</f>
        <v>#REF!</v>
      </c>
      <c r="FH10" t="e">
        <f>#REF!-";Hb!BS"</f>
        <v>#REF!</v>
      </c>
      <c r="FI10" t="e">
        <f>#REF!-";Hb!BT"</f>
        <v>#REF!</v>
      </c>
      <c r="FJ10" t="e">
        <f>#REF!-";Hb!BU"</f>
        <v>#REF!</v>
      </c>
      <c r="FK10" t="e">
        <f>#REF!-";Hb!BV"</f>
        <v>#REF!</v>
      </c>
      <c r="FL10" t="e">
        <f>#REF!-";Hb!BW"</f>
        <v>#REF!</v>
      </c>
      <c r="FM10" t="e">
        <f>#REF!-";Hb!BX"</f>
        <v>#REF!</v>
      </c>
      <c r="FN10" t="e">
        <f>#REF!-";Hb!BY"</f>
        <v>#REF!</v>
      </c>
      <c r="FO10" t="e">
        <f>#REF!-";Hb!BZ"</f>
        <v>#REF!</v>
      </c>
      <c r="FP10" t="e">
        <f>#REF!-";Hb!B["</f>
        <v>#REF!</v>
      </c>
      <c r="FQ10" t="e">
        <f>#REF!-";Hb!B\"</f>
        <v>#REF!</v>
      </c>
      <c r="FR10" t="e">
        <f>#REF!-";Hb!B]"</f>
        <v>#REF!</v>
      </c>
      <c r="FS10" t="e">
        <f>#REF!-";Hb!B^"</f>
        <v>#REF!</v>
      </c>
      <c r="FT10" t="e">
        <f>#REF!-";Hb!B_"</f>
        <v>#REF!</v>
      </c>
      <c r="FU10" t="e">
        <f>#REF!-";Hb!B`"</f>
        <v>#REF!</v>
      </c>
      <c r="FV10" t="e">
        <f>#REF!-";Hb!Ba"</f>
        <v>#REF!</v>
      </c>
      <c r="FW10" t="e">
        <f>#REF!-";Hb!Bb"</f>
        <v>#REF!</v>
      </c>
      <c r="FX10" t="e">
        <f>#REF!-";Hb!Bc"</f>
        <v>#REF!</v>
      </c>
      <c r="FY10" t="e">
        <f>#REF!-";Hb!Bd"</f>
        <v>#REF!</v>
      </c>
      <c r="FZ10" t="e">
        <f>#REF!+";Hb!Be"</f>
        <v>#REF!</v>
      </c>
      <c r="GA10" t="e">
        <f>#REF!+";Hb!Bf"</f>
        <v>#REF!</v>
      </c>
      <c r="GB10" t="e">
        <f>#REF!+";Hb!Bg"</f>
        <v>#REF!</v>
      </c>
      <c r="GC10" t="e">
        <f>#REF!+";Hb!Bh"</f>
        <v>#REF!</v>
      </c>
      <c r="GD10" t="e">
        <f>#REF!+";Hb!Bi"</f>
        <v>#REF!</v>
      </c>
      <c r="GE10" t="e">
        <f>#REF!+";Hb!Bj"</f>
        <v>#REF!</v>
      </c>
      <c r="GF10" t="e">
        <f>#REF!+";Hb!Bk"</f>
        <v>#REF!</v>
      </c>
      <c r="GG10" t="e">
        <f>#REF!+";Hb!Bl"</f>
        <v>#REF!</v>
      </c>
      <c r="GH10" t="e">
        <f>#REF!+";Hb!Bm"</f>
        <v>#REF!</v>
      </c>
      <c r="GI10" t="e">
        <f>#REF!+";Hb!Bn"</f>
        <v>#REF!</v>
      </c>
      <c r="GJ10" t="e">
        <f>#REF!+";Hb!Bo"</f>
        <v>#REF!</v>
      </c>
      <c r="GK10" t="e">
        <f>#REF!+";Hb!Bp"</f>
        <v>#REF!</v>
      </c>
      <c r="GL10" t="e">
        <f>#REF!+";Hb!Bq"</f>
        <v>#REF!</v>
      </c>
      <c r="GM10" t="e">
        <f>#REF!+";Hb!Br"</f>
        <v>#REF!</v>
      </c>
      <c r="GN10" t="e">
        <f>#REF!+";Hb!Bs"</f>
        <v>#REF!</v>
      </c>
      <c r="GO10" t="e">
        <f>#REF!+";Hb!Bt"</f>
        <v>#REF!</v>
      </c>
      <c r="GP10" t="e">
        <f>#REF!+";Hb!Bu"</f>
        <v>#REF!</v>
      </c>
      <c r="GQ10" t="e">
        <f>#REF!+";Hb!Bv"</f>
        <v>#REF!</v>
      </c>
      <c r="GR10" t="e">
        <f>#REF!+";Hb!Bw"</f>
        <v>#REF!</v>
      </c>
      <c r="GS10" t="e">
        <f>#REF!+";Hb!Bx"</f>
        <v>#REF!</v>
      </c>
      <c r="GT10" t="e">
        <f>#REF!+";Hb!By"</f>
        <v>#REF!</v>
      </c>
      <c r="GU10" t="e">
        <f>#REF!+";Hb!Bz"</f>
        <v>#REF!</v>
      </c>
      <c r="GV10" t="e">
        <f>#REF!+";Hb!B{"</f>
        <v>#REF!</v>
      </c>
      <c r="GW10" t="e">
        <f>#REF!+";Hb!B|"</f>
        <v>#REF!</v>
      </c>
      <c r="GX10" t="e">
        <f>#REF!+";Hb!B}"</f>
        <v>#REF!</v>
      </c>
      <c r="GY10" t="e">
        <f>#REF!+";Hb!B~"</f>
        <v>#REF!</v>
      </c>
      <c r="GZ10" t="e">
        <f>#REF!+";Hb!C#"</f>
        <v>#REF!</v>
      </c>
      <c r="HA10" t="e">
        <f>#REF!+";Hb!C$"</f>
        <v>#REF!</v>
      </c>
      <c r="HB10" t="e">
        <f>#REF!+";Hb!C%"</f>
        <v>#REF!</v>
      </c>
      <c r="HC10" t="e">
        <f>#REF!+";Hb!C&amp;"</f>
        <v>#REF!</v>
      </c>
      <c r="HD10" t="e">
        <f>#REF!+";Hb!C'"</f>
        <v>#REF!</v>
      </c>
      <c r="HE10" t="e">
        <f>#REF!+";Hb!C("</f>
        <v>#REF!</v>
      </c>
      <c r="HF10" t="e">
        <f>#REF!+";Hb!C)"</f>
        <v>#REF!</v>
      </c>
      <c r="HG10" t="e">
        <f>#REF!+";Hb!C."</f>
        <v>#REF!</v>
      </c>
      <c r="HH10" t="e">
        <f>#REF!+";Hb!C/"</f>
        <v>#REF!</v>
      </c>
      <c r="HI10" t="e">
        <f>#REF!+";Hb!C0"</f>
        <v>#REF!</v>
      </c>
      <c r="HJ10" t="e">
        <f>#REF!+";Hb!C1"</f>
        <v>#REF!</v>
      </c>
      <c r="HK10" t="e">
        <f>#REF!+";Hb!C2"</f>
        <v>#REF!</v>
      </c>
      <c r="HL10" t="e">
        <f>#REF!+";Hb!C3"</f>
        <v>#REF!</v>
      </c>
      <c r="HM10" t="e">
        <f>#REF!+";Hb!C4"</f>
        <v>#REF!</v>
      </c>
      <c r="HN10" t="e">
        <f>#REF!+";Hb!C5"</f>
        <v>#REF!</v>
      </c>
      <c r="HO10" t="e">
        <f>#REF!+";Hb!C6"</f>
        <v>#REF!</v>
      </c>
      <c r="HP10" t="e">
        <f>#REF!+";Hb!C7"</f>
        <v>#REF!</v>
      </c>
      <c r="HQ10" t="e">
        <f>#REF!+";Hb!C8"</f>
        <v>#REF!</v>
      </c>
      <c r="HR10" t="e">
        <f>#REF!+";Hb!C9"</f>
        <v>#REF!</v>
      </c>
      <c r="HS10" t="e">
        <f>#REF!+";Hb!C:"</f>
        <v>#REF!</v>
      </c>
      <c r="HT10" t="e">
        <f>#REF!+";Hb!C;"</f>
        <v>#REF!</v>
      </c>
      <c r="HU10" t="e">
        <f>#REF!+";Hb!C&lt;"</f>
        <v>#REF!</v>
      </c>
      <c r="HV10" t="e">
        <f>#REF!+";Hb!C="</f>
        <v>#REF!</v>
      </c>
      <c r="HW10" t="e">
        <f>#REF!+";Hb!C&gt;"</f>
        <v>#REF!</v>
      </c>
      <c r="HX10" t="e">
        <f>#REF!+";Hb!C?"</f>
        <v>#REF!</v>
      </c>
      <c r="HY10" t="e">
        <f>#REF!+";Hb!C@"</f>
        <v>#REF!</v>
      </c>
      <c r="HZ10" t="e">
        <f>#REF!+";Hb!CA"</f>
        <v>#REF!</v>
      </c>
      <c r="IA10" t="e">
        <f>#REF!+";Hb!CB"</f>
        <v>#REF!</v>
      </c>
      <c r="IB10" t="e">
        <f>#REF!+";Hb!CC"</f>
        <v>#REF!</v>
      </c>
      <c r="IC10" t="e">
        <f>#REF!+";Hb!CD"</f>
        <v>#REF!</v>
      </c>
      <c r="ID10" t="e">
        <f>#REF!+";Hb!CE"</f>
        <v>#REF!</v>
      </c>
      <c r="IE10" t="e">
        <f>#REF!+";Hb!CF"</f>
        <v>#REF!</v>
      </c>
      <c r="IF10" t="e">
        <f>#REF!+";Hb!CG"</f>
        <v>#REF!</v>
      </c>
      <c r="IG10" t="e">
        <f>#REF!+";Hb!CH"</f>
        <v>#REF!</v>
      </c>
      <c r="IH10" t="e">
        <f>#REF!+";Hb!CI"</f>
        <v>#REF!</v>
      </c>
      <c r="II10" t="e">
        <f>#REF!+";Hb!CJ"</f>
        <v>#REF!</v>
      </c>
      <c r="IJ10" t="e">
        <f>#REF!+";Hb!CK"</f>
        <v>#REF!</v>
      </c>
      <c r="IK10" t="e">
        <f>#REF!+";Hb!CL"</f>
        <v>#REF!</v>
      </c>
      <c r="IL10" t="e">
        <f>#REF!+";Hb!CM"</f>
        <v>#REF!</v>
      </c>
      <c r="IM10" t="e">
        <f>#REF!+";Hb!CN"</f>
        <v>#REF!</v>
      </c>
      <c r="IN10" t="e">
        <f>#REF!+";Hb!CO"</f>
        <v>#REF!</v>
      </c>
      <c r="IO10" t="e">
        <f>#REF!+";Hb!CP"</f>
        <v>#REF!</v>
      </c>
      <c r="IP10" t="e">
        <f>#REF!+";Hb!CQ"</f>
        <v>#REF!</v>
      </c>
      <c r="IQ10" t="e">
        <f>#REF!+";Hb!CR"</f>
        <v>#REF!</v>
      </c>
      <c r="IR10" t="e">
        <f>#REF!+";Hb!CS"</f>
        <v>#REF!</v>
      </c>
      <c r="IS10" t="e">
        <f>#REF!+";Hb!CT"</f>
        <v>#REF!</v>
      </c>
      <c r="IT10" t="e">
        <f>#REF!+";Hb!CU"</f>
        <v>#REF!</v>
      </c>
      <c r="IU10" t="e">
        <f>#REF!+";Hb!CV"</f>
        <v>#REF!</v>
      </c>
      <c r="IV10" t="e">
        <f>#REF!+";Hb!CW"</f>
        <v>#REF!</v>
      </c>
    </row>
    <row r="11" spans="1:256" x14ac:dyDescent="0.25">
      <c r="F11" t="e">
        <f>#REF!+";Hb!CX"</f>
        <v>#REF!</v>
      </c>
      <c r="G11" t="e">
        <f>#REF!+";Hb!CY"</f>
        <v>#REF!</v>
      </c>
      <c r="H11" t="e">
        <f>#REF!+";Hb!CZ"</f>
        <v>#REF!</v>
      </c>
      <c r="I11" t="e">
        <f>#REF!+";Hb!C["</f>
        <v>#REF!</v>
      </c>
      <c r="J11" t="e">
        <f>#REF!+";Hb!C\"</f>
        <v>#REF!</v>
      </c>
      <c r="K11" t="e">
        <f>#REF!+";Hb!C]"</f>
        <v>#REF!</v>
      </c>
      <c r="L11" t="e">
        <f>#REF!+";Hb!C^"</f>
        <v>#REF!</v>
      </c>
      <c r="M11" t="e">
        <f>#REF!+";Hb!C_"</f>
        <v>#REF!</v>
      </c>
      <c r="N11" t="e">
        <f>#REF!+";Hb!C`"</f>
        <v>#REF!</v>
      </c>
      <c r="O11" t="e">
        <f>#REF!+";Hb!Ca"</f>
        <v>#REF!</v>
      </c>
      <c r="P11" t="e">
        <f>#REF!+";Hb!Cb"</f>
        <v>#REF!</v>
      </c>
      <c r="Q11" t="e">
        <f>#REF!+";Hb!Cc"</f>
        <v>#REF!</v>
      </c>
      <c r="R11" t="e">
        <f>#REF!+";Hb!Cd"</f>
        <v>#REF!</v>
      </c>
      <c r="S11" t="e">
        <f>#REF!+";Hb!Ce"</f>
        <v>#REF!</v>
      </c>
      <c r="T11" t="e">
        <f>#REF!+";Hb!Cf"</f>
        <v>#REF!</v>
      </c>
      <c r="U11" t="e">
        <f>#REF!+";Hb!Cg"</f>
        <v>#REF!</v>
      </c>
      <c r="V11" t="e">
        <f>#REF!+";Hb!Ch"</f>
        <v>#REF!</v>
      </c>
      <c r="W11" t="e">
        <f>#REF!+";Hb!Ci"</f>
        <v>#REF!</v>
      </c>
      <c r="X11" t="e">
        <f>#REF!+";Hb!Cj"</f>
        <v>#REF!</v>
      </c>
      <c r="Y11" t="e">
        <f>#REF!+";Hb!Ck"</f>
        <v>#REF!</v>
      </c>
      <c r="Z11" t="e">
        <f>#REF!+";Hb!Cl"</f>
        <v>#REF!</v>
      </c>
      <c r="AA11" t="e">
        <f>#REF!+";Hb!Cm"</f>
        <v>#REF!</v>
      </c>
      <c r="AB11" t="e">
        <f>#REF!+";Hb!Cn"</f>
        <v>#REF!</v>
      </c>
      <c r="AC11" t="e">
        <f>#REF!+";Hb!Co"</f>
        <v>#REF!</v>
      </c>
      <c r="AD11" t="e">
        <f>#REF!+";Hb!Cp"</f>
        <v>#REF!</v>
      </c>
      <c r="AE11" t="e">
        <f>#REF!+";Hb!Cq"</f>
        <v>#REF!</v>
      </c>
      <c r="AF11" t="e">
        <f>#REF!+";Hb!Cr"</f>
        <v>#REF!</v>
      </c>
      <c r="AG11" t="e">
        <f>#REF!+";Hb!Cs"</f>
        <v>#REF!</v>
      </c>
      <c r="AH11" t="e">
        <f>#REF!+";Hb!Ct"</f>
        <v>#REF!</v>
      </c>
      <c r="AI11" t="e">
        <f>#REF!+";Hb!Cu"</f>
        <v>#REF!</v>
      </c>
      <c r="AJ11" t="e">
        <f>#REF!+";Hb!Cv"</f>
        <v>#REF!</v>
      </c>
      <c r="AK11" t="e">
        <f>#REF!+";Hb!Cw"</f>
        <v>#REF!</v>
      </c>
      <c r="AL11" t="e">
        <f>#REF!+";Hb!Cx"</f>
        <v>#REF!</v>
      </c>
      <c r="AM11" t="e">
        <f>#REF!+";Hb!Cy"</f>
        <v>#REF!</v>
      </c>
      <c r="AN11" t="e">
        <f>#REF!+";Hb!Cz"</f>
        <v>#REF!</v>
      </c>
      <c r="AO11" t="e">
        <f>#REF!+";Hb!C{"</f>
        <v>#REF!</v>
      </c>
      <c r="AP11" t="e">
        <f>#REF!+";Hb!C|"</f>
        <v>#REF!</v>
      </c>
      <c r="AQ11" t="e">
        <f>#REF!+";Hb!C}"</f>
        <v>#REF!</v>
      </c>
      <c r="AR11" t="e">
        <f>#REF!+";Hb!C~"</f>
        <v>#REF!</v>
      </c>
      <c r="AS11" t="e">
        <f>#REF!+";Hb!D#"</f>
        <v>#REF!</v>
      </c>
      <c r="AT11" t="e">
        <f>#REF!+";Hb!D$"</f>
        <v>#REF!</v>
      </c>
      <c r="AU11" t="e">
        <f>#REF!+";Hb!D%"</f>
        <v>#REF!</v>
      </c>
      <c r="AV11" t="e">
        <f>#REF!+";Hb!D&amp;"</f>
        <v>#REF!</v>
      </c>
      <c r="AW11" t="e">
        <f>#REF!+";Hb!D'"</f>
        <v>#REF!</v>
      </c>
      <c r="AX11" t="e">
        <f>#REF!+";Hb!D("</f>
        <v>#REF!</v>
      </c>
      <c r="AY11" t="e">
        <f>#REF!+";Hb!D)"</f>
        <v>#REF!</v>
      </c>
      <c r="AZ11" t="e">
        <f>#REF!+";Hb!D."</f>
        <v>#REF!</v>
      </c>
      <c r="BA11" t="e">
        <f>#REF!+";Hb!D/"</f>
        <v>#REF!</v>
      </c>
      <c r="BB11" t="e">
        <f>#REF!+";Hb!D0"</f>
        <v>#REF!</v>
      </c>
      <c r="BC11" t="e">
        <f>#REF!+";Hb!D1"</f>
        <v>#REF!</v>
      </c>
      <c r="BD11" t="e">
        <f>#REF!+";Hb!D2"</f>
        <v>#REF!</v>
      </c>
      <c r="BE11" t="e">
        <f>#REF!+";Hb!D3"</f>
        <v>#REF!</v>
      </c>
      <c r="BF11" t="e">
        <f>#REF!+";Hb!D4"</f>
        <v>#REF!</v>
      </c>
      <c r="BG11" t="e">
        <f>#REF!+";Hb!D5"</f>
        <v>#REF!</v>
      </c>
      <c r="BH11" t="e">
        <f>#REF!+";Hb!D6"</f>
        <v>#REF!</v>
      </c>
      <c r="BI11" t="e">
        <f>#REF!+";Hb!D7"</f>
        <v>#REF!</v>
      </c>
      <c r="BJ11" t="e">
        <f>#REF!+";Hb!D8"</f>
        <v>#REF!</v>
      </c>
      <c r="BK11" t="e">
        <f>#REF!+";Hb!D9"</f>
        <v>#REF!</v>
      </c>
      <c r="BL11" t="e">
        <f>#REF!+";Hb!D:"</f>
        <v>#REF!</v>
      </c>
      <c r="BM11" t="e">
        <f>#REF!+";Hb!D;"</f>
        <v>#REF!</v>
      </c>
      <c r="BN11" t="e">
        <f>#REF!+";Hb!D&lt;"</f>
        <v>#REF!</v>
      </c>
      <c r="BO11" t="e">
        <f>#REF!+";Hb!D="</f>
        <v>#REF!</v>
      </c>
      <c r="BP11" t="e">
        <f>#REF!+";Hb!D&gt;"</f>
        <v>#REF!</v>
      </c>
      <c r="BQ11" t="e">
        <f>#REF!+";Hb!D?"</f>
        <v>#REF!</v>
      </c>
      <c r="BR11" t="e">
        <f>#REF!+";Hb!D@"</f>
        <v>#REF!</v>
      </c>
      <c r="BS11" t="e">
        <f>#REF!+";Hb!DA"</f>
        <v>#REF!</v>
      </c>
      <c r="BT11" t="e">
        <f>#REF!+";Hb!DB"</f>
        <v>#REF!</v>
      </c>
      <c r="BU11" t="e">
        <f>#REF!+";Hb!DC"</f>
        <v>#REF!</v>
      </c>
      <c r="BV11" t="e">
        <f>#REF!+";Hb!DD"</f>
        <v>#REF!</v>
      </c>
      <c r="BW11" t="e">
        <f>#REF!+";Hb!DE"</f>
        <v>#REF!</v>
      </c>
      <c r="BX11" t="e">
        <f>#REF!+";Hb!DF"</f>
        <v>#REF!</v>
      </c>
      <c r="BY11" t="e">
        <f>#REF!+";Hb!DG"</f>
        <v>#REF!</v>
      </c>
      <c r="BZ11" t="e">
        <f>#REF!+";Hb!DH"</f>
        <v>#REF!</v>
      </c>
      <c r="CA11" t="e">
        <f>#REF!+";Hb!DI"</f>
        <v>#REF!</v>
      </c>
      <c r="CB11" t="e">
        <f>#REF!+";Hb!DJ"</f>
        <v>#REF!</v>
      </c>
      <c r="CC11" t="e">
        <f>#REF!+";Hb!DK"</f>
        <v>#REF!</v>
      </c>
      <c r="CD11" t="e">
        <f>#REF!+";Hb!DL"</f>
        <v>#REF!</v>
      </c>
      <c r="CE11" t="e">
        <f>#REF!+";Hb!DM"</f>
        <v>#REF!</v>
      </c>
      <c r="CF11" t="e">
        <f>#REF!+";Hb!DN"</f>
        <v>#REF!</v>
      </c>
      <c r="CG11" t="e">
        <f>#REF!+";Hb!DO"</f>
        <v>#REF!</v>
      </c>
      <c r="CH11" t="e">
        <f>#REF!+";Hb!DP"</f>
        <v>#REF!</v>
      </c>
      <c r="CI11" t="e">
        <f>#REF!+";Hb!DQ"</f>
        <v>#REF!</v>
      </c>
      <c r="CJ11" t="e">
        <f>#REF!+";Hb!DR"</f>
        <v>#REF!</v>
      </c>
      <c r="CK11" t="e">
        <f>#REF!+";Hb!DS"</f>
        <v>#REF!</v>
      </c>
      <c r="CL11" t="e">
        <f>#REF!+";Hb!DT"</f>
        <v>#REF!</v>
      </c>
      <c r="CM11" t="e">
        <f>#REF!+";Hb!DU"</f>
        <v>#REF!</v>
      </c>
      <c r="CN11" t="e">
        <f>#REF!+";Hb!DV"</f>
        <v>#REF!</v>
      </c>
      <c r="CO11" t="e">
        <f>#REF!+";Hb!DW"</f>
        <v>#REF!</v>
      </c>
      <c r="CP11" t="e">
        <f>#REF!+";Hb!DX"</f>
        <v>#REF!</v>
      </c>
      <c r="CQ11" t="e">
        <f>#REF!+";Hb!DY"</f>
        <v>#REF!</v>
      </c>
      <c r="CR11" t="e">
        <f>#REF!+";Hb!DZ"</f>
        <v>#REF!</v>
      </c>
      <c r="CS11" t="e">
        <f>#REF!+";Hb!D["</f>
        <v>#REF!</v>
      </c>
      <c r="CT11" t="e">
        <f>#REF!+";Hb!D\"</f>
        <v>#REF!</v>
      </c>
      <c r="CU11" t="e">
        <f>#REF!+";Hb!D]"</f>
        <v>#REF!</v>
      </c>
      <c r="CV11" t="e">
        <f>#REF!+";Hb!D^"</f>
        <v>#REF!</v>
      </c>
      <c r="CW11" t="e">
        <f>#REF!+";Hb!D_"</f>
        <v>#REF!</v>
      </c>
      <c r="CX11" t="e">
        <f>#REF!+";Hb!D`"</f>
        <v>#REF!</v>
      </c>
      <c r="CY11" t="e">
        <f>#REF!+";Hb!Da"</f>
        <v>#REF!</v>
      </c>
      <c r="CZ11" t="e">
        <f>#REF!+";Hb!Db"</f>
        <v>#REF!</v>
      </c>
      <c r="DA11" t="e">
        <f>#REF!+";Hb!Dc"</f>
        <v>#REF!</v>
      </c>
      <c r="DB11" t="e">
        <f>#REF!+";Hb!Dd"</f>
        <v>#REF!</v>
      </c>
      <c r="DC11" t="e">
        <f>#REF!+";Hb!De"</f>
        <v>#REF!</v>
      </c>
      <c r="DD11" t="e">
        <f>#REF!+";Hb!Df"</f>
        <v>#REF!</v>
      </c>
      <c r="DE11" t="e">
        <f>#REF!+";Hb!Dg"</f>
        <v>#REF!</v>
      </c>
      <c r="DF11" t="e">
        <f>#REF!+";Hb!Dh"</f>
        <v>#REF!</v>
      </c>
      <c r="DG11" t="e">
        <f>#REF!+";Hb!Di"</f>
        <v>#REF!</v>
      </c>
      <c r="DH11" t="e">
        <f>#REF!+";Hb!Dj"</f>
        <v>#REF!</v>
      </c>
      <c r="DI11" t="e">
        <f>#REF!+";Hb!Dk"</f>
        <v>#REF!</v>
      </c>
      <c r="DJ11" t="e">
        <f>#REF!+";Hb!Dl"</f>
        <v>#REF!</v>
      </c>
      <c r="DK11" t="e">
        <f>#REF!+";Hb!Dm"</f>
        <v>#REF!</v>
      </c>
      <c r="DL11" t="e">
        <f>#REF!+";Hb!Dn"</f>
        <v>#REF!</v>
      </c>
      <c r="DM11" t="e">
        <f>#REF!+";Hb!Do"</f>
        <v>#REF!</v>
      </c>
      <c r="DN11" t="e">
        <f>#REF!+";Hb!Dp"</f>
        <v>#REF!</v>
      </c>
      <c r="DO11" t="e">
        <f>#REF!+";Hb!Dq"</f>
        <v>#REF!</v>
      </c>
      <c r="DP11" t="e">
        <f>#REF!+";Hb!Dr"</f>
        <v>#REF!</v>
      </c>
      <c r="DQ11" t="e">
        <f>#REF!+";Hb!Ds"</f>
        <v>#REF!</v>
      </c>
      <c r="DR11" t="e">
        <f>#REF!+";Hb!Dt"</f>
        <v>#REF!</v>
      </c>
      <c r="DS11" t="e">
        <f>#REF!+";Hb!Du"</f>
        <v>#REF!</v>
      </c>
      <c r="DT11" t="e">
        <f>#REF!+";Hb!Dv"</f>
        <v>#REF!</v>
      </c>
      <c r="DU11" t="e">
        <f>#REF!+";Hb!Dw"</f>
        <v>#REF!</v>
      </c>
      <c r="DV11" t="e">
        <f>#REF!+";Hb!Dx"</f>
        <v>#REF!</v>
      </c>
      <c r="DW11" t="e">
        <f>#REF!+";Hb!Dy"</f>
        <v>#REF!</v>
      </c>
      <c r="DX11" t="e">
        <f>#REF!+";Hb!Dz"</f>
        <v>#REF!</v>
      </c>
      <c r="DY11" t="e">
        <f>#REF!+";Hb!D{"</f>
        <v>#REF!</v>
      </c>
      <c r="DZ11" t="e">
        <f>#REF!+";Hb!D|"</f>
        <v>#REF!</v>
      </c>
      <c r="EA11" t="e">
        <f>#REF!+";Hb!D}"</f>
        <v>#REF!</v>
      </c>
      <c r="EB11" t="e">
        <f>#REF!+";Hb!D~"</f>
        <v>#REF!</v>
      </c>
      <c r="EC11" t="e">
        <f>#REF!+";Hb!E#"</f>
        <v>#REF!</v>
      </c>
      <c r="ED11" t="e">
        <f>#REF!+";Hb!E$"</f>
        <v>#REF!</v>
      </c>
      <c r="EE11" t="e">
        <f>#REF!+";Hb!E%"</f>
        <v>#REF!</v>
      </c>
      <c r="EF11" t="e">
        <f>#REF!+";Hb!E&amp;"</f>
        <v>#REF!</v>
      </c>
      <c r="EG11" t="e">
        <f>#REF!+";Hb!E'"</f>
        <v>#REF!</v>
      </c>
      <c r="EH11" t="e">
        <f>#REF!+";Hb!E("</f>
        <v>#REF!</v>
      </c>
      <c r="EI11" t="e">
        <f>#REF!+";Hb!E)"</f>
        <v>#REF!</v>
      </c>
      <c r="EJ11" t="e">
        <f>#REF!+";Hb!E."</f>
        <v>#REF!</v>
      </c>
      <c r="EK11" t="e">
        <f>#REF!+";Hb!E/"</f>
        <v>#REF!</v>
      </c>
      <c r="EL11" t="e">
        <f>#REF!+";Hb!E0"</f>
        <v>#REF!</v>
      </c>
      <c r="EM11" t="e">
        <f>#REF!+";Hb!E1"</f>
        <v>#REF!</v>
      </c>
      <c r="EN11" t="e">
        <f>#REF!+";Hb!E2"</f>
        <v>#REF!</v>
      </c>
      <c r="EO11" t="e">
        <f>#REF!+";Hb!E3"</f>
        <v>#REF!</v>
      </c>
      <c r="EP11" t="e">
        <f>#REF!+";Hb!E4"</f>
        <v>#REF!</v>
      </c>
      <c r="EQ11" t="e">
        <f>#REF!+";Hb!E5"</f>
        <v>#REF!</v>
      </c>
      <c r="ER11" t="e">
        <f>#REF!+";Hb!E6"</f>
        <v>#REF!</v>
      </c>
      <c r="ES11" t="e">
        <f>#REF!+";Hb!E7"</f>
        <v>#REF!</v>
      </c>
      <c r="ET11" t="e">
        <f>#REF!+";Hb!E8"</f>
        <v>#REF!</v>
      </c>
      <c r="EU11" t="e">
        <f>#REF!+";Hb!E9"</f>
        <v>#REF!</v>
      </c>
      <c r="EV11" t="e">
        <f>#REF!+";Hb!E:"</f>
        <v>#REF!</v>
      </c>
      <c r="EW11" t="e">
        <f>#REF!+";Hb!E;"</f>
        <v>#REF!</v>
      </c>
      <c r="EX11" t="e">
        <f>#REF!+";Hb!E&lt;"</f>
        <v>#REF!</v>
      </c>
      <c r="EY11" t="e">
        <f>#REF!+";Hb!E="</f>
        <v>#REF!</v>
      </c>
      <c r="EZ11" t="e">
        <f>#REF!+";Hb!E&gt;"</f>
        <v>#REF!</v>
      </c>
      <c r="FA11" t="e">
        <f>#REF!+";Hb!E?"</f>
        <v>#REF!</v>
      </c>
      <c r="FB11" t="e">
        <f>#REF!+";Hb!E@"</f>
        <v>#REF!</v>
      </c>
      <c r="FC11" t="e">
        <f>#REF!+";Hb!EA"</f>
        <v>#REF!</v>
      </c>
      <c r="FD11" t="e">
        <f>#REF!+";Hb!EB"</f>
        <v>#REF!</v>
      </c>
      <c r="FE11" t="e">
        <f>#REF!+";Hb!EC"</f>
        <v>#REF!</v>
      </c>
      <c r="FF11" t="e">
        <f>#REF!+";Hb!ED"</f>
        <v>#REF!</v>
      </c>
      <c r="FG11" t="e">
        <f>#REF!+";Hb!EE"</f>
        <v>#REF!</v>
      </c>
      <c r="FH11" t="e">
        <f>#REF!+";Hb!EF"</f>
        <v>#REF!</v>
      </c>
      <c r="FI11" t="e">
        <f>#REF!+";Hb!EG"</f>
        <v>#REF!</v>
      </c>
      <c r="FJ11" t="e">
        <f>#REF!+";Hb!EH"</f>
        <v>#REF!</v>
      </c>
      <c r="FK11" t="e">
        <f>#REF!+";Hb!EI"</f>
        <v>#REF!</v>
      </c>
      <c r="FL11" t="e">
        <f>#REF!+";Hb!EJ"</f>
        <v>#REF!</v>
      </c>
      <c r="FM11" t="e">
        <f>#REF!+";Hb!EK"</f>
        <v>#REF!</v>
      </c>
      <c r="FN11" t="e">
        <f>#REF!+";Hb!EL"</f>
        <v>#REF!</v>
      </c>
      <c r="FO11" t="e">
        <f>#REF!+";Hb!EM"</f>
        <v>#REF!</v>
      </c>
      <c r="FP11" t="e">
        <f>#REF!+";Hb!EN"</f>
        <v>#REF!</v>
      </c>
      <c r="FQ11" t="e">
        <f>#REF!+";Hb!EO"</f>
        <v>#REF!</v>
      </c>
      <c r="FR11" t="e">
        <f>#REF!+";Hb!EP"</f>
        <v>#REF!</v>
      </c>
      <c r="FS11" t="e">
        <f>#REF!+";Hb!EQ"</f>
        <v>#REF!</v>
      </c>
      <c r="FT11" t="e">
        <f>#REF!+";Hb!ER"</f>
        <v>#REF!</v>
      </c>
      <c r="FU11" t="e">
        <f>#REF!+";Hb!ES"</f>
        <v>#REF!</v>
      </c>
      <c r="FV11" t="e">
        <f>#REF!+";Hb!ET"</f>
        <v>#REF!</v>
      </c>
      <c r="FW11" t="e">
        <f>#REF!+";Hb!EU"</f>
        <v>#REF!</v>
      </c>
      <c r="FX11" t="e">
        <f>#REF!+";Hb!EV"</f>
        <v>#REF!</v>
      </c>
      <c r="FY11" t="e">
        <f>#REF!+";Hb!EW"</f>
        <v>#REF!</v>
      </c>
      <c r="FZ11" t="e">
        <f>#REF!+";Hb!EX"</f>
        <v>#REF!</v>
      </c>
      <c r="GA11" t="e">
        <f>#REF!+";Hb!EY"</f>
        <v>#REF!</v>
      </c>
      <c r="GB11" t="e">
        <f>#REF!+";Hb!EZ"</f>
        <v>#REF!</v>
      </c>
      <c r="GC11" t="e">
        <f>#REF!+";Hb!E["</f>
        <v>#REF!</v>
      </c>
      <c r="GD11" t="e">
        <f>#REF!+";Hb!E\"</f>
        <v>#REF!</v>
      </c>
      <c r="GE11" t="e">
        <f>#REF!+";Hb!E]"</f>
        <v>#REF!</v>
      </c>
      <c r="GF11" t="e">
        <f>#REF!+";Hb!E^"</f>
        <v>#REF!</v>
      </c>
      <c r="GG11" t="e">
        <f>#REF!+";Hb!E_"</f>
        <v>#REF!</v>
      </c>
      <c r="GH11" t="e">
        <f>#REF!+";Hb!E`"</f>
        <v>#REF!</v>
      </c>
      <c r="GI11" t="e">
        <f>#REF!+";Hb!Ea"</f>
        <v>#REF!</v>
      </c>
      <c r="GJ11" t="e">
        <f>#REF!+";Hb!Eb"</f>
        <v>#REF!</v>
      </c>
      <c r="GK11" t="e">
        <f>#REF!+";Hb!Ec"</f>
        <v>#REF!</v>
      </c>
      <c r="GL11" t="e">
        <f>#REF!+";Hb!Ed"</f>
        <v>#REF!</v>
      </c>
      <c r="GM11" t="e">
        <f>#REF!+";Hb!Ee"</f>
        <v>#REF!</v>
      </c>
      <c r="GN11" t="e">
        <f>#REF!+";Hb!Ef"</f>
        <v>#REF!</v>
      </c>
      <c r="GO11" t="e">
        <f>#REF!+";Hb!Eg"</f>
        <v>#REF!</v>
      </c>
      <c r="GP11" t="e">
        <f>#REF!+";Hb!Eh"</f>
        <v>#REF!</v>
      </c>
      <c r="GQ11" t="e">
        <f>#REF!+";Hb!Ei"</f>
        <v>#REF!</v>
      </c>
      <c r="GR11" t="e">
        <f>#REF!+";Hb!Ej"</f>
        <v>#REF!</v>
      </c>
      <c r="GS11" t="e">
        <f>#REF!+";Hb!Ek"</f>
        <v>#REF!</v>
      </c>
      <c r="GT11" t="e">
        <f>#REF!+";Hb!El"</f>
        <v>#REF!</v>
      </c>
      <c r="GU11" t="e">
        <f>#REF!+";Hb!Em"</f>
        <v>#REF!</v>
      </c>
      <c r="GV11" t="e">
        <f>#REF!+";Hb!En"</f>
        <v>#REF!</v>
      </c>
      <c r="GW11" t="e">
        <f>#REF!+";Hb!Eo"</f>
        <v>#REF!</v>
      </c>
      <c r="GX11" t="e">
        <f>#REF!+";Hb!Ep"</f>
        <v>#REF!</v>
      </c>
      <c r="GY11" t="e">
        <f>#REF!+";Hb!Eq"</f>
        <v>#REF!</v>
      </c>
      <c r="GZ11" t="e">
        <f>#REF!+";Hb!Er"</f>
        <v>#REF!</v>
      </c>
      <c r="HA11" t="e">
        <f>#REF!+";Hb!Es"</f>
        <v>#REF!</v>
      </c>
      <c r="HB11" t="e">
        <f>#REF!+";Hb!Et"</f>
        <v>#REF!</v>
      </c>
      <c r="HC11" t="e">
        <f>#REF!+";Hb!Eu"</f>
        <v>#REF!</v>
      </c>
      <c r="HD11" t="e">
        <f>#REF!+";Hb!Ev"</f>
        <v>#REF!</v>
      </c>
      <c r="HE11" t="e">
        <f>#REF!+";Hb!Ew"</f>
        <v>#REF!</v>
      </c>
      <c r="HF11" t="e">
        <f>#REF!+";Hb!Ex"</f>
        <v>#REF!</v>
      </c>
      <c r="HG11" t="e">
        <f>#REF!+";Hb!Ey"</f>
        <v>#REF!</v>
      </c>
      <c r="HH11" t="e">
        <f>#REF!+";Hb!Ez"</f>
        <v>#REF!</v>
      </c>
      <c r="HI11" t="e">
        <f>#REF!+";Hb!E{"</f>
        <v>#REF!</v>
      </c>
      <c r="HJ11" t="e">
        <f>#REF!+";Hb!E|"</f>
        <v>#REF!</v>
      </c>
      <c r="HK11" t="e">
        <f>#REF!+";Hb!E}"</f>
        <v>#REF!</v>
      </c>
      <c r="HL11" t="e">
        <f>#REF!+";Hb!E~"</f>
        <v>#REF!</v>
      </c>
      <c r="HM11" t="e">
        <f>#REF!+";Hb!F#"</f>
        <v>#REF!</v>
      </c>
      <c r="HN11" t="e">
        <f>#REF!+";Hb!F$"</f>
        <v>#REF!</v>
      </c>
      <c r="HO11" t="e">
        <f>#REF!+";Hb!F%"</f>
        <v>#REF!</v>
      </c>
      <c r="HP11" t="e">
        <f>#REF!+";Hb!F&amp;"</f>
        <v>#REF!</v>
      </c>
      <c r="HQ11" t="e">
        <f>#REF!+";Hb!F'"</f>
        <v>#REF!</v>
      </c>
      <c r="HR11" t="e">
        <f>#REF!+";Hb!F("</f>
        <v>#REF!</v>
      </c>
      <c r="HS11" t="e">
        <f>#REF!+";Hb!F)"</f>
        <v>#REF!</v>
      </c>
      <c r="HT11" t="e">
        <f>#REF!+";Hb!F."</f>
        <v>#REF!</v>
      </c>
      <c r="HU11" t="e">
        <f>#REF!+";Hb!F/"</f>
        <v>#REF!</v>
      </c>
      <c r="HV11" t="e">
        <f>#REF!+";Hb!F0"</f>
        <v>#REF!</v>
      </c>
      <c r="HW11" t="e">
        <f>#REF!+";Hb!F1"</f>
        <v>#REF!</v>
      </c>
      <c r="HX11" t="e">
        <f>#REF!+";Hb!F2"</f>
        <v>#REF!</v>
      </c>
      <c r="HY11" t="e">
        <f>#REF!+";Hb!F3"</f>
        <v>#REF!</v>
      </c>
      <c r="HZ11" t="e">
        <f>#REF!+";Hb!F4"</f>
        <v>#REF!</v>
      </c>
      <c r="IA11" t="e">
        <f>#REF!+";Hb!F5"</f>
        <v>#REF!</v>
      </c>
      <c r="IB11" t="e">
        <f>#REF!+";Hb!F6"</f>
        <v>#REF!</v>
      </c>
      <c r="IC11" t="e">
        <f>#REF!+";Hb!F7"</f>
        <v>#REF!</v>
      </c>
      <c r="ID11" t="e">
        <f>#REF!+";Hb!F8"</f>
        <v>#REF!</v>
      </c>
      <c r="IE11" t="e">
        <f>#REF!+";Hb!F9"</f>
        <v>#REF!</v>
      </c>
      <c r="IF11" t="e">
        <f>#REF!+";Hb!F:"</f>
        <v>#REF!</v>
      </c>
      <c r="IG11" t="e">
        <f>#REF!+";Hb!F;"</f>
        <v>#REF!</v>
      </c>
      <c r="IH11" t="e">
        <f>#REF!+";Hb!F&lt;"</f>
        <v>#REF!</v>
      </c>
      <c r="II11" t="e">
        <f>#REF!+";Hb!F="</f>
        <v>#REF!</v>
      </c>
      <c r="IJ11" t="e">
        <f>#REF!+";Hb!F&gt;"</f>
        <v>#REF!</v>
      </c>
      <c r="IK11" t="e">
        <f>#REF!+";Hb!F?"</f>
        <v>#REF!</v>
      </c>
      <c r="IL11" t="e">
        <f>#REF!+";Hb!F@"</f>
        <v>#REF!</v>
      </c>
      <c r="IM11" t="e">
        <f>#REF!+";Hb!FA"</f>
        <v>#REF!</v>
      </c>
      <c r="IN11" t="e">
        <f>#REF!+";Hb!FB"</f>
        <v>#REF!</v>
      </c>
      <c r="IO11" t="e">
        <f>#REF!+";Hb!FC"</f>
        <v>#REF!</v>
      </c>
      <c r="IP11" t="e">
        <f>#REF!+";Hb!FD"</f>
        <v>#REF!</v>
      </c>
      <c r="IQ11" t="e">
        <f>#REF!+";Hb!FE"</f>
        <v>#REF!</v>
      </c>
      <c r="IR11" t="e">
        <f>#REF!+";Hb!FF"</f>
        <v>#REF!</v>
      </c>
      <c r="IS11" t="e">
        <f>#REF!+";Hb!FG"</f>
        <v>#REF!</v>
      </c>
      <c r="IT11" t="e">
        <f>#REF!+";Hb!FH"</f>
        <v>#REF!</v>
      </c>
      <c r="IU11" t="e">
        <f>#REF!+";Hb!FI"</f>
        <v>#REF!</v>
      </c>
      <c r="IV11" t="e">
        <f>#REF!+";Hb!FJ"</f>
        <v>#REF!</v>
      </c>
    </row>
    <row r="12" spans="1:256" x14ac:dyDescent="0.25">
      <c r="F12" t="e">
        <f>#REF!+";Hb!FK"</f>
        <v>#REF!</v>
      </c>
      <c r="G12" t="e">
        <f>#REF!+";Hb!FL"</f>
        <v>#REF!</v>
      </c>
      <c r="H12" t="e">
        <f>#REF!+";Hb!FM"</f>
        <v>#REF!</v>
      </c>
      <c r="I12" t="e">
        <f>#REF!+";Hb!FN"</f>
        <v>#REF!</v>
      </c>
      <c r="J12" t="e">
        <f>#REF!+";Hb!FO"</f>
        <v>#REF!</v>
      </c>
      <c r="K12" t="e">
        <f>#REF!+";Hb!FP"</f>
        <v>#REF!</v>
      </c>
      <c r="L12" t="e">
        <f>#REF!+";Hb!FQ"</f>
        <v>#REF!</v>
      </c>
      <c r="M12" t="e">
        <f>#REF!+";Hb!FR"</f>
        <v>#REF!</v>
      </c>
      <c r="N12" t="e">
        <f>#REF!+";Hb!FS"</f>
        <v>#REF!</v>
      </c>
      <c r="O12" t="e">
        <f>#REF!+";Hb!FT"</f>
        <v>#REF!</v>
      </c>
      <c r="P12" t="e">
        <f>#REF!+";Hb!FU"</f>
        <v>#REF!</v>
      </c>
      <c r="Q12" t="e">
        <f>#REF!+";Hb!FV"</f>
        <v>#REF!</v>
      </c>
      <c r="R12" t="e">
        <f>#REF!+";Hb!FW"</f>
        <v>#REF!</v>
      </c>
      <c r="S12" t="e">
        <f>#REF!+";Hb!FX"</f>
        <v>#REF!</v>
      </c>
      <c r="T12" t="e">
        <f>#REF!+";Hb!FY"</f>
        <v>#REF!</v>
      </c>
      <c r="U12" t="e">
        <f>#REF!+";Hb!FZ"</f>
        <v>#REF!</v>
      </c>
      <c r="V12" t="e">
        <f>#REF!+";Hb!F["</f>
        <v>#REF!</v>
      </c>
      <c r="W12" t="e">
        <f>#REF!+";Hb!F\"</f>
        <v>#REF!</v>
      </c>
      <c r="X12" t="e">
        <f>#REF!+";Hb!F]"</f>
        <v>#REF!</v>
      </c>
      <c r="Y12" t="e">
        <f>#REF!+";Hb!F^"</f>
        <v>#REF!</v>
      </c>
      <c r="Z12" t="e">
        <f>#REF!+";Hb!F_"</f>
        <v>#REF!</v>
      </c>
      <c r="AA12" t="e">
        <f>#REF!+";Hb!F`"</f>
        <v>#REF!</v>
      </c>
      <c r="AB12" t="e">
        <f>#REF!+";Hb!Fa"</f>
        <v>#REF!</v>
      </c>
      <c r="AC12" t="e">
        <f>#REF!+";Hb!Fb"</f>
        <v>#REF!</v>
      </c>
      <c r="AD12" t="e">
        <f>#REF!+";Hb!Fc"</f>
        <v>#REF!</v>
      </c>
      <c r="AE12" t="e">
        <f>#REF!+";Hb!Fd"</f>
        <v>#REF!</v>
      </c>
      <c r="AF12" t="e">
        <f>#REF!+";Hb!Fe"</f>
        <v>#REF!</v>
      </c>
      <c r="AG12" t="e">
        <f>#REF!+";Hb!Ff"</f>
        <v>#REF!</v>
      </c>
      <c r="AH12" t="e">
        <f>#REF!+";Hb!Fg"</f>
        <v>#REF!</v>
      </c>
      <c r="AI12" t="e">
        <f>#REF!+";Hb!Fh"</f>
        <v>#REF!</v>
      </c>
      <c r="AJ12" t="e">
        <f>#REF!+";Hb!Fi"</f>
        <v>#REF!</v>
      </c>
      <c r="AK12" t="e">
        <f>#REF!+";Hb!Fj"</f>
        <v>#REF!</v>
      </c>
      <c r="AL12" t="e">
        <f>#REF!+";Hb!Fk"</f>
        <v>#REF!</v>
      </c>
      <c r="AM12" t="e">
        <f>#REF!+";Hb!Fl"</f>
        <v>#REF!</v>
      </c>
      <c r="AN12" t="e">
        <f>#REF!+";Hb!Fm"</f>
        <v>#REF!</v>
      </c>
      <c r="AO12" t="e">
        <f>#REF!+";Hb!Fn"</f>
        <v>#REF!</v>
      </c>
      <c r="AP12" t="e">
        <f>#REF!+";Hb!Fo"</f>
        <v>#REF!</v>
      </c>
      <c r="AQ12" t="e">
        <f>#REF!+";Hb!Fp"</f>
        <v>#REF!</v>
      </c>
      <c r="AR12" t="e">
        <f>#REF!+";Hb!Fq"</f>
        <v>#REF!</v>
      </c>
      <c r="AS12" t="e">
        <f>#REF!+";Hb!Fr"</f>
        <v>#REF!</v>
      </c>
      <c r="AT12" t="e">
        <f>#REF!+";Hb!Fs"</f>
        <v>#REF!</v>
      </c>
      <c r="AU12" t="e">
        <f>#REF!+";Hb!Ft"</f>
        <v>#REF!</v>
      </c>
      <c r="AV12" t="e">
        <f>#REF!+";Hb!Fu"</f>
        <v>#REF!</v>
      </c>
      <c r="AW12" t="e">
        <f>#REF!+";Hb!Fv"</f>
        <v>#REF!</v>
      </c>
      <c r="AX12" t="e">
        <f>#REF!+";Hb!Fw"</f>
        <v>#REF!</v>
      </c>
      <c r="AY12" t="e">
        <f>#REF!+";Hb!Fx"</f>
        <v>#REF!</v>
      </c>
      <c r="AZ12" t="e">
        <f>#REF!+";Hb!Fy"</f>
        <v>#REF!</v>
      </c>
      <c r="BA12" t="e">
        <f>#REF!+";Hb!Fz"</f>
        <v>#REF!</v>
      </c>
      <c r="BB12" t="e">
        <f>#REF!+";Hb!F{"</f>
        <v>#REF!</v>
      </c>
      <c r="BC12" t="e">
        <f>#REF!+";Hb!F|"</f>
        <v>#REF!</v>
      </c>
      <c r="BD12" t="e">
        <f>#REF!+";Hb!F}"</f>
        <v>#REF!</v>
      </c>
      <c r="BE12" t="e">
        <f>#REF!+";Hb!F~"</f>
        <v>#REF!</v>
      </c>
      <c r="BF12" t="e">
        <f>#REF!+";Hb!G#"</f>
        <v>#REF!</v>
      </c>
      <c r="BG12" t="e">
        <f>#REF!+";Hb!G$"</f>
        <v>#REF!</v>
      </c>
      <c r="BH12" t="e">
        <f>#REF!+";Hb!G%"</f>
        <v>#REF!</v>
      </c>
      <c r="BI12" t="e">
        <f>#REF!+";Hb!G&amp;"</f>
        <v>#REF!</v>
      </c>
      <c r="BJ12" t="e">
        <f>#REF!+";Hb!G'"</f>
        <v>#REF!</v>
      </c>
      <c r="BK12" t="e">
        <f>#REF!+";Hb!G("</f>
        <v>#REF!</v>
      </c>
      <c r="BL12" t="e">
        <f>#REF!+";Hb!G)"</f>
        <v>#REF!</v>
      </c>
      <c r="BM12" t="e">
        <f>#REF!+";Hb!G."</f>
        <v>#REF!</v>
      </c>
      <c r="BN12" t="e">
        <f>#REF!+";Hb!G/"</f>
        <v>#REF!</v>
      </c>
      <c r="BO12" t="e">
        <f>#REF!+";Hb!G0"</f>
        <v>#REF!</v>
      </c>
      <c r="BP12" t="e">
        <f>#REF!+";Hb!G1"</f>
        <v>#REF!</v>
      </c>
      <c r="BQ12" t="e">
        <f>#REF!+";Hb!G2"</f>
        <v>#REF!</v>
      </c>
      <c r="BR12" t="e">
        <f>#REF!+";Hb!G3"</f>
        <v>#REF!</v>
      </c>
      <c r="BS12" t="e">
        <f>#REF!+";Hb!G4"</f>
        <v>#REF!</v>
      </c>
      <c r="BT12" t="e">
        <f>#REF!+";Hb!G5"</f>
        <v>#REF!</v>
      </c>
      <c r="BU12" t="e">
        <f>#REF!+";Hb!G6"</f>
        <v>#REF!</v>
      </c>
      <c r="BV12" t="e">
        <f>#REF!+";Hb!G7"</f>
        <v>#REF!</v>
      </c>
      <c r="BW12" t="e">
        <f>#REF!+";Hb!G8"</f>
        <v>#REF!</v>
      </c>
      <c r="BX12" t="e">
        <f>#REF!+";Hb!G9"</f>
        <v>#REF!</v>
      </c>
      <c r="BY12" t="e">
        <f>#REF!+";Hb!G:"</f>
        <v>#REF!</v>
      </c>
      <c r="BZ12" t="e">
        <f>#REF!+";Hb!G;"</f>
        <v>#REF!</v>
      </c>
      <c r="CA12" t="e">
        <f>#REF!+";Hb!G&lt;"</f>
        <v>#REF!</v>
      </c>
      <c r="CB12" t="e">
        <f>#REF!+";Hb!G="</f>
        <v>#REF!</v>
      </c>
      <c r="CC12" t="e">
        <f>#REF!+";Hb!G&gt;"</f>
        <v>#REF!</v>
      </c>
      <c r="CD12" t="e">
        <f>#REF!+";Hb!G?"</f>
        <v>#REF!</v>
      </c>
      <c r="CE12" t="e">
        <f>#REF!+";Hb!G@"</f>
        <v>#REF!</v>
      </c>
      <c r="CF12" t="e">
        <f>#REF!+";Hb!GA"</f>
        <v>#REF!</v>
      </c>
      <c r="CG12" t="e">
        <f>#REF!+";Hb!GB"</f>
        <v>#REF!</v>
      </c>
      <c r="CH12" t="e">
        <f>#REF!+";Hb!GC"</f>
        <v>#REF!</v>
      </c>
      <c r="CI12" t="e">
        <f>#REF!+";Hb!GD"</f>
        <v>#REF!</v>
      </c>
      <c r="CJ12" t="e">
        <f>#REF!+";Hb!GE"</f>
        <v>#REF!</v>
      </c>
      <c r="CK12" t="e">
        <f>#REF!+";Hb!GF"</f>
        <v>#REF!</v>
      </c>
      <c r="CL12" t="e">
        <f>#REF!+";Hb!GG"</f>
        <v>#REF!</v>
      </c>
      <c r="CM12" t="e">
        <f>#REF!+";Hb!GH"</f>
        <v>#REF!</v>
      </c>
      <c r="CN12" t="e">
        <f>#REF!+";Hb!GI"</f>
        <v>#REF!</v>
      </c>
      <c r="CO12" t="e">
        <f>#REF!+";Hb!GJ"</f>
        <v>#REF!</v>
      </c>
      <c r="CP12" t="e">
        <f>#REF!+";Hb!GK"</f>
        <v>#REF!</v>
      </c>
      <c r="CQ12" t="e">
        <f>#REF!+";Hb!GL"</f>
        <v>#REF!</v>
      </c>
      <c r="CR12" t="e">
        <f>#REF!+";Hb!GM"</f>
        <v>#REF!</v>
      </c>
      <c r="CS12" t="e">
        <f>#REF!+";Hb!GN"</f>
        <v>#REF!</v>
      </c>
      <c r="CT12" t="e">
        <f>#REF!+";Hb!GO"</f>
        <v>#REF!</v>
      </c>
      <c r="CU12" t="e">
        <f>#REF!+";Hb!GP"</f>
        <v>#REF!</v>
      </c>
      <c r="CV12" t="e">
        <f>#REF!+";Hb!GQ"</f>
        <v>#REF!</v>
      </c>
      <c r="CW12" t="e">
        <f>#REF!+";Hb!GR"</f>
        <v>#REF!</v>
      </c>
      <c r="CX12" t="e">
        <f>#REF!+";Hb!GS"</f>
        <v>#REF!</v>
      </c>
      <c r="CY12" t="e">
        <f>#REF!+";Hb!GT"</f>
        <v>#REF!</v>
      </c>
      <c r="CZ12" t="e">
        <f>#REF!+";Hb!GU"</f>
        <v>#REF!</v>
      </c>
      <c r="DA12" t="e">
        <f>#REF!+";Hb!GV"</f>
        <v>#REF!</v>
      </c>
      <c r="DB12" t="e">
        <f>#REF!+";Hb!GW"</f>
        <v>#REF!</v>
      </c>
      <c r="DC12" t="e">
        <f>#REF!+";Hb!GX"</f>
        <v>#REF!</v>
      </c>
      <c r="DD12" t="e">
        <f>#REF!+";Hb!GY"</f>
        <v>#REF!</v>
      </c>
      <c r="DE12" t="e">
        <f>#REF!+";Hb!GZ"</f>
        <v>#REF!</v>
      </c>
      <c r="DF12" t="e">
        <f>#REF!+";Hb!G["</f>
        <v>#REF!</v>
      </c>
      <c r="DG12" t="e">
        <f>#REF!+";Hb!G\"</f>
        <v>#REF!</v>
      </c>
      <c r="DH12" t="e">
        <f>#REF!+";Hb!G]"</f>
        <v>#REF!</v>
      </c>
      <c r="DI12" t="e">
        <f>#REF!+";Hb!G^"</f>
        <v>#REF!</v>
      </c>
      <c r="DJ12" t="e">
        <f>#REF!+";Hb!G_"</f>
        <v>#REF!</v>
      </c>
      <c r="DK12" t="e">
        <f>#REF!+";Hb!G`"</f>
        <v>#REF!</v>
      </c>
      <c r="DL12" t="e">
        <f>#REF!+";Hb!Ga"</f>
        <v>#REF!</v>
      </c>
      <c r="DM12" t="e">
        <f>#REF!+";Hb!Gb"</f>
        <v>#REF!</v>
      </c>
      <c r="DN12" t="e">
        <f>#REF!+";Hb!Gc"</f>
        <v>#REF!</v>
      </c>
      <c r="DO12" t="e">
        <f>#REF!+";Hb!Gd"</f>
        <v>#REF!</v>
      </c>
      <c r="DP12" t="e">
        <f>#REF!+";Hb!Ge"</f>
        <v>#REF!</v>
      </c>
      <c r="DQ12" t="e">
        <f>#REF!+";Hb!Gf"</f>
        <v>#REF!</v>
      </c>
      <c r="DR12" t="e">
        <f>#REF!+";Hb!Gg"</f>
        <v>#REF!</v>
      </c>
      <c r="DS12" t="e">
        <f>#REF!+";Hb!Gh"</f>
        <v>#REF!</v>
      </c>
      <c r="DT12" t="e">
        <f>#REF!+";Hb!Gi"</f>
        <v>#REF!</v>
      </c>
      <c r="DU12" t="e">
        <f>#REF!+";Hb!Gj"</f>
        <v>#REF!</v>
      </c>
      <c r="DV12" t="e">
        <f>#REF!+";Hb!Gk"</f>
        <v>#REF!</v>
      </c>
      <c r="DW12" t="e">
        <f>#REF!+";Hb!Gl"</f>
        <v>#REF!</v>
      </c>
      <c r="DX12" t="e">
        <f>#REF!+";Hb!Gm"</f>
        <v>#REF!</v>
      </c>
      <c r="DY12" t="e">
        <f>#REF!+";Hb!Gn"</f>
        <v>#REF!</v>
      </c>
      <c r="DZ12" t="e">
        <f>#REF!+";Hb!Go"</f>
        <v>#REF!</v>
      </c>
      <c r="EA12" t="e">
        <f>#REF!+";Hb!Gp"</f>
        <v>#REF!</v>
      </c>
      <c r="EB12" t="e">
        <f>#REF!+";Hb!Gq"</f>
        <v>#REF!</v>
      </c>
      <c r="EC12" t="e">
        <f>#REF!+";Hb!Gr"</f>
        <v>#REF!</v>
      </c>
      <c r="ED12" t="e">
        <f>#REF!+";Hb!Gs"</f>
        <v>#REF!</v>
      </c>
      <c r="EE12" t="e">
        <f>#REF!+";Hb!Gt"</f>
        <v>#REF!</v>
      </c>
      <c r="EF12" t="e">
        <f>#REF!+";Hb!Gu"</f>
        <v>#REF!</v>
      </c>
      <c r="EG12" t="e">
        <f>#REF!+";Hb!Gv"</f>
        <v>#REF!</v>
      </c>
      <c r="EH12" t="e">
        <f>#REF!+";Hb!Gw"</f>
        <v>#REF!</v>
      </c>
      <c r="EI12" t="e">
        <f>#REF!+";Hb!Gx"</f>
        <v>#REF!</v>
      </c>
      <c r="EJ12" t="e">
        <f>#REF!+";Hb!Gy"</f>
        <v>#REF!</v>
      </c>
      <c r="EK12" t="e">
        <f>#REF!+";Hb!Gz"</f>
        <v>#REF!</v>
      </c>
      <c r="EL12" t="e">
        <f>#REF!+";Hb!G{"</f>
        <v>#REF!</v>
      </c>
      <c r="EM12" t="e">
        <f>#REF!+";Hb!G|"</f>
        <v>#REF!</v>
      </c>
      <c r="EN12" t="e">
        <f>#REF!+";Hb!G}"</f>
        <v>#REF!</v>
      </c>
      <c r="EO12" t="e">
        <f>#REF!+";Hb!G~"</f>
        <v>#REF!</v>
      </c>
      <c r="EP12" t="e">
        <f>#REF!+";Hb!H#"</f>
        <v>#REF!</v>
      </c>
      <c r="EQ12" t="e">
        <f>#REF!+";Hb!H$"</f>
        <v>#REF!</v>
      </c>
      <c r="ER12" t="e">
        <f>#REF!+";Hb!H%"</f>
        <v>#REF!</v>
      </c>
      <c r="ES12" t="e">
        <f>#REF!+";Hb!H&amp;"</f>
        <v>#REF!</v>
      </c>
      <c r="ET12" t="e">
        <f>#REF!+";Hb!H'"</f>
        <v>#REF!</v>
      </c>
      <c r="EU12" t="e">
        <f>#REF!+";Hb!H("</f>
        <v>#REF!</v>
      </c>
      <c r="EV12" t="e">
        <f>#REF!+";Hb!H)"</f>
        <v>#REF!</v>
      </c>
      <c r="EW12" t="e">
        <f>#REF!+";Hb!H."</f>
        <v>#REF!</v>
      </c>
      <c r="EX12" t="e">
        <f>#REF!+";Hb!H/"</f>
        <v>#REF!</v>
      </c>
      <c r="EY12" t="e">
        <f>#REF!+";Hb!H0"</f>
        <v>#REF!</v>
      </c>
      <c r="EZ12" t="e">
        <f>#REF!+";Hb!H1"</f>
        <v>#REF!</v>
      </c>
      <c r="FA12" t="e">
        <f>#REF!+";Hb!H2"</f>
        <v>#REF!</v>
      </c>
      <c r="FB12" t="e">
        <f>#REF!+";Hb!H3"</f>
        <v>#REF!</v>
      </c>
      <c r="FC12" t="e">
        <f>#REF!+";Hb!H4"</f>
        <v>#REF!</v>
      </c>
      <c r="FD12" t="e">
        <f>#REF!+";Hb!H5"</f>
        <v>#REF!</v>
      </c>
      <c r="FE12" t="e">
        <f>#REF!+";Hb!H6"</f>
        <v>#REF!</v>
      </c>
      <c r="FF12" t="e">
        <f>#REF!+";Hb!H7"</f>
        <v>#REF!</v>
      </c>
      <c r="FG12" t="e">
        <f>#REF!+";Hb!H8"</f>
        <v>#REF!</v>
      </c>
      <c r="FH12" t="e">
        <f>#REF!+";Hb!H9"</f>
        <v>#REF!</v>
      </c>
      <c r="FI12" t="e">
        <f>#REF!+";Hb!H:"</f>
        <v>#REF!</v>
      </c>
      <c r="FJ12" t="e">
        <f>#REF!+";Hb!H;"</f>
        <v>#REF!</v>
      </c>
      <c r="FK12" t="e">
        <f>#REF!+";Hb!H&lt;"</f>
        <v>#REF!</v>
      </c>
      <c r="FL12" t="e">
        <f>#REF!+";Hb!H="</f>
        <v>#REF!</v>
      </c>
      <c r="FM12" t="e">
        <f>#REF!+";Hb!H&gt;"</f>
        <v>#REF!</v>
      </c>
      <c r="FN12" t="e">
        <f>#REF!+";Hb!H?"</f>
        <v>#REF!</v>
      </c>
      <c r="FO12" t="e">
        <f>#REF!+";Hb!H@"</f>
        <v>#REF!</v>
      </c>
      <c r="FP12" t="e">
        <f>#REF!+";Hb!HA"</f>
        <v>#REF!</v>
      </c>
      <c r="FQ12" t="e">
        <f>#REF!+";Hb!HB"</f>
        <v>#REF!</v>
      </c>
      <c r="FR12" t="e">
        <f>#REF!+";Hb!HC"</f>
        <v>#REF!</v>
      </c>
      <c r="FS12" t="e">
        <f>#REF!+";Hb!HD"</f>
        <v>#REF!</v>
      </c>
      <c r="FT12" t="e">
        <f>#REF!+";Hb!HE"</f>
        <v>#REF!</v>
      </c>
      <c r="FU12" t="e">
        <f>#REF!+";Hb!HF"</f>
        <v>#REF!</v>
      </c>
      <c r="FV12" t="e">
        <f>#REF!+";Hb!HG"</f>
        <v>#REF!</v>
      </c>
      <c r="FW12" t="e">
        <f>#REF!+";Hb!HH"</f>
        <v>#REF!</v>
      </c>
      <c r="FX12" t="e">
        <f>#REF!+";Hb!HI"</f>
        <v>#REF!</v>
      </c>
      <c r="FY12" t="e">
        <f>#REF!+";Hb!HJ"</f>
        <v>#REF!</v>
      </c>
      <c r="FZ12" t="e">
        <f>#REF!+";Hb!HK"</f>
        <v>#REF!</v>
      </c>
      <c r="GA12" t="e">
        <f>#REF!+";Hb!HL"</f>
        <v>#REF!</v>
      </c>
      <c r="GB12" t="e">
        <f>#REF!+";Hb!HM"</f>
        <v>#REF!</v>
      </c>
      <c r="GC12" t="e">
        <f>#REF!+";Hb!HN"</f>
        <v>#REF!</v>
      </c>
      <c r="GD12" t="e">
        <f>#REF!+";Hb!HO"</f>
        <v>#REF!</v>
      </c>
      <c r="GE12" t="e">
        <f>#REF!+";Hb!HP"</f>
        <v>#REF!</v>
      </c>
      <c r="GF12" t="e">
        <f>#REF!+";Hb!HQ"</f>
        <v>#REF!</v>
      </c>
      <c r="GG12" t="e">
        <f>#REF!+";Hb!HR"</f>
        <v>#REF!</v>
      </c>
      <c r="GH12" t="e">
        <f>#REF!+";Hb!HS"</f>
        <v>#REF!</v>
      </c>
      <c r="GI12" t="e">
        <f>#REF!+";Hb!HT"</f>
        <v>#REF!</v>
      </c>
      <c r="GJ12" t="e">
        <f>#REF!+";Hb!HU"</f>
        <v>#REF!</v>
      </c>
      <c r="GK12" t="e">
        <f>#REF!+";Hb!HV"</f>
        <v>#REF!</v>
      </c>
      <c r="GL12" t="e">
        <f>#REF!+";Hb!HW"</f>
        <v>#REF!</v>
      </c>
      <c r="GM12" t="e">
        <f>#REF!+";Hb!HX"</f>
        <v>#REF!</v>
      </c>
      <c r="GN12" t="e">
        <f>#REF!+";Hb!HY"</f>
        <v>#REF!</v>
      </c>
      <c r="GO12" t="e">
        <f>#REF!+";Hb!HZ"</f>
        <v>#REF!</v>
      </c>
      <c r="GP12" t="e">
        <f>#REF!+";Hb!H["</f>
        <v>#REF!</v>
      </c>
      <c r="GQ12" t="e">
        <f>#REF!+";Hb!H\"</f>
        <v>#REF!</v>
      </c>
      <c r="GR12" t="e">
        <f>#REF!+";Hb!H]"</f>
        <v>#REF!</v>
      </c>
      <c r="GS12" t="e">
        <f>#REF!+";Hb!H^"</f>
        <v>#REF!</v>
      </c>
      <c r="GT12" t="e">
        <f>#REF!+";Hb!H_"</f>
        <v>#REF!</v>
      </c>
      <c r="GU12" t="e">
        <f>#REF!+";Hb!H`"</f>
        <v>#REF!</v>
      </c>
      <c r="GV12" t="e">
        <f>#REF!+";Hb!Ha"</f>
        <v>#REF!</v>
      </c>
      <c r="GW12" t="e">
        <f>#REF!+";Hb!Hb"</f>
        <v>#REF!</v>
      </c>
      <c r="GX12" t="e">
        <f>#REF!+";Hb!Hc"</f>
        <v>#REF!</v>
      </c>
      <c r="GY12" t="e">
        <f>#REF!+";Hb!Hd"</f>
        <v>#REF!</v>
      </c>
      <c r="GZ12" t="e">
        <f>#REF!+";Hb!He"</f>
        <v>#REF!</v>
      </c>
      <c r="HA12" t="e">
        <f>#REF!+";Hb!Hf"</f>
        <v>#REF!</v>
      </c>
      <c r="HB12" t="e">
        <f>#REF!+";Hb!Hg"</f>
        <v>#REF!</v>
      </c>
      <c r="HC12" t="e">
        <f>#REF!+";Hb!Hh"</f>
        <v>#REF!</v>
      </c>
      <c r="HD12" t="e">
        <f>#REF!+";Hb!Hi"</f>
        <v>#REF!</v>
      </c>
      <c r="HE12" t="e">
        <f>#REF!+";Hb!Hj"</f>
        <v>#REF!</v>
      </c>
      <c r="HF12" t="e">
        <f>#REF!+";Hb!Hk"</f>
        <v>#REF!</v>
      </c>
      <c r="HG12" t="e">
        <f>#REF!+";Hb!Hl"</f>
        <v>#REF!</v>
      </c>
      <c r="HH12" t="e">
        <f>#REF!+";Hb!Hm"</f>
        <v>#REF!</v>
      </c>
      <c r="HI12" t="e">
        <f>#REF!+";Hb!Hn"</f>
        <v>#REF!</v>
      </c>
      <c r="HJ12" t="e">
        <f>#REF!+";Hb!Ho"</f>
        <v>#REF!</v>
      </c>
      <c r="HK12" t="e">
        <f>#REF!+";Hb!Hp"</f>
        <v>#REF!</v>
      </c>
      <c r="HL12" t="e">
        <f>#REF!+";Hb!Hq"</f>
        <v>#REF!</v>
      </c>
      <c r="HM12" t="e">
        <f>#REF!+";Hb!Hr"</f>
        <v>#REF!</v>
      </c>
      <c r="HN12" t="e">
        <f>#REF!+";Hb!Hs"</f>
        <v>#REF!</v>
      </c>
      <c r="HO12" t="e">
        <f>#REF!+";Hb!Ht"</f>
        <v>#REF!</v>
      </c>
      <c r="HP12" t="e">
        <f>#REF!+";Hb!Hu"</f>
        <v>#REF!</v>
      </c>
      <c r="HQ12" t="e">
        <f>#REF!+";Hb!Hv"</f>
        <v>#REF!</v>
      </c>
      <c r="HR12" t="e">
        <f>#REF!+";Hb!Hw"</f>
        <v>#REF!</v>
      </c>
      <c r="HS12" t="e">
        <f>#REF!+";Hb!Hx"</f>
        <v>#REF!</v>
      </c>
      <c r="HT12" t="e">
        <f>#REF!+";Hb!Hy"</f>
        <v>#REF!</v>
      </c>
      <c r="HU12" t="e">
        <f>#REF!+";Hb!Hz"</f>
        <v>#REF!</v>
      </c>
      <c r="HV12" t="e">
        <f>#REF!+";Hb!H{"</f>
        <v>#REF!</v>
      </c>
      <c r="HW12" t="e">
        <f>#REF!+";Hb!H|"</f>
        <v>#REF!</v>
      </c>
      <c r="HX12" t="e">
        <f>#REF!+";Hb!H}"</f>
        <v>#REF!</v>
      </c>
      <c r="HY12" t="e">
        <f>#REF!+";Hb!H~"</f>
        <v>#REF!</v>
      </c>
      <c r="HZ12" t="e">
        <f>#REF!+";Hb!I#"</f>
        <v>#REF!</v>
      </c>
      <c r="IA12" t="e">
        <f>#REF!+";Hb!I$"</f>
        <v>#REF!</v>
      </c>
      <c r="IB12" t="e">
        <f>#REF!+";Hb!I%"</f>
        <v>#REF!</v>
      </c>
      <c r="IC12" t="e">
        <f>#REF!+";Hb!I&amp;"</f>
        <v>#REF!</v>
      </c>
      <c r="ID12" t="e">
        <f>#REF!+";Hb!I'"</f>
        <v>#REF!</v>
      </c>
      <c r="IE12" t="e">
        <f>#REF!+";Hb!I("</f>
        <v>#REF!</v>
      </c>
      <c r="IF12" t="e">
        <f>#REF!+";Hb!I)"</f>
        <v>#REF!</v>
      </c>
      <c r="IG12" t="e">
        <f>#REF!+";Hb!I."</f>
        <v>#REF!</v>
      </c>
      <c r="IH12" t="e">
        <f>#REF!+";Hb!I/"</f>
        <v>#REF!</v>
      </c>
      <c r="II12" t="e">
        <f>#REF!+";Hb!I0"</f>
        <v>#REF!</v>
      </c>
      <c r="IJ12" t="e">
        <f>#REF!+";Hb!I1"</f>
        <v>#REF!</v>
      </c>
      <c r="IK12" t="e">
        <f>#REF!+";Hb!I2"</f>
        <v>#REF!</v>
      </c>
      <c r="IL12" t="e">
        <f>#REF!+";Hb!I3"</f>
        <v>#REF!</v>
      </c>
      <c r="IM12" t="e">
        <f>#REF!+";Hb!I4"</f>
        <v>#REF!</v>
      </c>
      <c r="IN12" t="e">
        <f>#REF!+";Hb!I5"</f>
        <v>#REF!</v>
      </c>
      <c r="IO12" t="e">
        <f>#REF!+";Hb!I6"</f>
        <v>#REF!</v>
      </c>
      <c r="IP12" t="e">
        <f>#REF!+";Hb!I7"</f>
        <v>#REF!</v>
      </c>
      <c r="IQ12" t="e">
        <f>#REF!+";Hb!I8"</f>
        <v>#REF!</v>
      </c>
      <c r="IR12" t="e">
        <f>#REF!+";Hb!I9"</f>
        <v>#REF!</v>
      </c>
      <c r="IS12" t="e">
        <f>#REF!+";Hb!I:"</f>
        <v>#REF!</v>
      </c>
      <c r="IT12" t="e">
        <f>#REF!+";Hb!I;"</f>
        <v>#REF!</v>
      </c>
      <c r="IU12" t="e">
        <f>#REF!+";Hb!I&lt;"</f>
        <v>#REF!</v>
      </c>
      <c r="IV12" t="e">
        <f>#REF!+";Hb!I="</f>
        <v>#REF!</v>
      </c>
    </row>
    <row r="13" spans="1:256" x14ac:dyDescent="0.25">
      <c r="F13" t="e">
        <f>#REF!+";Hb!I&gt;"</f>
        <v>#REF!</v>
      </c>
      <c r="G13" t="e">
        <f>#REF!+";Hb!I?"</f>
        <v>#REF!</v>
      </c>
      <c r="H13" t="e">
        <f>#REF!+";Hb!I@"</f>
        <v>#REF!</v>
      </c>
      <c r="I13" t="e">
        <f>#REF!+";Hb!IA"</f>
        <v>#REF!</v>
      </c>
      <c r="J13" t="e">
        <f>#REF!+";Hb!IB"</f>
        <v>#REF!</v>
      </c>
      <c r="K13" t="e">
        <f>#REF!+";Hb!IC"</f>
        <v>#REF!</v>
      </c>
      <c r="L13" t="e">
        <f>#REF!+";Hb!ID"</f>
        <v>#REF!</v>
      </c>
      <c r="M13" t="e">
        <f>#REF!+";Hb!IE"</f>
        <v>#REF!</v>
      </c>
      <c r="N13" t="e">
        <f>#REF!+";Hb!IF"</f>
        <v>#REF!</v>
      </c>
      <c r="O13" t="e">
        <f>#REF!+";Hb!IG"</f>
        <v>#REF!</v>
      </c>
      <c r="P13" t="e">
        <f>#REF!+";Hb!IH"</f>
        <v>#REF!</v>
      </c>
      <c r="Q13" t="e">
        <f>#REF!+";Hb!II"</f>
        <v>#REF!</v>
      </c>
      <c r="R13" t="e">
        <f>#REF!+";Hb!IJ"</f>
        <v>#REF!</v>
      </c>
      <c r="S13" t="e">
        <f>#REF!+";Hb!IK"</f>
        <v>#REF!</v>
      </c>
      <c r="T13" t="e">
        <f>#REF!+";Hb!IL"</f>
        <v>#REF!</v>
      </c>
      <c r="U13" t="e">
        <f>#REF!+";Hb!IM"</f>
        <v>#REF!</v>
      </c>
      <c r="V13" t="e">
        <f>#REF!+";Hb!IN"</f>
        <v>#REF!</v>
      </c>
      <c r="W13" t="e">
        <f>#REF!+";Hb!IO"</f>
        <v>#REF!</v>
      </c>
      <c r="X13" t="e">
        <f>#REF!+";Hb!IP"</f>
        <v>#REF!</v>
      </c>
      <c r="Y13" t="e">
        <f>#REF!+";Hb!IQ"</f>
        <v>#REF!</v>
      </c>
      <c r="Z13" t="e">
        <f>#REF!+";Hb!IR"</f>
        <v>#REF!</v>
      </c>
      <c r="AA13" t="e">
        <f>#REF!+";Hb!IS"</f>
        <v>#REF!</v>
      </c>
      <c r="AB13" t="e">
        <f>#REF!+";Hb!IT"</f>
        <v>#REF!</v>
      </c>
      <c r="AC13" t="e">
        <f>#REF!+";Hb!IU"</f>
        <v>#REF!</v>
      </c>
      <c r="AD13" t="e">
        <f>#REF!+";Hb!IV"</f>
        <v>#REF!</v>
      </c>
      <c r="AE13" t="e">
        <f>#REF!+";Hb!IW"</f>
        <v>#REF!</v>
      </c>
      <c r="AF13" t="e">
        <f>#REF!+";Hb!IX"</f>
        <v>#REF!</v>
      </c>
      <c r="AG13" t="e">
        <f>#REF!+";Hb!IY"</f>
        <v>#REF!</v>
      </c>
      <c r="AH13" t="e">
        <f>#REF!+";Hb!IZ"</f>
        <v>#REF!</v>
      </c>
      <c r="AI13" t="e">
        <f>#REF!+";Hb!I["</f>
        <v>#REF!</v>
      </c>
      <c r="AJ13" t="e">
        <f>#REF!+";Hb!I\"</f>
        <v>#REF!</v>
      </c>
      <c r="AK13" t="e">
        <f>#REF!+";Hb!I]"</f>
        <v>#REF!</v>
      </c>
      <c r="AL13" t="e">
        <f>#REF!+";Hb!I^"</f>
        <v>#REF!</v>
      </c>
      <c r="AM13" t="e">
        <f>#REF!+";Hb!I_"</f>
        <v>#REF!</v>
      </c>
      <c r="AN13" t="e">
        <f>#REF!+";Hb!I`"</f>
        <v>#REF!</v>
      </c>
      <c r="AO13" t="e">
        <f>#REF!+";Hb!Ia"</f>
        <v>#REF!</v>
      </c>
      <c r="AP13" t="e">
        <f>#REF!+";Hb!Ib"</f>
        <v>#REF!</v>
      </c>
      <c r="AQ13" t="e">
        <f>#REF!+";Hb!Ic"</f>
        <v>#REF!</v>
      </c>
      <c r="AR13" t="e">
        <f>#REF!+";Hb!Id"</f>
        <v>#REF!</v>
      </c>
      <c r="AS13" t="e">
        <f>#REF!+";Hb!Ie"</f>
        <v>#REF!</v>
      </c>
      <c r="AT13" t="e">
        <f>#REF!+";Hb!If"</f>
        <v>#REF!</v>
      </c>
      <c r="AU13" t="e">
        <f>#REF!+";Hb!Ig"</f>
        <v>#REF!</v>
      </c>
      <c r="AV13" t="e">
        <f>#REF!+";Hb!Ih"</f>
        <v>#REF!</v>
      </c>
      <c r="AW13" t="e">
        <f>#REF!+";Hb!Ii"</f>
        <v>#REF!</v>
      </c>
      <c r="AX13" t="e">
        <f>#REF!+";Hb!Ij"</f>
        <v>#REF!</v>
      </c>
      <c r="AY13" t="e">
        <f>#REF!+";Hb!Ik"</f>
        <v>#REF!</v>
      </c>
      <c r="AZ13" t="e">
        <f>#REF!+";Hb!Il"</f>
        <v>#REF!</v>
      </c>
      <c r="BA13" t="e">
        <f>#REF!+";Hb!Im"</f>
        <v>#REF!</v>
      </c>
      <c r="BB13" t="e">
        <f>#REF!+";Hb!In"</f>
        <v>#REF!</v>
      </c>
      <c r="BC13" t="e">
        <f>#REF!+";Hb!Io"</f>
        <v>#REF!</v>
      </c>
      <c r="BD13" t="e">
        <f>#REF!+";Hb!Ip"</f>
        <v>#REF!</v>
      </c>
      <c r="BE13" t="e">
        <f>#REF!+";Hb!Iq"</f>
        <v>#REF!</v>
      </c>
      <c r="BF13" t="e">
        <f>#REF!+";Hb!Ir"</f>
        <v>#REF!</v>
      </c>
      <c r="BG13" t="e">
        <f>#REF!+";Hb!Is"</f>
        <v>#REF!</v>
      </c>
      <c r="BH13" t="e">
        <f>#REF!+";Hb!It"</f>
        <v>#REF!</v>
      </c>
      <c r="BI13" t="e">
        <f>#REF!+";Hb!Iu"</f>
        <v>#REF!</v>
      </c>
      <c r="BJ13" t="e">
        <f>#REF!+";Hb!Iv"</f>
        <v>#REF!</v>
      </c>
      <c r="BK13" t="e">
        <f>#REF!+";Hb!Iw"</f>
        <v>#REF!</v>
      </c>
      <c r="BL13" t="e">
        <f>#REF!+";Hb!Ix"</f>
        <v>#REF!</v>
      </c>
      <c r="BM13" t="e">
        <f>#REF!+";Hb!Iy"</f>
        <v>#REF!</v>
      </c>
      <c r="BN13" t="e">
        <f>#REF!+";Hb!Iz"</f>
        <v>#REF!</v>
      </c>
      <c r="BO13" t="e">
        <f>#REF!+";Hb!I{"</f>
        <v>#REF!</v>
      </c>
      <c r="BP13" t="e">
        <f>#REF!+";Hb!I|"</f>
        <v>#REF!</v>
      </c>
      <c r="BQ13" t="e">
        <f>#REF!+";Hb!I}"</f>
        <v>#REF!</v>
      </c>
      <c r="BR13" t="e">
        <f>#REF!+";Hb!I~"</f>
        <v>#REF!</v>
      </c>
      <c r="BS13" t="e">
        <f>#REF!+";Hb!J#"</f>
        <v>#REF!</v>
      </c>
      <c r="BT13" t="e">
        <f>#REF!+";Hb!J$"</f>
        <v>#REF!</v>
      </c>
      <c r="BU13" t="e">
        <f>#REF!+";Hb!J%"</f>
        <v>#REF!</v>
      </c>
      <c r="BV13" t="e">
        <f>#REF!+";Hb!J&amp;"</f>
        <v>#REF!</v>
      </c>
      <c r="BW13" t="e">
        <f>#REF!+";Hb!J'"</f>
        <v>#REF!</v>
      </c>
      <c r="BX13" t="e">
        <f>#REF!+";Hb!J("</f>
        <v>#REF!</v>
      </c>
      <c r="BY13" t="e">
        <f>#REF!+";Hb!J)"</f>
        <v>#REF!</v>
      </c>
      <c r="BZ13" t="e">
        <f>#REF!+";Hb!J."</f>
        <v>#REF!</v>
      </c>
      <c r="CA13" t="e">
        <f>#REF!+";Hb!J/"</f>
        <v>#REF!</v>
      </c>
      <c r="CB13" t="e">
        <f>#REF!+";Hb!J0"</f>
        <v>#REF!</v>
      </c>
      <c r="CC13" t="e">
        <f>#REF!+";Hb!J1"</f>
        <v>#REF!</v>
      </c>
      <c r="CD13" t="e">
        <f>#REF!+";Hb!J2"</f>
        <v>#REF!</v>
      </c>
      <c r="CE13" t="e">
        <f>#REF!+";Hb!J3"</f>
        <v>#REF!</v>
      </c>
      <c r="CF13" t="e">
        <f>#REF!+";Hb!J4"</f>
        <v>#REF!</v>
      </c>
      <c r="CG13" t="e">
        <f>#REF!+";Hb!J5"</f>
        <v>#REF!</v>
      </c>
      <c r="CH13" t="e">
        <f>#REF!+";Hb!J6"</f>
        <v>#REF!</v>
      </c>
      <c r="CI13" t="e">
        <f>#REF!+";Hb!J7"</f>
        <v>#REF!</v>
      </c>
      <c r="CJ13" t="e">
        <f>#REF!+";Hb!J8"</f>
        <v>#REF!</v>
      </c>
      <c r="CK13" t="e">
        <f>#REF!+";Hb!J9"</f>
        <v>#REF!</v>
      </c>
      <c r="CL13" t="e">
        <f>#REF!+";Hb!J:"</f>
        <v>#REF!</v>
      </c>
      <c r="CM13" t="e">
        <f>#REF!+";Hb!J;"</f>
        <v>#REF!</v>
      </c>
      <c r="CN13" t="e">
        <f>#REF!+";Hb!J&lt;"</f>
        <v>#REF!</v>
      </c>
      <c r="CO13" t="e">
        <f>#REF!+";Hb!J="</f>
        <v>#REF!</v>
      </c>
      <c r="CP13" t="e">
        <f>#REF!+";Hb!J&gt;"</f>
        <v>#REF!</v>
      </c>
      <c r="CQ13" t="e">
        <f>#REF!+";Hb!J?"</f>
        <v>#REF!</v>
      </c>
      <c r="CR13" t="e">
        <f>#REF!+";Hb!J@"</f>
        <v>#REF!</v>
      </c>
      <c r="CS13" t="e">
        <f>#REF!+";Hb!JA"</f>
        <v>#REF!</v>
      </c>
      <c r="CT13" t="e">
        <f>#REF!+";Hb!JB"</f>
        <v>#REF!</v>
      </c>
      <c r="CU13" t="e">
        <f>#REF!+";Hb!JC"</f>
        <v>#REF!</v>
      </c>
      <c r="CV13" t="e">
        <f>#REF!+";Hb!JD"</f>
        <v>#REF!</v>
      </c>
      <c r="CW13" t="e">
        <f>#REF!+";Hb!JE"</f>
        <v>#REF!</v>
      </c>
      <c r="CX13" t="e">
        <f>#REF!+";Hb!JF"</f>
        <v>#REF!</v>
      </c>
      <c r="CY13" t="e">
        <f>#REF!+";Hb!JG"</f>
        <v>#REF!</v>
      </c>
      <c r="CZ13" t="e">
        <f>#REF!+";Hb!JH"</f>
        <v>#REF!</v>
      </c>
      <c r="DA13" t="e">
        <f>#REF!+";Hb!JI"</f>
        <v>#REF!</v>
      </c>
      <c r="DB13" t="e">
        <f>#REF!+";Hb!JJ"</f>
        <v>#REF!</v>
      </c>
      <c r="DC13" t="e">
        <f>#REF!+";Hb!JK"</f>
        <v>#REF!</v>
      </c>
      <c r="DD13" t="e">
        <f>#REF!+";Hb!JL"</f>
        <v>#REF!</v>
      </c>
      <c r="DE13" t="e">
        <f>#REF!+";Hb!JM"</f>
        <v>#REF!</v>
      </c>
      <c r="DF13" t="e">
        <f>#REF!+";Hb!JN"</f>
        <v>#REF!</v>
      </c>
      <c r="DG13" t="e">
        <f>#REF!+";Hb!JO"</f>
        <v>#REF!</v>
      </c>
      <c r="DH13" t="e">
        <f>#REF!+";Hb!JP"</f>
        <v>#REF!</v>
      </c>
      <c r="DI13" t="e">
        <f>#REF!+";Hb!JQ"</f>
        <v>#REF!</v>
      </c>
      <c r="DJ13" t="e">
        <f>#REF!+";Hb!JR"</f>
        <v>#REF!</v>
      </c>
      <c r="DK13" t="e">
        <f>#REF!+";Hb!JS"</f>
        <v>#REF!</v>
      </c>
      <c r="DL13" t="e">
        <f>#REF!+";Hb!JT"</f>
        <v>#REF!</v>
      </c>
      <c r="DM13" t="e">
        <f>#REF!+";Hb!JU"</f>
        <v>#REF!</v>
      </c>
      <c r="DN13" t="e">
        <f>#REF!+";Hb!JV"</f>
        <v>#REF!</v>
      </c>
      <c r="DO13" t="e">
        <f>#REF!+";Hb!JW"</f>
        <v>#REF!</v>
      </c>
      <c r="DP13" t="e">
        <f>#REF!+";Hb!JX"</f>
        <v>#REF!</v>
      </c>
      <c r="DQ13" t="e">
        <f>#REF!+";Hb!JY"</f>
        <v>#REF!</v>
      </c>
      <c r="DR13" t="e">
        <f>#REF!+";Hb!JZ"</f>
        <v>#REF!</v>
      </c>
      <c r="DS13" t="e">
        <f>#REF!+";Hb!J["</f>
        <v>#REF!</v>
      </c>
      <c r="DT13" t="e">
        <f>#REF!+";Hb!J\"</f>
        <v>#REF!</v>
      </c>
      <c r="DU13" t="e">
        <f>#REF!+";Hb!J]"</f>
        <v>#REF!</v>
      </c>
      <c r="DV13" t="e">
        <f>#REF!+";Hb!J^"</f>
        <v>#REF!</v>
      </c>
      <c r="DW13" t="e">
        <f>#REF!+";Hb!J_"</f>
        <v>#REF!</v>
      </c>
      <c r="DX13" t="e">
        <f>#REF!+";Hb!J`"</f>
        <v>#REF!</v>
      </c>
      <c r="DY13" t="e">
        <f>#REF!+";Hb!Ja"</f>
        <v>#REF!</v>
      </c>
      <c r="DZ13" t="e">
        <f>#REF!+";Hb!Jb"</f>
        <v>#REF!</v>
      </c>
      <c r="EA13" t="e">
        <f>#REF!+";Hb!Jc"</f>
        <v>#REF!</v>
      </c>
      <c r="EB13" t="e">
        <f>#REF!+";Hb!Jd"</f>
        <v>#REF!</v>
      </c>
      <c r="EC13" t="e">
        <f>#REF!+";Hb!Je"</f>
        <v>#REF!</v>
      </c>
      <c r="ED13" t="e">
        <f>#REF!+";Hb!Jf"</f>
        <v>#REF!</v>
      </c>
      <c r="EE13" t="e">
        <f>#REF!+";Hb!Jg"</f>
        <v>#REF!</v>
      </c>
      <c r="EF13" t="e">
        <f>#REF!+";Hb!Jh"</f>
        <v>#REF!</v>
      </c>
      <c r="EG13" t="e">
        <f>#REF!+";Hb!Ji"</f>
        <v>#REF!</v>
      </c>
      <c r="EH13" t="e">
        <f>#REF!+";Hb!Jj"</f>
        <v>#REF!</v>
      </c>
      <c r="EI13" t="e">
        <f>#REF!+";Hb!Jk"</f>
        <v>#REF!</v>
      </c>
      <c r="EJ13" t="e">
        <f>#REF!+";Hb!Jl"</f>
        <v>#REF!</v>
      </c>
      <c r="EK13" t="e">
        <f>#REF!+";Hb!Jm"</f>
        <v>#REF!</v>
      </c>
      <c r="EL13" t="e">
        <f>#REF!+";Hb!Jn"</f>
        <v>#REF!</v>
      </c>
      <c r="EM13" t="e">
        <f>#REF!+";Hb!Jo"</f>
        <v>#REF!</v>
      </c>
      <c r="EN13" t="e">
        <f>#REF!+";Hb!Jp"</f>
        <v>#REF!</v>
      </c>
      <c r="EO13" t="e">
        <f>#REF!+";Hb!Jq"</f>
        <v>#REF!</v>
      </c>
      <c r="EP13" t="e">
        <f>#REF!+";Hb!Jr"</f>
        <v>#REF!</v>
      </c>
      <c r="EQ13" t="e">
        <f>#REF!+";Hb!Js"</f>
        <v>#REF!</v>
      </c>
      <c r="ER13" t="e">
        <f>#REF!+";Hb!Jt"</f>
        <v>#REF!</v>
      </c>
      <c r="ES13" t="e">
        <f>#REF!+";Hb!Ju"</f>
        <v>#REF!</v>
      </c>
      <c r="ET13" t="e">
        <f>#REF!+";Hb!Jv"</f>
        <v>#REF!</v>
      </c>
      <c r="EU13" t="e">
        <f>#REF!+";Hb!Jw"</f>
        <v>#REF!</v>
      </c>
      <c r="EV13" t="e">
        <f>#REF!+";Hb!Jx"</f>
        <v>#REF!</v>
      </c>
      <c r="EW13" t="e">
        <f>#REF!+";Hb!Jy"</f>
        <v>#REF!</v>
      </c>
      <c r="EX13" t="e">
        <f>#REF!+";Hb!Jz"</f>
        <v>#REF!</v>
      </c>
      <c r="EY13" t="e">
        <f>#REF!+";Hb!J{"</f>
        <v>#REF!</v>
      </c>
      <c r="EZ13" t="e">
        <f>#REF!+";Hb!J|"</f>
        <v>#REF!</v>
      </c>
      <c r="FA13" t="e">
        <f>#REF!+";Hb!J}"</f>
        <v>#REF!</v>
      </c>
      <c r="FB13" t="e">
        <f>#REF!+";Hb!J~"</f>
        <v>#REF!</v>
      </c>
      <c r="FC13" t="e">
        <f>#REF!+";Hb!K#"</f>
        <v>#REF!</v>
      </c>
      <c r="FD13" t="e">
        <f>#REF!+";Hb!K$"</f>
        <v>#REF!</v>
      </c>
      <c r="FE13" t="e">
        <f>#REF!+";Hb!K%"</f>
        <v>#REF!</v>
      </c>
      <c r="FF13" t="e">
        <f>#REF!+";Hb!K&amp;"</f>
        <v>#REF!</v>
      </c>
      <c r="FG13" t="e">
        <f>#REF!+";Hb!K'"</f>
        <v>#REF!</v>
      </c>
      <c r="FH13" t="e">
        <f>#REF!+";Hb!K("</f>
        <v>#REF!</v>
      </c>
      <c r="FI13" t="e">
        <f>#REF!+";Hb!K)"</f>
        <v>#REF!</v>
      </c>
      <c r="FJ13" t="e">
        <f>#REF!+";Hb!K."</f>
        <v>#REF!</v>
      </c>
      <c r="FK13" t="e">
        <f>#REF!+";Hb!K/"</f>
        <v>#REF!</v>
      </c>
      <c r="FL13" t="e">
        <f>#REF!+";Hb!K0"</f>
        <v>#REF!</v>
      </c>
      <c r="FM13" t="e">
        <f>#REF!+";Hb!K1"</f>
        <v>#REF!</v>
      </c>
      <c r="FN13" t="e">
        <f>#REF!+";Hb!K2"</f>
        <v>#REF!</v>
      </c>
      <c r="FO13" t="e">
        <f>#REF!+";Hb!K3"</f>
        <v>#REF!</v>
      </c>
      <c r="FP13" t="e">
        <f>#REF!+";Hb!K4"</f>
        <v>#REF!</v>
      </c>
      <c r="FQ13" t="e">
        <f>#REF!+";Hb!K5"</f>
        <v>#REF!</v>
      </c>
      <c r="FR13" t="e">
        <f>#REF!+";Hb!K6"</f>
        <v>#REF!</v>
      </c>
      <c r="FS13" t="e">
        <f>#REF!+";Hb!K7"</f>
        <v>#REF!</v>
      </c>
      <c r="FT13" t="e">
        <f>#REF!+";Hb!K8"</f>
        <v>#REF!</v>
      </c>
      <c r="FU13" t="e">
        <f>#REF!+";Hb!K9"</f>
        <v>#REF!</v>
      </c>
      <c r="FV13" t="e">
        <f>#REF!+";Hb!K:"</f>
        <v>#REF!</v>
      </c>
      <c r="FW13" t="e">
        <f>#REF!+";Hb!K;"</f>
        <v>#REF!</v>
      </c>
      <c r="FX13" t="e">
        <f>#REF!+";Hb!K&lt;"</f>
        <v>#REF!</v>
      </c>
      <c r="FY13" t="e">
        <f>#REF!+";Hb!K="</f>
        <v>#REF!</v>
      </c>
      <c r="FZ13" t="e">
        <f>#REF!+";Hb!K&gt;"</f>
        <v>#REF!</v>
      </c>
      <c r="GA13" t="e">
        <f>#REF!+";Hb!K?"</f>
        <v>#REF!</v>
      </c>
      <c r="GB13" t="e">
        <f>#REF!+";Hb!K@"</f>
        <v>#REF!</v>
      </c>
      <c r="GC13" t="e">
        <f>#REF!+";Hb!KA"</f>
        <v>#REF!</v>
      </c>
      <c r="GD13" t="e">
        <f>#REF!+";Hb!KB"</f>
        <v>#REF!</v>
      </c>
      <c r="GE13" t="e">
        <f>#REF!+";Hb!KC"</f>
        <v>#REF!</v>
      </c>
      <c r="GF13" t="e">
        <f>#REF!+";Hb!KD"</f>
        <v>#REF!</v>
      </c>
      <c r="GG13" t="e">
        <f>#REF!+";Hb!KE"</f>
        <v>#REF!</v>
      </c>
      <c r="GH13" t="e">
        <f>#REF!+";Hb!KF"</f>
        <v>#REF!</v>
      </c>
      <c r="GI13" t="e">
        <f>#REF!+";Hb!KG"</f>
        <v>#REF!</v>
      </c>
      <c r="GJ13" t="e">
        <f>#REF!+";Hb!KH"</f>
        <v>#REF!</v>
      </c>
      <c r="GK13" t="e">
        <f>#REF!+";Hb!KI"</f>
        <v>#REF!</v>
      </c>
      <c r="GL13" t="e">
        <f>#REF!+";Hb!KJ"</f>
        <v>#REF!</v>
      </c>
      <c r="GM13" t="e">
        <f>#REF!+";Hb!KK"</f>
        <v>#REF!</v>
      </c>
      <c r="GN13" t="e">
        <f>#REF!+";Hb!KL"</f>
        <v>#REF!</v>
      </c>
      <c r="GO13" t="e">
        <f>#REF!+";Hb!KM"</f>
        <v>#REF!</v>
      </c>
      <c r="GP13" t="e">
        <f>#REF!+";Hb!KN"</f>
        <v>#REF!</v>
      </c>
      <c r="GQ13" t="e">
        <f>#REF!+";Hb!KO"</f>
        <v>#REF!</v>
      </c>
      <c r="GR13" t="e">
        <f>#REF!+";Hb!KP"</f>
        <v>#REF!</v>
      </c>
      <c r="GS13" t="e">
        <f>#REF!+";Hb!KQ"</f>
        <v>#REF!</v>
      </c>
      <c r="GT13" t="e">
        <f>#REF!+";Hb!KR"</f>
        <v>#REF!</v>
      </c>
      <c r="GU13" t="e">
        <f>#REF!+";Hb!KS"</f>
        <v>#REF!</v>
      </c>
      <c r="GV13" t="e">
        <f>#REF!+";Hb!KT"</f>
        <v>#REF!</v>
      </c>
      <c r="GW13" t="e">
        <f>#REF!+";Hb!KU"</f>
        <v>#REF!</v>
      </c>
      <c r="GX13" t="e">
        <f>#REF!+";Hb!KV"</f>
        <v>#REF!</v>
      </c>
      <c r="GY13" t="e">
        <f>#REF!+";Hb!KW"</f>
        <v>#REF!</v>
      </c>
      <c r="GZ13" t="e">
        <f>#REF!+";Hb!KX"</f>
        <v>#REF!</v>
      </c>
      <c r="HA13" t="e">
        <f>#REF!+";Hb!KY"</f>
        <v>#REF!</v>
      </c>
      <c r="HB13" t="e">
        <f>#REF!+";Hb!KZ"</f>
        <v>#REF!</v>
      </c>
      <c r="HC13" t="e">
        <f>#REF!+";Hb!K["</f>
        <v>#REF!</v>
      </c>
      <c r="HD13" t="e">
        <f>#REF!+";Hb!K\"</f>
        <v>#REF!</v>
      </c>
      <c r="HE13" t="e">
        <f>#REF!+";Hb!K]"</f>
        <v>#REF!</v>
      </c>
      <c r="HF13" t="e">
        <f>#REF!+";Hb!K^"</f>
        <v>#REF!</v>
      </c>
      <c r="HG13" t="e">
        <f>#REF!+";Hb!K_"</f>
        <v>#REF!</v>
      </c>
      <c r="HH13" t="e">
        <f>#REF!+";Hb!K`"</f>
        <v>#REF!</v>
      </c>
      <c r="HI13" t="e">
        <f>#REF!+";Hb!Ka"</f>
        <v>#REF!</v>
      </c>
      <c r="HJ13" t="e">
        <f>#REF!+";Hb!Kb"</f>
        <v>#REF!</v>
      </c>
      <c r="HK13" t="e">
        <f>#REF!+";Hb!Kc"</f>
        <v>#REF!</v>
      </c>
      <c r="HL13" t="e">
        <f>#REF!+";Hb!Kd"</f>
        <v>#REF!</v>
      </c>
      <c r="HM13" t="e">
        <f>#REF!+";Hb!Ke"</f>
        <v>#REF!</v>
      </c>
      <c r="HN13" t="e">
        <f>#REF!+";Hb!Kf"</f>
        <v>#REF!</v>
      </c>
      <c r="HO13" t="e">
        <f>#REF!+";Hb!Kg"</f>
        <v>#REF!</v>
      </c>
      <c r="HP13" t="e">
        <f>#REF!+";Hb!Kh"</f>
        <v>#REF!</v>
      </c>
      <c r="HQ13" t="e">
        <f>#REF!+";Hb!Ki"</f>
        <v>#REF!</v>
      </c>
      <c r="HR13" t="e">
        <f>#REF!+";Hb!Kj"</f>
        <v>#REF!</v>
      </c>
      <c r="HS13" t="e">
        <f>#REF!+";Hb!Kk"</f>
        <v>#REF!</v>
      </c>
      <c r="HT13" t="e">
        <f>#REF!+";Hb!Kl"</f>
        <v>#REF!</v>
      </c>
      <c r="HU13" t="e">
        <f>#REF!+";Hb!Km"</f>
        <v>#REF!</v>
      </c>
      <c r="HV13" t="e">
        <f>#REF!+";Hb!Kn"</f>
        <v>#REF!</v>
      </c>
      <c r="HW13" t="e">
        <f>#REF!+";Hb!Ko"</f>
        <v>#REF!</v>
      </c>
      <c r="HX13" t="e">
        <f>#REF!+";Hb!Kp"</f>
        <v>#REF!</v>
      </c>
      <c r="HY13" t="e">
        <f>#REF!+";Hb!Kq"</f>
        <v>#REF!</v>
      </c>
      <c r="HZ13" t="e">
        <f>#REF!+";Hb!Kr"</f>
        <v>#REF!</v>
      </c>
      <c r="IA13" t="e">
        <f>#REF!+";Hb!Ks"</f>
        <v>#REF!</v>
      </c>
      <c r="IB13" t="e">
        <f>#REF!+";Hb!Kt"</f>
        <v>#REF!</v>
      </c>
      <c r="IC13" t="e">
        <f>#REF!+";Hb!Ku"</f>
        <v>#REF!</v>
      </c>
      <c r="ID13" t="e">
        <f>#REF!+";Hb!Kv"</f>
        <v>#REF!</v>
      </c>
      <c r="IE13" t="e">
        <f>#REF!+";Hb!Kw"</f>
        <v>#REF!</v>
      </c>
      <c r="IF13" t="e">
        <f>#REF!+";Hb!Kx"</f>
        <v>#REF!</v>
      </c>
      <c r="IG13" t="e">
        <f>#REF!+";Hb!Ky"</f>
        <v>#REF!</v>
      </c>
      <c r="IH13" t="e">
        <f>#REF!+";Hb!Kz"</f>
        <v>#REF!</v>
      </c>
      <c r="II13" t="e">
        <f>#REF!+";Hb!K{"</f>
        <v>#REF!</v>
      </c>
      <c r="IJ13" t="e">
        <f>#REF!+";Hb!K|"</f>
        <v>#REF!</v>
      </c>
      <c r="IK13" t="e">
        <f>#REF!+";Hb!K}"</f>
        <v>#REF!</v>
      </c>
      <c r="IL13" t="e">
        <f>#REF!+";Hb!K~"</f>
        <v>#REF!</v>
      </c>
      <c r="IM13" t="e">
        <f>#REF!+";Hb!L#"</f>
        <v>#REF!</v>
      </c>
      <c r="IN13" t="e">
        <f>#REF!+";Hb!L$"</f>
        <v>#REF!</v>
      </c>
      <c r="IO13" t="e">
        <f>#REF!+";Hb!L%"</f>
        <v>#REF!</v>
      </c>
      <c r="IP13" t="e">
        <f>#REF!+";Hb!L&amp;"</f>
        <v>#REF!</v>
      </c>
      <c r="IQ13" t="e">
        <f>#REF!+";Hb!L'"</f>
        <v>#REF!</v>
      </c>
      <c r="IR13" t="e">
        <f>#REF!+";Hb!L("</f>
        <v>#REF!</v>
      </c>
      <c r="IS13" t="e">
        <f>#REF!+";Hb!L)"</f>
        <v>#REF!</v>
      </c>
      <c r="IT13" t="e">
        <f>#REF!+";Hb!L."</f>
        <v>#REF!</v>
      </c>
      <c r="IU13" t="e">
        <f>#REF!+";Hb!L/"</f>
        <v>#REF!</v>
      </c>
      <c r="IV13" t="e">
        <f>#REF!+";Hb!L0"</f>
        <v>#REF!</v>
      </c>
    </row>
    <row r="14" spans="1:256" x14ac:dyDescent="0.25">
      <c r="F14" t="e">
        <f>#REF!+";Hb!L1"</f>
        <v>#REF!</v>
      </c>
      <c r="G14" t="e">
        <f>#REF!+";Hb!L2"</f>
        <v>#REF!</v>
      </c>
      <c r="H14" t="e">
        <f>#REF!+";Hb!L3"</f>
        <v>#REF!</v>
      </c>
      <c r="I14" t="e">
        <f>#REF!+";Hb!L4"</f>
        <v>#REF!</v>
      </c>
      <c r="J14" t="e">
        <f>#REF!+";Hb!L5"</f>
        <v>#REF!</v>
      </c>
      <c r="K14" t="e">
        <f>#REF!+";Hb!L6"</f>
        <v>#REF!</v>
      </c>
      <c r="L14" t="e">
        <f>#REF!+";Hb!L7"</f>
        <v>#REF!</v>
      </c>
      <c r="M14" t="e">
        <f>#REF!+";Hb!L8"</f>
        <v>#REF!</v>
      </c>
      <c r="N14" t="e">
        <f>#REF!+";Hb!L9"</f>
        <v>#REF!</v>
      </c>
      <c r="O14" t="e">
        <f>#REF!+";Hb!L:"</f>
        <v>#REF!</v>
      </c>
      <c r="P14" t="e">
        <f>#REF!+";Hb!L;"</f>
        <v>#REF!</v>
      </c>
      <c r="Q14" t="e">
        <f>#REF!+";Hb!L&lt;"</f>
        <v>#REF!</v>
      </c>
      <c r="R14" t="e">
        <f>#REF!+";Hb!L="</f>
        <v>#REF!</v>
      </c>
      <c r="S14" t="e">
        <f>#REF!+";Hb!L&gt;"</f>
        <v>#REF!</v>
      </c>
      <c r="T14" t="e">
        <f>#REF!+";Hb!L?"</f>
        <v>#REF!</v>
      </c>
      <c r="U14" t="e">
        <f>#REF!+";Hb!L@"</f>
        <v>#REF!</v>
      </c>
      <c r="V14" t="e">
        <f>#REF!+";Hb!LA"</f>
        <v>#REF!</v>
      </c>
      <c r="W14" t="e">
        <f>#REF!+";Hb!LB"</f>
        <v>#REF!</v>
      </c>
      <c r="X14" t="e">
        <f>#REF!+";Hb!LC"</f>
        <v>#REF!</v>
      </c>
      <c r="Y14" t="e">
        <f>#REF!+";Hb!LD"</f>
        <v>#REF!</v>
      </c>
      <c r="Z14" t="e">
        <f>#REF!+";Hb!LE"</f>
        <v>#REF!</v>
      </c>
      <c r="AA14" t="e">
        <f>#REF!+";Hb!LF"</f>
        <v>#REF!</v>
      </c>
      <c r="AB14" t="e">
        <f>#REF!+";Hb!LG"</f>
        <v>#REF!</v>
      </c>
      <c r="AC14" t="e">
        <f>#REF!+";Hb!LH"</f>
        <v>#REF!</v>
      </c>
      <c r="AD14" t="e">
        <f>#REF!+";Hb!LI"</f>
        <v>#REF!</v>
      </c>
      <c r="AE14" t="e">
        <f>#REF!+";Hb!LJ"</f>
        <v>#REF!</v>
      </c>
      <c r="AF14" t="e">
        <f>#REF!+";Hb!LK"</f>
        <v>#REF!</v>
      </c>
      <c r="AG14" t="e">
        <f>#REF!+";Hb!LL"</f>
        <v>#REF!</v>
      </c>
      <c r="AH14" t="e">
        <f>#REF!+";Hb!LM"</f>
        <v>#REF!</v>
      </c>
      <c r="AI14" t="e">
        <f>#REF!+";Hb!LN"</f>
        <v>#REF!</v>
      </c>
      <c r="AJ14" t="e">
        <f>#REF!+";Hb!LO"</f>
        <v>#REF!</v>
      </c>
      <c r="AK14" t="e">
        <f>#REF!+";Hb!LP"</f>
        <v>#REF!</v>
      </c>
      <c r="AL14" t="e">
        <f>#REF!+";Hb!LQ"</f>
        <v>#REF!</v>
      </c>
      <c r="AM14" t="e">
        <f>#REF!+";Hb!LR"</f>
        <v>#REF!</v>
      </c>
      <c r="AN14" t="e">
        <f>#REF!+";Hb!LS"</f>
        <v>#REF!</v>
      </c>
      <c r="AO14" t="e">
        <f>#REF!+";Hb!LT"</f>
        <v>#REF!</v>
      </c>
      <c r="AP14" t="e">
        <f>#REF!+";Hb!LU"</f>
        <v>#REF!</v>
      </c>
      <c r="AQ14" t="e">
        <f>#REF!+";Hb!LV"</f>
        <v>#REF!</v>
      </c>
      <c r="AR14" t="e">
        <f>#REF!+";Hb!LW"</f>
        <v>#REF!</v>
      </c>
      <c r="AS14" t="e">
        <f>#REF!+";Hb!LX"</f>
        <v>#REF!</v>
      </c>
      <c r="AT14" t="e">
        <f>#REF!+";Hb!LY"</f>
        <v>#REF!</v>
      </c>
      <c r="AU14" t="e">
        <f>#REF!+";Hb!LZ"</f>
        <v>#REF!</v>
      </c>
      <c r="AV14" t="e">
        <f>#REF!+";Hb!L["</f>
        <v>#REF!</v>
      </c>
      <c r="AW14" t="e">
        <f>#REF!+";Hb!L\"</f>
        <v>#REF!</v>
      </c>
      <c r="AX14" t="e">
        <f>#REF!+";Hb!L]"</f>
        <v>#REF!</v>
      </c>
      <c r="AY14" t="e">
        <f>#REF!+";Hb!L^"</f>
        <v>#REF!</v>
      </c>
      <c r="AZ14" t="e">
        <f>#REF!+";Hb!L_"</f>
        <v>#REF!</v>
      </c>
      <c r="BA14" t="e">
        <f>#REF!+";Hb!L`"</f>
        <v>#REF!</v>
      </c>
      <c r="BB14" t="e">
        <f>#REF!+";Hb!La"</f>
        <v>#REF!</v>
      </c>
      <c r="BC14" t="e">
        <f>#REF!+";Hb!Lb"</f>
        <v>#REF!</v>
      </c>
      <c r="BD14" t="e">
        <f>#REF!+";Hb!Lc"</f>
        <v>#REF!</v>
      </c>
      <c r="BE14" t="e">
        <f>#REF!+";Hb!Ld"</f>
        <v>#REF!</v>
      </c>
      <c r="BF14" t="e">
        <f>#REF!+";Hb!Le"</f>
        <v>#REF!</v>
      </c>
      <c r="BG14" t="e">
        <f>#REF!+";Hb!Lf"</f>
        <v>#REF!</v>
      </c>
      <c r="BH14" t="e">
        <f>#REF!+";Hb!Lg"</f>
        <v>#REF!</v>
      </c>
      <c r="BI14" t="e">
        <f>#REF!+";Hb!Lh"</f>
        <v>#REF!</v>
      </c>
      <c r="BJ14" t="e">
        <f>#REF!+";Hb!Li"</f>
        <v>#REF!</v>
      </c>
      <c r="BK14" t="e">
        <f>#REF!+";Hb!Lj"</f>
        <v>#REF!</v>
      </c>
      <c r="BL14" t="e">
        <f>#REF!+";Hb!Lk"</f>
        <v>#REF!</v>
      </c>
      <c r="BM14" t="e">
        <f>#REF!+";Hb!Ll"</f>
        <v>#REF!</v>
      </c>
      <c r="BN14" t="e">
        <f>#REF!+";Hb!Lm"</f>
        <v>#REF!</v>
      </c>
      <c r="BO14" t="e">
        <f>#REF!+";Hb!Ln"</f>
        <v>#REF!</v>
      </c>
      <c r="BP14" t="e">
        <f>#REF!+";Hb!Lo"</f>
        <v>#REF!</v>
      </c>
      <c r="BQ14" t="e">
        <f>#REF!+";Hb!Lp"</f>
        <v>#REF!</v>
      </c>
      <c r="BR14" t="e">
        <f>#REF!+";Hb!Lq"</f>
        <v>#REF!</v>
      </c>
      <c r="BS14" t="e">
        <f>#REF!+";Hb!Lr"</f>
        <v>#REF!</v>
      </c>
      <c r="BT14" t="e">
        <f>#REF!+";Hb!Ls"</f>
        <v>#REF!</v>
      </c>
      <c r="BU14" t="e">
        <f>#REF!+";Hb!Lt"</f>
        <v>#REF!</v>
      </c>
      <c r="BV14" t="e">
        <f>#REF!+";Hb!Lu"</f>
        <v>#REF!</v>
      </c>
      <c r="BW14" t="e">
        <f>#REF!+";Hb!Lv"</f>
        <v>#REF!</v>
      </c>
      <c r="BX14" t="e">
        <f>#REF!+";Hb!Lw"</f>
        <v>#REF!</v>
      </c>
      <c r="BY14" t="e">
        <f>#REF!+";Hb!Lx"</f>
        <v>#REF!</v>
      </c>
      <c r="BZ14" t="e">
        <f>#REF!+";Hb!Ly"</f>
        <v>#REF!</v>
      </c>
      <c r="CA14" t="e">
        <f>#REF!+";Hb!Lz"</f>
        <v>#REF!</v>
      </c>
      <c r="CB14" t="e">
        <f>#REF!+";Hb!L{"</f>
        <v>#REF!</v>
      </c>
      <c r="CC14" t="e">
        <f>#REF!+";Hb!L|"</f>
        <v>#REF!</v>
      </c>
      <c r="CD14" t="e">
        <f>#REF!+";Hb!L}"</f>
        <v>#REF!</v>
      </c>
      <c r="CE14" t="e">
        <f>#REF!+";Hb!L~"</f>
        <v>#REF!</v>
      </c>
      <c r="CF14" t="e">
        <f>#REF!+";Hb!M#"</f>
        <v>#REF!</v>
      </c>
      <c r="CG14" t="e">
        <f>#REF!+";Hb!M$"</f>
        <v>#REF!</v>
      </c>
      <c r="CH14" t="e">
        <f>#REF!+";Hb!M%"</f>
        <v>#REF!</v>
      </c>
      <c r="CI14" t="e">
        <f>#REF!+";Hb!M&amp;"</f>
        <v>#REF!</v>
      </c>
      <c r="CJ14" t="e">
        <f>#REF!+";Hb!M'"</f>
        <v>#REF!</v>
      </c>
      <c r="CK14" t="e">
        <f>#REF!+";Hb!M("</f>
        <v>#REF!</v>
      </c>
      <c r="CL14" t="e">
        <f>#REF!+";Hb!M)"</f>
        <v>#REF!</v>
      </c>
      <c r="CM14" t="e">
        <f>#REF!+";Hb!M."</f>
        <v>#REF!</v>
      </c>
      <c r="CN14" t="e">
        <f>#REF!+";Hb!M/"</f>
        <v>#REF!</v>
      </c>
      <c r="CO14" t="e">
        <f>#REF!+";Hb!M0"</f>
        <v>#REF!</v>
      </c>
      <c r="CP14" t="e">
        <f>#REF!+";Hb!M1"</f>
        <v>#REF!</v>
      </c>
      <c r="CQ14" t="e">
        <f>#REF!+";Hb!M2"</f>
        <v>#REF!</v>
      </c>
      <c r="CR14" t="e">
        <f>#REF!+";Hb!M3"</f>
        <v>#REF!</v>
      </c>
      <c r="CS14" t="e">
        <f>#REF!+";Hb!M4"</f>
        <v>#REF!</v>
      </c>
      <c r="CT14" t="e">
        <f>#REF!+";Hb!M5"</f>
        <v>#REF!</v>
      </c>
      <c r="CU14" t="e">
        <f>#REF!+";Hb!M6"</f>
        <v>#REF!</v>
      </c>
      <c r="CV14" t="e">
        <f>#REF!+";Hb!M7"</f>
        <v>#REF!</v>
      </c>
      <c r="CW14" t="e">
        <f>#REF!+";Hb!M8"</f>
        <v>#REF!</v>
      </c>
      <c r="CX14" t="e">
        <f>#REF!+";Hb!M9"</f>
        <v>#REF!</v>
      </c>
      <c r="CY14" t="e">
        <f>#REF!+";Hb!M:"</f>
        <v>#REF!</v>
      </c>
      <c r="CZ14" t="e">
        <f>#REF!+";Hb!M;"</f>
        <v>#REF!</v>
      </c>
      <c r="DA14" t="e">
        <f>#REF!+";Hb!M&lt;"</f>
        <v>#REF!</v>
      </c>
      <c r="DB14" t="e">
        <f>#REF!+";Hb!M="</f>
        <v>#REF!</v>
      </c>
      <c r="DC14" t="e">
        <f>#REF!+";Hb!M&gt;"</f>
        <v>#REF!</v>
      </c>
      <c r="DD14" t="e">
        <f>#REF!+";Hb!M?"</f>
        <v>#REF!</v>
      </c>
      <c r="DE14" t="e">
        <f>#REF!+";Hb!M@"</f>
        <v>#REF!</v>
      </c>
      <c r="DF14" t="e">
        <f>#REF!+";Hb!MA"</f>
        <v>#REF!</v>
      </c>
      <c r="DG14" t="e">
        <f>#REF!+";Hb!MB"</f>
        <v>#REF!</v>
      </c>
      <c r="DH14" t="e">
        <f>#REF!+";Hb!MC"</f>
        <v>#REF!</v>
      </c>
      <c r="DI14" t="e">
        <f>#REF!+";Hb!MD"</f>
        <v>#REF!</v>
      </c>
      <c r="DJ14" t="e">
        <f>#REF!+";Hb!ME"</f>
        <v>#REF!</v>
      </c>
      <c r="DK14" t="e">
        <f>#REF!+";Hb!MF"</f>
        <v>#REF!</v>
      </c>
      <c r="DL14" t="e">
        <f>#REF!+";Hb!MG"</f>
        <v>#REF!</v>
      </c>
      <c r="DM14" t="e">
        <f>#REF!+";Hb!MH"</f>
        <v>#REF!</v>
      </c>
      <c r="DN14" t="e">
        <f>#REF!+";Hb!MI"</f>
        <v>#REF!</v>
      </c>
      <c r="DO14" t="e">
        <f>#REF!+";Hb!MJ"</f>
        <v>#REF!</v>
      </c>
      <c r="DP14" t="e">
        <f>#REF!+";Hb!MK"</f>
        <v>#REF!</v>
      </c>
      <c r="DQ14" t="e">
        <f>#REF!+";Hb!ML"</f>
        <v>#REF!</v>
      </c>
      <c r="DR14" t="e">
        <f>#REF!+";Hb!MM"</f>
        <v>#REF!</v>
      </c>
      <c r="DS14" t="e">
        <f>#REF!+";Hb!MN"</f>
        <v>#REF!</v>
      </c>
      <c r="DT14" t="e">
        <f>#REF!+";Hb!MO"</f>
        <v>#REF!</v>
      </c>
      <c r="DU14" t="e">
        <f>#REF!+";Hb!MP"</f>
        <v>#REF!</v>
      </c>
      <c r="DV14" t="e">
        <f>#REF!+";Hb!MQ"</f>
        <v>#REF!</v>
      </c>
      <c r="DW14" t="e">
        <f>#REF!+";Hb!MR"</f>
        <v>#REF!</v>
      </c>
      <c r="DX14" t="e">
        <f>#REF!+";Hb!MS"</f>
        <v>#REF!</v>
      </c>
      <c r="DY14" t="e">
        <f>#REF!+";Hb!MT"</f>
        <v>#REF!</v>
      </c>
      <c r="DZ14" t="e">
        <f>#REF!+";Hb!MU"</f>
        <v>#REF!</v>
      </c>
      <c r="EA14" t="e">
        <f>#REF!+";Hb!MV"</f>
        <v>#REF!</v>
      </c>
      <c r="EB14" t="e">
        <f>#REF!+";Hb!MW"</f>
        <v>#REF!</v>
      </c>
      <c r="EC14" t="e">
        <f>#REF!+";Hb!MX"</f>
        <v>#REF!</v>
      </c>
      <c r="ED14" t="e">
        <f>#REF!+";Hb!MY"</f>
        <v>#REF!</v>
      </c>
      <c r="EE14" t="e">
        <f>#REF!+";Hb!MZ"</f>
        <v>#REF!</v>
      </c>
      <c r="EF14" t="e">
        <f>#REF!+";Hb!M["</f>
        <v>#REF!</v>
      </c>
      <c r="EG14" t="e">
        <f>#REF!+";Hb!M\"</f>
        <v>#REF!</v>
      </c>
      <c r="EH14" t="e">
        <f>#REF!+";Hb!M]"</f>
        <v>#REF!</v>
      </c>
      <c r="EI14" t="e">
        <f>#REF!+";Hb!M^"</f>
        <v>#REF!</v>
      </c>
      <c r="EJ14" t="e">
        <f>#REF!+";Hb!M_"</f>
        <v>#REF!</v>
      </c>
      <c r="EK14" t="e">
        <f>#REF!+";Hb!M`"</f>
        <v>#REF!</v>
      </c>
      <c r="EL14" t="e">
        <f>#REF!+";Hb!Ma"</f>
        <v>#REF!</v>
      </c>
      <c r="EM14" t="e">
        <f>#REF!+";Hb!Mb"</f>
        <v>#REF!</v>
      </c>
      <c r="EN14" t="e">
        <f>#REF!+";Hb!Mc"</f>
        <v>#REF!</v>
      </c>
      <c r="EO14" t="e">
        <f>#REF!+";Hb!Md"</f>
        <v>#REF!</v>
      </c>
      <c r="EP14" t="e">
        <f>#REF!+";Hb!Me"</f>
        <v>#REF!</v>
      </c>
      <c r="EQ14" t="e">
        <f>#REF!+";Hb!Mf"</f>
        <v>#REF!</v>
      </c>
      <c r="ER14" t="e">
        <f>#REF!+";Hb!Mg"</f>
        <v>#REF!</v>
      </c>
      <c r="ES14" t="e">
        <f>#REF!+";Hb!Mh"</f>
        <v>#REF!</v>
      </c>
      <c r="ET14" t="e">
        <f>#REF!+";Hb!Mi"</f>
        <v>#REF!</v>
      </c>
      <c r="EU14" t="e">
        <f>#REF!+";Hb!Mj"</f>
        <v>#REF!</v>
      </c>
      <c r="EV14" t="e">
        <f>#REF!+";Hb!Mk"</f>
        <v>#REF!</v>
      </c>
      <c r="EW14" t="e">
        <f>#REF!+";Hb!Ml"</f>
        <v>#REF!</v>
      </c>
      <c r="EX14" t="e">
        <f>#REF!+";Hb!Mm"</f>
        <v>#REF!</v>
      </c>
      <c r="EY14" t="e">
        <f>#REF!+";Hb!Mn"</f>
        <v>#REF!</v>
      </c>
      <c r="EZ14" t="e">
        <f>#REF!+";Hb!Mo"</f>
        <v>#REF!</v>
      </c>
      <c r="FA14" t="e">
        <f>#REF!+";Hb!Mp"</f>
        <v>#REF!</v>
      </c>
      <c r="FB14" t="e">
        <f>#REF!+";Hb!Mq"</f>
        <v>#REF!</v>
      </c>
      <c r="FC14" t="e">
        <f>#REF!+";Hb!Mr"</f>
        <v>#REF!</v>
      </c>
      <c r="FD14" t="e">
        <f>#REF!+";Hb!Ms"</f>
        <v>#REF!</v>
      </c>
      <c r="FE14" t="e">
        <f>#REF!+";Hb!Mt"</f>
        <v>#REF!</v>
      </c>
      <c r="FF14" t="e">
        <f>#REF!+";Hb!Mu"</f>
        <v>#REF!</v>
      </c>
      <c r="FG14" t="e">
        <f>#REF!+";Hb!Mv"</f>
        <v>#REF!</v>
      </c>
      <c r="FH14" t="e">
        <f>#REF!+";Hb!Mw"</f>
        <v>#REF!</v>
      </c>
      <c r="FI14" t="e">
        <f>#REF!+";Hb!Mx"</f>
        <v>#REF!</v>
      </c>
      <c r="FJ14" t="e">
        <f>#REF!+";Hb!My"</f>
        <v>#REF!</v>
      </c>
      <c r="FK14" t="e">
        <f>#REF!+";Hb!Mz"</f>
        <v>#REF!</v>
      </c>
      <c r="FL14" t="e">
        <f>#REF!+";Hb!M{"</f>
        <v>#REF!</v>
      </c>
      <c r="FM14" t="e">
        <f>#REF!+";Hb!M|"</f>
        <v>#REF!</v>
      </c>
      <c r="FN14" t="e">
        <f>#REF!+";Hb!M}"</f>
        <v>#REF!</v>
      </c>
      <c r="FO14" t="e">
        <f>#REF!+";Hb!M~"</f>
        <v>#REF!</v>
      </c>
      <c r="FP14" t="e">
        <f>#REF!+";Hb!N#"</f>
        <v>#REF!</v>
      </c>
      <c r="FQ14" t="e">
        <f>#REF!+";Hb!N$"</f>
        <v>#REF!</v>
      </c>
      <c r="FR14" t="e">
        <f>#REF!+";Hb!N%"</f>
        <v>#REF!</v>
      </c>
      <c r="FS14" t="e">
        <f>#REF!+";Hb!N&amp;"</f>
        <v>#REF!</v>
      </c>
      <c r="FT14" t="e">
        <f>#REF!+";Hb!N'"</f>
        <v>#REF!</v>
      </c>
      <c r="FU14" t="e">
        <f>#REF!+";Hb!N("</f>
        <v>#REF!</v>
      </c>
      <c r="FV14" t="e">
        <f>#REF!+";Hb!N)"</f>
        <v>#REF!</v>
      </c>
      <c r="FW14" t="e">
        <f>#REF!+";Hb!N."</f>
        <v>#REF!</v>
      </c>
      <c r="FX14" t="e">
        <f>#REF!+";Hb!N/"</f>
        <v>#REF!</v>
      </c>
      <c r="FY14" t="e">
        <f>#REF!+";Hb!N0"</f>
        <v>#REF!</v>
      </c>
      <c r="FZ14" t="e">
        <f>#REF!+";Hb!N1"</f>
        <v>#REF!</v>
      </c>
      <c r="GA14" t="e">
        <f>#REF!+";Hb!N2"</f>
        <v>#REF!</v>
      </c>
      <c r="GB14" t="e">
        <f>#REF!+";Hb!N3"</f>
        <v>#REF!</v>
      </c>
      <c r="GC14" t="e">
        <f>#REF!+";Hb!N4"</f>
        <v>#REF!</v>
      </c>
      <c r="GD14" t="e">
        <f>#REF!+";Hb!N5"</f>
        <v>#REF!</v>
      </c>
      <c r="GE14" t="e">
        <f>#REF!+";Hb!N6"</f>
        <v>#REF!</v>
      </c>
      <c r="GF14" t="e">
        <f>#REF!+";Hb!N7"</f>
        <v>#REF!</v>
      </c>
      <c r="GG14" t="e">
        <f>#REF!+";Hb!N8"</f>
        <v>#REF!</v>
      </c>
      <c r="GH14" t="e">
        <f>#REF!+";Hb!N9"</f>
        <v>#REF!</v>
      </c>
      <c r="GI14" t="e">
        <f>#REF!+";Hb!N:"</f>
        <v>#REF!</v>
      </c>
      <c r="GJ14" t="e">
        <f>#REF!+";Hb!N;"</f>
        <v>#REF!</v>
      </c>
      <c r="GK14" t="e">
        <f>#REF!+";Hb!N&lt;"</f>
        <v>#REF!</v>
      </c>
      <c r="GL14" t="e">
        <f>#REF!+";Hb!N="</f>
        <v>#REF!</v>
      </c>
      <c r="GM14" t="e">
        <f>#REF!+";Hb!N&gt;"</f>
        <v>#REF!</v>
      </c>
      <c r="GN14" t="e">
        <f>#REF!+";Hb!N?"</f>
        <v>#REF!</v>
      </c>
      <c r="GO14" t="e">
        <f>#REF!+";Hb!N@"</f>
        <v>#REF!</v>
      </c>
      <c r="GP14" t="e">
        <f>#REF!+";Hb!NA"</f>
        <v>#REF!</v>
      </c>
      <c r="GQ14" t="e">
        <f>#REF!+";Hb!NB"</f>
        <v>#REF!</v>
      </c>
      <c r="GR14" t="e">
        <f>#REF!+";Hb!NC"</f>
        <v>#REF!</v>
      </c>
      <c r="GS14" t="e">
        <f>#REF!+";Hb!ND"</f>
        <v>#REF!</v>
      </c>
      <c r="GT14" t="e">
        <f>#REF!+";Hb!NE"</f>
        <v>#REF!</v>
      </c>
      <c r="GU14" t="e">
        <f>#REF!+";Hb!NF"</f>
        <v>#REF!</v>
      </c>
      <c r="GV14" t="e">
        <f>#REF!+";Hb!NG"</f>
        <v>#REF!</v>
      </c>
      <c r="GW14" t="e">
        <f>#REF!+";Hb!NH"</f>
        <v>#REF!</v>
      </c>
      <c r="GX14" t="e">
        <f>#REF!+";Hb!NI"</f>
        <v>#REF!</v>
      </c>
      <c r="GY14" t="e">
        <f>#REF!+";Hb!NJ"</f>
        <v>#REF!</v>
      </c>
      <c r="GZ14" t="e">
        <f>#REF!+";Hb!NK"</f>
        <v>#REF!</v>
      </c>
      <c r="HA14" t="e">
        <f>#REF!+";Hb!NL"</f>
        <v>#REF!</v>
      </c>
      <c r="HB14" t="e">
        <f>#REF!+";Hb!NM"</f>
        <v>#REF!</v>
      </c>
      <c r="HC14" t="e">
        <f>#REF!+";Hb!NN"</f>
        <v>#REF!</v>
      </c>
      <c r="HD14" t="e">
        <f>#REF!+";Hb!NO"</f>
        <v>#REF!</v>
      </c>
      <c r="HE14" t="e">
        <f>#REF!+";Hb!NP"</f>
        <v>#REF!</v>
      </c>
      <c r="HF14" t="e">
        <f>#REF!+";Hb!NQ"</f>
        <v>#REF!</v>
      </c>
      <c r="HG14" t="e">
        <f>#REF!+";Hb!NR"</f>
        <v>#REF!</v>
      </c>
      <c r="HH14" t="e">
        <f>#REF!+";Hb!NS"</f>
        <v>#REF!</v>
      </c>
      <c r="HI14" t="e">
        <f>#REF!+";Hb!NT"</f>
        <v>#REF!</v>
      </c>
      <c r="HJ14" t="e">
        <f>#REF!+";Hb!NU"</f>
        <v>#REF!</v>
      </c>
      <c r="HK14" t="e">
        <f>#REF!+";Hb!NV"</f>
        <v>#REF!</v>
      </c>
      <c r="HL14" t="e">
        <f>#REF!+";Hb!NW"</f>
        <v>#REF!</v>
      </c>
      <c r="HM14" t="e">
        <f>#REF!+";Hb!NX"</f>
        <v>#REF!</v>
      </c>
      <c r="HN14" t="e">
        <f>#REF!+";Hb!NY"</f>
        <v>#REF!</v>
      </c>
      <c r="HO14" t="e">
        <f>#REF!+";Hb!NZ"</f>
        <v>#REF!</v>
      </c>
      <c r="HP14" t="e">
        <f>#REF!+";Hb!N["</f>
        <v>#REF!</v>
      </c>
      <c r="HQ14" t="e">
        <f>#REF!+";Hb!N\"</f>
        <v>#REF!</v>
      </c>
      <c r="HR14" t="e">
        <f>#REF!+";Hb!N]"</f>
        <v>#REF!</v>
      </c>
      <c r="HS14" t="e">
        <f>#REF!+";Hb!N^"</f>
        <v>#REF!</v>
      </c>
      <c r="HT14" t="e">
        <f>#REF!+";Hb!N_"</f>
        <v>#REF!</v>
      </c>
      <c r="HU14" t="e">
        <f>#REF!+";Hb!N`"</f>
        <v>#REF!</v>
      </c>
      <c r="HV14" t="e">
        <f>#REF!+";Hb!Na"</f>
        <v>#REF!</v>
      </c>
      <c r="HW14" t="e">
        <f>#REF!+";Hb!Nb"</f>
        <v>#REF!</v>
      </c>
      <c r="HX14" t="e">
        <f>#REF!+";Hb!Nc"</f>
        <v>#REF!</v>
      </c>
      <c r="HY14" t="e">
        <f>#REF!+";Hb!Nd"</f>
        <v>#REF!</v>
      </c>
      <c r="HZ14" t="e">
        <f>#REF!+";Hb!Ne"</f>
        <v>#REF!</v>
      </c>
      <c r="IA14" t="e">
        <f>#REF!+";Hb!Nf"</f>
        <v>#REF!</v>
      </c>
      <c r="IB14" t="e">
        <f>#REF!+";Hb!Ng"</f>
        <v>#REF!</v>
      </c>
      <c r="IC14" t="e">
        <f>#REF!+";Hb!Nh"</f>
        <v>#REF!</v>
      </c>
      <c r="ID14" t="e">
        <f>#REF!+";Hb!Ni"</f>
        <v>#REF!</v>
      </c>
      <c r="IE14" t="e">
        <f>#REF!+";Hb!Nj"</f>
        <v>#REF!</v>
      </c>
      <c r="IF14" t="e">
        <f>#REF!+";Hb!Nk"</f>
        <v>#REF!</v>
      </c>
      <c r="IG14" t="e">
        <f>#REF!+";Hb!Nl"</f>
        <v>#REF!</v>
      </c>
      <c r="IH14" t="e">
        <f>#REF!+";Hb!Nm"</f>
        <v>#REF!</v>
      </c>
      <c r="II14" t="e">
        <f>#REF!+";Hb!Nn"</f>
        <v>#REF!</v>
      </c>
      <c r="IJ14" t="e">
        <f>#REF!+";Hb!No"</f>
        <v>#REF!</v>
      </c>
      <c r="IK14" t="e">
        <f>#REF!+";Hb!Np"</f>
        <v>#REF!</v>
      </c>
      <c r="IL14" t="e">
        <f>#REF!+";Hb!Nq"</f>
        <v>#REF!</v>
      </c>
      <c r="IM14" t="e">
        <f>#REF!+";Hb!Nr"</f>
        <v>#REF!</v>
      </c>
      <c r="IN14" t="e">
        <f>#REF!+";Hb!Ns"</f>
        <v>#REF!</v>
      </c>
      <c r="IO14" t="e">
        <f>#REF!+";Hb!Nt"</f>
        <v>#REF!</v>
      </c>
      <c r="IP14" t="e">
        <f>#REF!+";Hb!Nu"</f>
        <v>#REF!</v>
      </c>
      <c r="IQ14" t="e">
        <f>#REF!+";Hb!Nv"</f>
        <v>#REF!</v>
      </c>
      <c r="IR14" t="e">
        <f>#REF!+";Hb!Nw"</f>
        <v>#REF!</v>
      </c>
      <c r="IS14" t="e">
        <f>#REF!+";Hb!Nx"</f>
        <v>#REF!</v>
      </c>
      <c r="IT14" t="e">
        <f>#REF!+";Hb!Ny"</f>
        <v>#REF!</v>
      </c>
      <c r="IU14" t="e">
        <f>#REF!+";Hb!Nz"</f>
        <v>#REF!</v>
      </c>
      <c r="IV14" t="e">
        <f>#REF!+";Hb!N{"</f>
        <v>#REF!</v>
      </c>
    </row>
    <row r="15" spans="1:256" x14ac:dyDescent="0.25">
      <c r="F15" t="e">
        <f>#REF!+";Hb!N|"</f>
        <v>#REF!</v>
      </c>
      <c r="G15" t="e">
        <f>#REF!+";Hb!N}"</f>
        <v>#REF!</v>
      </c>
      <c r="H15" t="e">
        <f>#REF!+";Hb!N~"</f>
        <v>#REF!</v>
      </c>
      <c r="I15" t="e">
        <f>#REF!+";Hb!O#"</f>
        <v>#REF!</v>
      </c>
      <c r="J15" t="e">
        <f>#REF!+";Hb!O$"</f>
        <v>#REF!</v>
      </c>
      <c r="K15" t="e">
        <f>#REF!+";Hb!O%"</f>
        <v>#REF!</v>
      </c>
      <c r="L15" t="e">
        <f>#REF!+";Hb!O&amp;"</f>
        <v>#REF!</v>
      </c>
      <c r="M15" t="e">
        <f>#REF!+";Hb!O'"</f>
        <v>#REF!</v>
      </c>
      <c r="N15" t="e">
        <f>#REF!+";Hb!O("</f>
        <v>#REF!</v>
      </c>
      <c r="O15" t="e">
        <f>#REF!+";Hb!O)"</f>
        <v>#REF!</v>
      </c>
      <c r="P15" t="e">
        <f>#REF!+";Hb!O."</f>
        <v>#REF!</v>
      </c>
      <c r="Q15" t="e">
        <f>#REF!+";Hb!O/"</f>
        <v>#REF!</v>
      </c>
      <c r="R15" t="e">
        <f>#REF!+";Hb!O0"</f>
        <v>#REF!</v>
      </c>
      <c r="S15" t="e">
        <f>#REF!+";Hb!O1"</f>
        <v>#REF!</v>
      </c>
      <c r="T15" t="e">
        <f>#REF!+";Hb!O2"</f>
        <v>#REF!</v>
      </c>
      <c r="U15" t="e">
        <f>#REF!+";Hb!O3"</f>
        <v>#REF!</v>
      </c>
      <c r="V15" t="e">
        <f>#REF!+";Hb!O4"</f>
        <v>#REF!</v>
      </c>
      <c r="W15" t="e">
        <f>#REF!+";Hb!O5"</f>
        <v>#REF!</v>
      </c>
      <c r="X15" t="e">
        <f>#REF!+";Hb!O6"</f>
        <v>#REF!</v>
      </c>
      <c r="Y15" t="e">
        <f>#REF!+";Hb!O7"</f>
        <v>#REF!</v>
      </c>
      <c r="Z15" t="e">
        <f>#REF!+";Hb!O8"</f>
        <v>#REF!</v>
      </c>
      <c r="AA15" t="e">
        <f>#REF!+";Hb!O9"</f>
        <v>#REF!</v>
      </c>
      <c r="AB15" t="e">
        <f>#REF!+";Hb!O:"</f>
        <v>#REF!</v>
      </c>
      <c r="AC15" t="e">
        <f>#REF!+";Hb!O;"</f>
        <v>#REF!</v>
      </c>
      <c r="AD15" t="e">
        <f>#REF!+";Hb!O&lt;"</f>
        <v>#REF!</v>
      </c>
      <c r="AE15" t="e">
        <f>#REF!+";Hb!O="</f>
        <v>#REF!</v>
      </c>
      <c r="AF15" t="e">
        <f>#REF!+";Hb!O&gt;"</f>
        <v>#REF!</v>
      </c>
      <c r="AG15" t="e">
        <f>#REF!+";Hb!O?"</f>
        <v>#REF!</v>
      </c>
      <c r="AH15" t="e">
        <f>#REF!+";Hb!O@"</f>
        <v>#REF!</v>
      </c>
      <c r="AI15" t="e">
        <f>#REF!+";Hb!OA"</f>
        <v>#REF!</v>
      </c>
      <c r="AJ15" t="e">
        <f>#REF!+";Hb!OB"</f>
        <v>#REF!</v>
      </c>
      <c r="AK15" t="e">
        <f>#REF!+";Hb!OC"</f>
        <v>#REF!</v>
      </c>
      <c r="AL15" t="e">
        <f>#REF!+";Hb!OD"</f>
        <v>#REF!</v>
      </c>
      <c r="AM15" t="e">
        <f>#REF!+";Hb!OE"</f>
        <v>#REF!</v>
      </c>
      <c r="AN15" t="e">
        <f>#REF!+";Hb!OF"</f>
        <v>#REF!</v>
      </c>
      <c r="AO15" t="e">
        <f>#REF!+";Hb!OG"</f>
        <v>#REF!</v>
      </c>
      <c r="AP15" t="e">
        <f>#REF!+";Hb!OH"</f>
        <v>#REF!</v>
      </c>
      <c r="AQ15" t="e">
        <f>#REF!+";Hb!OI"</f>
        <v>#REF!</v>
      </c>
      <c r="AR15" t="e">
        <f>#REF!+";Hb!OJ"</f>
        <v>#REF!</v>
      </c>
      <c r="AS15" t="e">
        <f>#REF!+";Hb!OK"</f>
        <v>#REF!</v>
      </c>
      <c r="AT15" t="e">
        <f>#REF!+";Hb!OL"</f>
        <v>#REF!</v>
      </c>
      <c r="AU15" t="e">
        <f>#REF!+";Hb!OM"</f>
        <v>#REF!</v>
      </c>
      <c r="AV15" t="e">
        <f>#REF!+";Hb!ON"</f>
        <v>#REF!</v>
      </c>
      <c r="AW15" t="e">
        <f>#REF!+";Hb!OO"</f>
        <v>#REF!</v>
      </c>
      <c r="AX15" t="e">
        <f>#REF!+";Hb!OP"</f>
        <v>#REF!</v>
      </c>
      <c r="AY15" t="e">
        <f>#REF!+";Hb!OQ"</f>
        <v>#REF!</v>
      </c>
      <c r="AZ15" t="e">
        <f>#REF!+";Hb!OR"</f>
        <v>#REF!</v>
      </c>
      <c r="BA15" t="e">
        <f>#REF!+";Hb!OS"</f>
        <v>#REF!</v>
      </c>
      <c r="BB15" t="e">
        <f>#REF!+";Hb!OT"</f>
        <v>#REF!</v>
      </c>
      <c r="BC15" t="e">
        <f>#REF!+";Hb!OU"</f>
        <v>#REF!</v>
      </c>
      <c r="BD15" t="e">
        <f>#REF!+";Hb!OV"</f>
        <v>#REF!</v>
      </c>
      <c r="BE15" t="e">
        <f>#REF!+";Hb!OW"</f>
        <v>#REF!</v>
      </c>
      <c r="BF15" t="e">
        <f>#REF!+";Hb!OX"</f>
        <v>#REF!</v>
      </c>
      <c r="BG15" t="e">
        <f>#REF!+";Hb!OY"</f>
        <v>#REF!</v>
      </c>
      <c r="BH15" t="e">
        <f>#REF!+";Hb!OZ"</f>
        <v>#REF!</v>
      </c>
      <c r="BI15" t="e">
        <f>#REF!+";Hb!O["</f>
        <v>#REF!</v>
      </c>
      <c r="BJ15" t="e">
        <f>#REF!+";Hb!O\"</f>
        <v>#REF!</v>
      </c>
      <c r="BK15" t="e">
        <f>#REF!+";Hb!O]"</f>
        <v>#REF!</v>
      </c>
      <c r="BL15" t="e">
        <f>#REF!+";Hb!O^"</f>
        <v>#REF!</v>
      </c>
      <c r="BM15" t="e">
        <f>#REF!+";Hb!O_"</f>
        <v>#REF!</v>
      </c>
      <c r="BN15" t="e">
        <f>#REF!+";Hb!O`"</f>
        <v>#REF!</v>
      </c>
      <c r="BO15" t="e">
        <f>#REF!+";Hb!Oa"</f>
        <v>#REF!</v>
      </c>
      <c r="BP15" t="e">
        <f>#REF!+";Hb!Ob"</f>
        <v>#REF!</v>
      </c>
      <c r="BQ15" t="e">
        <f>#REF!+";Hb!Oc"</f>
        <v>#REF!</v>
      </c>
      <c r="BR15" t="e">
        <f>#REF!+";Hb!Od"</f>
        <v>#REF!</v>
      </c>
      <c r="BS15" t="e">
        <f>#REF!+";Hb!Oe"</f>
        <v>#REF!</v>
      </c>
      <c r="BT15" t="e">
        <f>#REF!+";Hb!Of"</f>
        <v>#REF!</v>
      </c>
      <c r="BU15" t="e">
        <f>#REF!+";Hb!Og"</f>
        <v>#REF!</v>
      </c>
      <c r="BV15" t="e">
        <f>#REF!+";Hb!Oh"</f>
        <v>#REF!</v>
      </c>
      <c r="BW15" t="e">
        <f>#REF!+";Hb!Oi"</f>
        <v>#REF!</v>
      </c>
      <c r="BX15" t="e">
        <f>#REF!+";Hb!Oj"</f>
        <v>#REF!</v>
      </c>
      <c r="BY15" t="e">
        <f>#REF!+";Hb!Ok"</f>
        <v>#REF!</v>
      </c>
      <c r="BZ15" t="e">
        <f>#REF!+";Hb!Ol"</f>
        <v>#REF!</v>
      </c>
      <c r="CA15" t="e">
        <f>#REF!+";Hb!Om"</f>
        <v>#REF!</v>
      </c>
      <c r="CB15" t="e">
        <f>#REF!+";Hb!On"</f>
        <v>#REF!</v>
      </c>
      <c r="CC15" t="e">
        <f>#REF!+";Hb!Oo"</f>
        <v>#REF!</v>
      </c>
      <c r="CD15" t="e">
        <f>#REF!+";Hb!Op"</f>
        <v>#REF!</v>
      </c>
      <c r="CE15" t="e">
        <f>#REF!+";Hb!Oq"</f>
        <v>#REF!</v>
      </c>
      <c r="CF15" t="e">
        <f>#REF!+";Hb!Or"</f>
        <v>#REF!</v>
      </c>
      <c r="CG15" t="e">
        <f>#REF!+";Hb!Os"</f>
        <v>#REF!</v>
      </c>
      <c r="CH15" t="e">
        <f>#REF!+";Hb!Ot"</f>
        <v>#REF!</v>
      </c>
      <c r="CI15" t="e">
        <f>#REF!+";Hb!Ou"</f>
        <v>#REF!</v>
      </c>
      <c r="CJ15" t="e">
        <f>#REF!+";Hb!Ov"</f>
        <v>#REF!</v>
      </c>
      <c r="CK15" t="e">
        <f>#REF!+";Hb!Ow"</f>
        <v>#REF!</v>
      </c>
      <c r="CL15" t="e">
        <f>#REF!+";Hb!Ox"</f>
        <v>#REF!</v>
      </c>
      <c r="CM15" t="e">
        <f>#REF!+";Hb!Oy"</f>
        <v>#REF!</v>
      </c>
      <c r="CN15" t="e">
        <f>#REF!+";Hb!Oz"</f>
        <v>#REF!</v>
      </c>
      <c r="CO15" t="e">
        <f>#REF!+";Hb!O{"</f>
        <v>#REF!</v>
      </c>
      <c r="CP15" t="e">
        <f>#REF!+";Hb!O|"</f>
        <v>#REF!</v>
      </c>
      <c r="CQ15" t="e">
        <f>#REF!+";Hb!O}"</f>
        <v>#REF!</v>
      </c>
      <c r="CR15" t="e">
        <f>#REF!+";Hb!O~"</f>
        <v>#REF!</v>
      </c>
      <c r="CS15" t="e">
        <f>#REF!+";Hb!P#"</f>
        <v>#REF!</v>
      </c>
      <c r="CT15" t="e">
        <f>#REF!+";Hb!P$"</f>
        <v>#REF!</v>
      </c>
      <c r="CU15" t="e">
        <f>#REF!+";Hb!P%"</f>
        <v>#REF!</v>
      </c>
      <c r="CV15" t="e">
        <f>#REF!+";Hb!P&amp;"</f>
        <v>#REF!</v>
      </c>
      <c r="CW15" t="e">
        <f>#REF!+";Hb!P'"</f>
        <v>#REF!</v>
      </c>
      <c r="CX15" t="e">
        <f>#REF!+";Hb!P("</f>
        <v>#REF!</v>
      </c>
      <c r="CY15" t="e">
        <f>#REF!+";Hb!P)"</f>
        <v>#REF!</v>
      </c>
      <c r="CZ15" t="e">
        <f>#REF!+";Hb!P."</f>
        <v>#REF!</v>
      </c>
      <c r="DA15" t="e">
        <f>#REF!+";Hb!P/"</f>
        <v>#REF!</v>
      </c>
      <c r="DB15" t="e">
        <f>#REF!+";Hb!P0"</f>
        <v>#REF!</v>
      </c>
      <c r="DC15" t="e">
        <f>#REF!+";Hb!P1"</f>
        <v>#REF!</v>
      </c>
      <c r="DD15" t="e">
        <f>#REF!+";Hb!P2"</f>
        <v>#REF!</v>
      </c>
      <c r="DE15" t="e">
        <f>#REF!+";Hb!P3"</f>
        <v>#REF!</v>
      </c>
      <c r="DF15" t="e">
        <f>#REF!+";Hb!P4"</f>
        <v>#REF!</v>
      </c>
      <c r="DG15" t="e">
        <f>#REF!+";Hb!P5"</f>
        <v>#REF!</v>
      </c>
      <c r="DH15" t="e">
        <f>#REF!+";Hb!P6"</f>
        <v>#REF!</v>
      </c>
      <c r="DI15" t="e">
        <f>#REF!+";Hb!P7"</f>
        <v>#REF!</v>
      </c>
      <c r="DJ15" t="e">
        <f>#REF!+";Hb!P8"</f>
        <v>#REF!</v>
      </c>
      <c r="DK15" t="e">
        <f>#REF!+";Hb!P9"</f>
        <v>#REF!</v>
      </c>
      <c r="DL15" t="e">
        <f>#REF!+";Hb!P:"</f>
        <v>#REF!</v>
      </c>
      <c r="DM15" t="e">
        <f>#REF!+";Hb!P;"</f>
        <v>#REF!</v>
      </c>
      <c r="DN15" t="e">
        <f>#REF!+";Hb!P&lt;"</f>
        <v>#REF!</v>
      </c>
      <c r="DO15" t="e">
        <f>#REF!+";Hb!P="</f>
        <v>#REF!</v>
      </c>
      <c r="DP15" t="e">
        <f>#REF!+";Hb!P&gt;"</f>
        <v>#REF!</v>
      </c>
      <c r="DQ15" t="e">
        <f>#REF!+";Hb!P?"</f>
        <v>#REF!</v>
      </c>
      <c r="DR15" t="e">
        <f>#REF!+";Hb!P@"</f>
        <v>#REF!</v>
      </c>
      <c r="DS15" t="e">
        <f>#REF!+";Hb!PA"</f>
        <v>#REF!</v>
      </c>
      <c r="DT15" t="e">
        <f>#REF!+";Hb!PB"</f>
        <v>#REF!</v>
      </c>
      <c r="DU15" t="e">
        <f>#REF!+";Hb!PC"</f>
        <v>#REF!</v>
      </c>
      <c r="DV15" t="e">
        <f>#REF!+";Hb!PD"</f>
        <v>#REF!</v>
      </c>
      <c r="DW15" t="e">
        <f>#REF!+";Hb!PE"</f>
        <v>#REF!</v>
      </c>
      <c r="DX15" t="e">
        <f>#REF!+";Hb!PF"</f>
        <v>#REF!</v>
      </c>
      <c r="DY15" t="e">
        <f>#REF!+";Hb!PG"</f>
        <v>#REF!</v>
      </c>
      <c r="DZ15" t="e">
        <f>#REF!+";Hb!PH"</f>
        <v>#REF!</v>
      </c>
      <c r="EA15" t="e">
        <f>#REF!+";Hb!PI"</f>
        <v>#REF!</v>
      </c>
      <c r="EB15" t="e">
        <f>#REF!+";Hb!PJ"</f>
        <v>#REF!</v>
      </c>
      <c r="EC15" t="e">
        <f>#REF!+";Hb!PK"</f>
        <v>#REF!</v>
      </c>
      <c r="ED15" t="e">
        <f>#REF!+";Hb!PL"</f>
        <v>#REF!</v>
      </c>
      <c r="EE15" t="e">
        <f>#REF!+";Hb!PM"</f>
        <v>#REF!</v>
      </c>
      <c r="EF15" t="e">
        <f>#REF!+";Hb!PN"</f>
        <v>#REF!</v>
      </c>
      <c r="EG15" t="e">
        <f>#REF!+";Hb!PO"</f>
        <v>#REF!</v>
      </c>
      <c r="EH15" t="e">
        <f>#REF!+";Hb!PP"</f>
        <v>#REF!</v>
      </c>
      <c r="EI15" t="e">
        <f>#REF!+";Hb!PQ"</f>
        <v>#REF!</v>
      </c>
      <c r="EJ15" t="e">
        <f>#REF!+";Hb!PR"</f>
        <v>#REF!</v>
      </c>
      <c r="EK15" t="e">
        <f>#REF!+";Hb!PS"</f>
        <v>#REF!</v>
      </c>
      <c r="EL15" t="e">
        <f>#REF!+";Hb!PT"</f>
        <v>#REF!</v>
      </c>
      <c r="EM15" t="e">
        <f>#REF!+";Hb!PU"</f>
        <v>#REF!</v>
      </c>
      <c r="EN15" t="e">
        <f>#REF!+";Hb!PV"</f>
        <v>#REF!</v>
      </c>
      <c r="EO15" t="e">
        <f>#REF!+";Hb!PW"</f>
        <v>#REF!</v>
      </c>
      <c r="EP15" t="e">
        <f>#REF!+";Hb!PX"</f>
        <v>#REF!</v>
      </c>
      <c r="EQ15" t="e">
        <f>#REF!+";Hb!PY"</f>
        <v>#REF!</v>
      </c>
      <c r="ER15" t="e">
        <f>#REF!+";Hb!PZ"</f>
        <v>#REF!</v>
      </c>
      <c r="ES15" t="e">
        <f>#REF!+";Hb!P["</f>
        <v>#REF!</v>
      </c>
      <c r="ET15" t="e">
        <f>#REF!+";Hb!P\"</f>
        <v>#REF!</v>
      </c>
      <c r="EU15" t="e">
        <f>#REF!+";Hb!P]"</f>
        <v>#REF!</v>
      </c>
      <c r="EV15" t="e">
        <f>#REF!+";Hb!P^"</f>
        <v>#REF!</v>
      </c>
      <c r="EW15" t="e">
        <f>#REF!+";Hb!P_"</f>
        <v>#REF!</v>
      </c>
      <c r="EX15" t="e">
        <f>#REF!+";Hb!P`"</f>
        <v>#REF!</v>
      </c>
      <c r="EY15" t="e">
        <f>#REF!+";Hb!Pa"</f>
        <v>#REF!</v>
      </c>
      <c r="EZ15" t="e">
        <f>#REF!+";Hb!Pb"</f>
        <v>#REF!</v>
      </c>
      <c r="FA15" t="e">
        <f>#REF!+";Hb!Pc"</f>
        <v>#REF!</v>
      </c>
      <c r="FB15" t="e">
        <f>#REF!+";Hb!Pd"</f>
        <v>#REF!</v>
      </c>
      <c r="FC15" t="e">
        <f>#REF!+";Hb!Pe"</f>
        <v>#REF!</v>
      </c>
      <c r="FD15" t="e">
        <f>#REF!+";Hb!Pf"</f>
        <v>#REF!</v>
      </c>
      <c r="FE15" t="e">
        <f>#REF!+";Hb!Pg"</f>
        <v>#REF!</v>
      </c>
      <c r="FF15" t="e">
        <f>#REF!+";Hb!Ph"</f>
        <v>#REF!</v>
      </c>
      <c r="FG15" t="e">
        <f>#REF!+";Hb!Pi"</f>
        <v>#REF!</v>
      </c>
      <c r="FH15" t="e">
        <f>#REF!+";Hb!Pj"</f>
        <v>#REF!</v>
      </c>
      <c r="FI15" t="e">
        <f>#REF!+";Hb!Pk"</f>
        <v>#REF!</v>
      </c>
      <c r="FJ15" t="e">
        <f>#REF!+";Hb!Pl"</f>
        <v>#REF!</v>
      </c>
      <c r="FK15" t="e">
        <f>#REF!+";Hb!Pm"</f>
        <v>#REF!</v>
      </c>
      <c r="FL15" t="e">
        <f>#REF!+";Hb!Pn"</f>
        <v>#REF!</v>
      </c>
      <c r="FM15" t="e">
        <f>#REF!+";Hb!Po"</f>
        <v>#REF!</v>
      </c>
      <c r="FN15" t="e">
        <f>#REF!+";Hb!Pp"</f>
        <v>#REF!</v>
      </c>
      <c r="FO15" t="e">
        <f>#REF!+";Hb!Pq"</f>
        <v>#REF!</v>
      </c>
      <c r="FP15" t="e">
        <f>#REF!+";Hb!Pr"</f>
        <v>#REF!</v>
      </c>
      <c r="FQ15" t="e">
        <f>#REF!+";Hb!Ps"</f>
        <v>#REF!</v>
      </c>
      <c r="FR15" t="e">
        <f>#REF!+";Hb!Pt"</f>
        <v>#REF!</v>
      </c>
      <c r="FS15" t="e">
        <f>#REF!+";Hb!Pu"</f>
        <v>#REF!</v>
      </c>
      <c r="FT15" t="e">
        <f>#REF!+";Hb!Pv"</f>
        <v>#REF!</v>
      </c>
      <c r="FU15" t="e">
        <f>#REF!+";Hb!Pw"</f>
        <v>#REF!</v>
      </c>
      <c r="FV15" t="e">
        <f>#REF!+";Hb!Px"</f>
        <v>#REF!</v>
      </c>
      <c r="FW15" t="e">
        <f>#REF!+";Hb!Py"</f>
        <v>#REF!</v>
      </c>
      <c r="FX15" t="e">
        <f>#REF!+";Hb!Pz"</f>
        <v>#REF!</v>
      </c>
      <c r="FY15" t="e">
        <f>#REF!+";Hb!P{"</f>
        <v>#REF!</v>
      </c>
      <c r="FZ15" t="e">
        <f>#REF!+";Hb!P|"</f>
        <v>#REF!</v>
      </c>
      <c r="GA15" t="e">
        <f>#REF!+";Hb!P}"</f>
        <v>#REF!</v>
      </c>
      <c r="GB15" t="e">
        <f>#REF!*";Hb!P~"</f>
        <v>#REF!</v>
      </c>
      <c r="GC15" t="e">
        <f>#REF!*";Hb!Q#"</f>
        <v>#REF!</v>
      </c>
      <c r="GD15" t="e">
        <f>#REF!*";Hb!Q$"</f>
        <v>#REF!</v>
      </c>
      <c r="GE15" t="e">
        <f>#REF!*";Hb!Q%"</f>
        <v>#REF!</v>
      </c>
      <c r="GF15" t="e">
        <f>#REF!*";Hb!Q&amp;"</f>
        <v>#REF!</v>
      </c>
      <c r="GG15" t="e">
        <f>#REF!*";Hb!Q'"</f>
        <v>#REF!</v>
      </c>
      <c r="GH15" t="e">
        <f>#REF!*";Hb!Q("</f>
        <v>#REF!</v>
      </c>
      <c r="GI15" t="e">
        <f>#REF!*";Hb!Q)"</f>
        <v>#REF!</v>
      </c>
      <c r="GJ15" t="e">
        <f>#REF!*";Hb!Q."</f>
        <v>#REF!</v>
      </c>
      <c r="GK15" t="e">
        <f>#REF!*";Hb!Q/"</f>
        <v>#REF!</v>
      </c>
      <c r="GL15" t="e">
        <f>#REF!*";Hb!Q0"</f>
        <v>#REF!</v>
      </c>
      <c r="GM15" t="e">
        <f>#REF!*";Hb!Q1"</f>
        <v>#REF!</v>
      </c>
      <c r="GN15" t="e">
        <f>#REF!*";Hb!Q2"</f>
        <v>#REF!</v>
      </c>
      <c r="GO15" t="e">
        <f>#REF!*";Hb!Q3"</f>
        <v>#REF!</v>
      </c>
      <c r="GP15" t="e">
        <f>#REF!*";Hb!Q4"</f>
        <v>#REF!</v>
      </c>
      <c r="GQ15" t="e">
        <f>#REF!*";Hb!Q5"</f>
        <v>#REF!</v>
      </c>
      <c r="GR15" t="e">
        <f>#REF!*";Hb!Q6"</f>
        <v>#REF!</v>
      </c>
      <c r="GS15" t="e">
        <f>#REF!*";Hb!Q7"</f>
        <v>#REF!</v>
      </c>
      <c r="GT15" t="e">
        <f>#REF!*";Hb!Q8"</f>
        <v>#REF!</v>
      </c>
      <c r="GU15" t="e">
        <f>#REF!*";Hb!Q9"</f>
        <v>#REF!</v>
      </c>
      <c r="GV15" t="e">
        <f>#REF!*";Hb!Q:"</f>
        <v>#REF!</v>
      </c>
      <c r="GW15" t="e">
        <f>#REF!*";Hb!Q;"</f>
        <v>#REF!</v>
      </c>
      <c r="GX15" t="e">
        <f>#REF!*";Hb!Q&lt;"</f>
        <v>#REF!</v>
      </c>
      <c r="GY15" t="e">
        <f>#REF!*";Hb!Q="</f>
        <v>#REF!</v>
      </c>
      <c r="GZ15" t="e">
        <f>#REF!*";Hb!Q&gt;"</f>
        <v>#REF!</v>
      </c>
      <c r="HA15" t="e">
        <f>#REF!*";Hb!Q?"</f>
        <v>#REF!</v>
      </c>
      <c r="HB15" t="e">
        <f>#REF!*";Hb!Q@"</f>
        <v>#REF!</v>
      </c>
      <c r="HC15" t="e">
        <f>#REF!*";Hb!QA"</f>
        <v>#REF!</v>
      </c>
      <c r="HD15" t="e">
        <f>#REF!*";Hb!QB"</f>
        <v>#REF!</v>
      </c>
      <c r="HE15" t="e">
        <f>#REF!*";Hb!QC"</f>
        <v>#REF!</v>
      </c>
      <c r="HF15" t="e">
        <f>#REF!*";Hb!QD"</f>
        <v>#REF!</v>
      </c>
      <c r="HG15" t="e">
        <f>#REF!*";Hb!QE"</f>
        <v>#REF!</v>
      </c>
      <c r="HH15" t="e">
        <f>#REF!*";Hb!QF"</f>
        <v>#REF!</v>
      </c>
      <c r="HI15" t="e">
        <f>#REF!*";Hb!QG"</f>
        <v>#REF!</v>
      </c>
      <c r="HJ15" t="e">
        <f>#REF!*";Hb!QH"</f>
        <v>#REF!</v>
      </c>
      <c r="HK15" t="e">
        <f>#REF!*";Hb!QI"</f>
        <v>#REF!</v>
      </c>
      <c r="HL15" t="e">
        <f>#REF!*";Hb!QJ"</f>
        <v>#REF!</v>
      </c>
      <c r="HM15" t="e">
        <f>#REF!*";Hb!QK"</f>
        <v>#REF!</v>
      </c>
      <c r="HN15" t="e">
        <f>#REF!*";Hb!QL"</f>
        <v>#REF!</v>
      </c>
      <c r="HO15" t="e">
        <f>#REF!*";Hb!QM"</f>
        <v>#REF!</v>
      </c>
      <c r="HP15" t="e">
        <f>#REF!*";Hb!QN"</f>
        <v>#REF!</v>
      </c>
      <c r="HQ15" t="e">
        <f>#REF!*";Hb!QO"</f>
        <v>#REF!</v>
      </c>
      <c r="HR15" t="e">
        <f>#REF!*";Hb!QP"</f>
        <v>#REF!</v>
      </c>
      <c r="HS15" t="e">
        <f>#REF!*";Hb!QQ"</f>
        <v>#REF!</v>
      </c>
      <c r="HT15" t="e">
        <f>#REF!*";Hb!QR"</f>
        <v>#REF!</v>
      </c>
      <c r="HU15" t="e">
        <f>#REF!*";Hb!QS"</f>
        <v>#REF!</v>
      </c>
      <c r="HV15" t="e">
        <f>#REF!*";Hb!QT"</f>
        <v>#REF!</v>
      </c>
      <c r="HW15" t="e">
        <f>#REF!*";Hb!QU"</f>
        <v>#REF!</v>
      </c>
      <c r="HX15" t="e">
        <f>#REF!*";Hb!QV"</f>
        <v>#REF!</v>
      </c>
      <c r="HY15" t="e">
        <f>#REF!*";Hb!QW"</f>
        <v>#REF!</v>
      </c>
      <c r="HZ15" t="e">
        <f>#REF!*";Hb!QX"</f>
        <v>#REF!</v>
      </c>
      <c r="IA15" t="e">
        <f>#REF!*";Hb!QY"</f>
        <v>#REF!</v>
      </c>
      <c r="IB15" t="e">
        <f>#REF!*";Hb!QZ"</f>
        <v>#REF!</v>
      </c>
      <c r="IC15" t="e">
        <f>#REF!*";Hb!Q["</f>
        <v>#REF!</v>
      </c>
      <c r="ID15" t="e">
        <f>#REF!*";Hb!Q\"</f>
        <v>#REF!</v>
      </c>
      <c r="IE15" t="e">
        <f>#REF!-";Hb!Q]"</f>
        <v>#REF!</v>
      </c>
      <c r="IF15" t="e">
        <f>#REF!-";Hb!Q^"</f>
        <v>#REF!</v>
      </c>
      <c r="IG15" t="e">
        <f>#REF!-";Hb!Q_"</f>
        <v>#REF!</v>
      </c>
      <c r="IH15" t="e">
        <f>#REF!-";Hb!Q`"</f>
        <v>#REF!</v>
      </c>
      <c r="II15" t="e">
        <f>#REF!-";Hb!Qa"</f>
        <v>#REF!</v>
      </c>
      <c r="IJ15" t="e">
        <f>#REF!-";Hb!Qb"</f>
        <v>#REF!</v>
      </c>
      <c r="IK15" t="e">
        <f>#REF!-";Hb!Qc"</f>
        <v>#REF!</v>
      </c>
      <c r="IL15" t="e">
        <f>#REF!-";Hb!Qd"</f>
        <v>#REF!</v>
      </c>
      <c r="IM15" t="e">
        <f>#REF!-";Hb!Qe"</f>
        <v>#REF!</v>
      </c>
      <c r="IN15" t="e">
        <f>#REF!-";Hb!Qf"</f>
        <v>#REF!</v>
      </c>
      <c r="IO15" t="e">
        <f>#REF!-";Hb!Qg"</f>
        <v>#REF!</v>
      </c>
      <c r="IP15" t="e">
        <f>#REF!-";Hb!Qh"</f>
        <v>#REF!</v>
      </c>
      <c r="IQ15" t="e">
        <f>#REF!-";Hb!Qi"</f>
        <v>#REF!</v>
      </c>
      <c r="IR15" t="e">
        <f>#REF!-";Hb!Qj"</f>
        <v>#REF!</v>
      </c>
      <c r="IS15" t="e">
        <f>#REF!-";Hb!Qk"</f>
        <v>#REF!</v>
      </c>
      <c r="IT15" t="e">
        <f>#REF!-";Hb!Ql"</f>
        <v>#REF!</v>
      </c>
      <c r="IU15" t="e">
        <f>#REF!-";Hb!Qm"</f>
        <v>#REF!</v>
      </c>
      <c r="IV15" t="e">
        <f>#REF!-";Hb!Qn"</f>
        <v>#REF!</v>
      </c>
    </row>
    <row r="16" spans="1:256" x14ac:dyDescent="0.25">
      <c r="F16" t="e">
        <f>#REF!-";Hb!Qo"</f>
        <v>#REF!</v>
      </c>
      <c r="G16" t="e">
        <f>#REF!-";Hb!Qp"</f>
        <v>#REF!</v>
      </c>
      <c r="H16" t="e">
        <f>#REF!-";Hb!Qq"</f>
        <v>#REF!</v>
      </c>
      <c r="I16" t="e">
        <f>#REF!-";Hb!Qr"</f>
        <v>#REF!</v>
      </c>
      <c r="J16" t="e">
        <f>#REF!-";Hb!Qs"</f>
        <v>#REF!</v>
      </c>
      <c r="K16" t="e">
        <f>#REF!-";Hb!Qt"</f>
        <v>#REF!</v>
      </c>
      <c r="L16" t="e">
        <f>#REF!-";Hb!Qu"</f>
        <v>#REF!</v>
      </c>
      <c r="M16" t="e">
        <f>#REF!-";Hb!Qv"</f>
        <v>#REF!</v>
      </c>
      <c r="N16" t="e">
        <f>#REF!-";Hb!Qw"</f>
        <v>#REF!</v>
      </c>
      <c r="O16" t="e">
        <f>#REF!-";Hb!Qx"</f>
        <v>#REF!</v>
      </c>
      <c r="P16" t="e">
        <f>#REF!-";Hb!Qy"</f>
        <v>#REF!</v>
      </c>
      <c r="Q16" t="e">
        <f>#REF!-";Hb!Qz"</f>
        <v>#REF!</v>
      </c>
      <c r="R16" t="e">
        <f>#REF!-";Hb!Q{"</f>
        <v>#REF!</v>
      </c>
      <c r="S16" t="e">
        <f>#REF!-";Hb!Q|"</f>
        <v>#REF!</v>
      </c>
      <c r="T16" t="e">
        <f>#REF!-";Hb!Q}"</f>
        <v>#REF!</v>
      </c>
      <c r="U16" t="e">
        <f>#REF!-";Hb!Q~"</f>
        <v>#REF!</v>
      </c>
      <c r="V16" t="e">
        <f>#REF!-";Hb!R#"</f>
        <v>#REF!</v>
      </c>
      <c r="W16" t="e">
        <f>#REF!-";Hb!R$"</f>
        <v>#REF!</v>
      </c>
      <c r="X16" t="e">
        <f>#REF!-";Hb!R%"</f>
        <v>#REF!</v>
      </c>
      <c r="Y16" t="e">
        <f>#REF!-";Hb!R&amp;"</f>
        <v>#REF!</v>
      </c>
      <c r="Z16" t="e">
        <f>#REF!-";Hb!R'"</f>
        <v>#REF!</v>
      </c>
      <c r="AA16" t="e">
        <f>#REF!-";Hb!R("</f>
        <v>#REF!</v>
      </c>
      <c r="AB16" t="e">
        <f>#REF!-";Hb!R)"</f>
        <v>#REF!</v>
      </c>
      <c r="AC16" t="e">
        <f>#REF!-";Hb!R."</f>
        <v>#REF!</v>
      </c>
      <c r="AD16" t="e">
        <f>#REF!-";Hb!R/"</f>
        <v>#REF!</v>
      </c>
      <c r="AE16" t="e">
        <f>#REF!-";Hb!R0"</f>
        <v>#REF!</v>
      </c>
      <c r="AF16" t="e">
        <f>#REF!-";Hb!R1"</f>
        <v>#REF!</v>
      </c>
      <c r="AG16" t="e">
        <f>#REF!-";Hb!R2"</f>
        <v>#REF!</v>
      </c>
      <c r="AH16" t="e">
        <f>#REF!-";Hb!R3"</f>
        <v>#REF!</v>
      </c>
      <c r="AI16" t="e">
        <f>#REF!-";Hb!R4"</f>
        <v>#REF!</v>
      </c>
      <c r="AJ16" t="e">
        <f>#REF!-";Hb!R5"</f>
        <v>#REF!</v>
      </c>
      <c r="AK16" t="e">
        <f>#REF!-";Hb!R6"</f>
        <v>#REF!</v>
      </c>
      <c r="AL16" t="e">
        <f>#REF!-";Hb!R7"</f>
        <v>#REF!</v>
      </c>
      <c r="AM16" t="e">
        <f>#REF!-";Hb!R8"</f>
        <v>#REF!</v>
      </c>
      <c r="AN16" t="e">
        <f>#REF!-";Hb!R9"</f>
        <v>#REF!</v>
      </c>
      <c r="AO16" t="e">
        <f>#REF!-";Hb!R:"</f>
        <v>#REF!</v>
      </c>
      <c r="AP16" t="e">
        <f>#REF!-";Hb!R;"</f>
        <v>#REF!</v>
      </c>
      <c r="AQ16" t="e">
        <f>#REF!-";Hb!R&lt;"</f>
        <v>#REF!</v>
      </c>
      <c r="AR16" t="e">
        <f>#REF!-";Hb!R="</f>
        <v>#REF!</v>
      </c>
      <c r="AS16" t="e">
        <f>#REF!-";Hb!R&gt;"</f>
        <v>#REF!</v>
      </c>
      <c r="AT16" t="e">
        <f>#REF!-";Hb!R?"</f>
        <v>#REF!</v>
      </c>
      <c r="AU16" t="e">
        <f>#REF!-";Hb!R@"</f>
        <v>#REF!</v>
      </c>
      <c r="AV16" t="e">
        <f>#REF!-";Hb!RA"</f>
        <v>#REF!</v>
      </c>
      <c r="AW16" t="e">
        <f>#REF!-";Hb!RB"</f>
        <v>#REF!</v>
      </c>
      <c r="AX16" t="e">
        <f>#REF!-";Hb!RC"</f>
        <v>#REF!</v>
      </c>
      <c r="AY16" t="e">
        <f>#REF!-";Hb!RD"</f>
        <v>#REF!</v>
      </c>
      <c r="AZ16" t="e">
        <f>#REF!-";Hb!RE"</f>
        <v>#REF!</v>
      </c>
      <c r="BA16" t="e">
        <f>#REF!-";Hb!RF"</f>
        <v>#REF!</v>
      </c>
      <c r="BB16" t="e">
        <f>#REF!-";Hb!RG"</f>
        <v>#REF!</v>
      </c>
      <c r="BC16" t="e">
        <f>#REF!-";Hb!RH"</f>
        <v>#REF!</v>
      </c>
      <c r="BD16" t="e">
        <f>#REF!-";Hb!RI"</f>
        <v>#REF!</v>
      </c>
      <c r="BE16" t="e">
        <f>#REF!-";Hb!RJ"</f>
        <v>#REF!</v>
      </c>
      <c r="BF16" t="e">
        <f>#REF!-";Hb!RK"</f>
        <v>#REF!</v>
      </c>
      <c r="BG16" t="e">
        <f>#REF!-";Hb!RL"</f>
        <v>#REF!</v>
      </c>
      <c r="BH16" t="e">
        <f>#REF!-";Hb!RM"</f>
        <v>#REF!</v>
      </c>
      <c r="BI16" t="e">
        <f>#REF!-";Hb!RN"</f>
        <v>#REF!</v>
      </c>
      <c r="BJ16" t="e">
        <f>#REF!-";Hb!RO"</f>
        <v>#REF!</v>
      </c>
      <c r="BK16" t="e">
        <f>#REF!-";Hb!RP"</f>
        <v>#REF!</v>
      </c>
      <c r="BL16" t="e">
        <f>#REF!-";Hb!RQ"</f>
        <v>#REF!</v>
      </c>
      <c r="BM16" t="e">
        <f>#REF!-";Hb!RR"</f>
        <v>#REF!</v>
      </c>
      <c r="BN16" t="e">
        <f>#REF!-";Hb!RS"</f>
        <v>#REF!</v>
      </c>
      <c r="BO16" t="e">
        <f>#REF!-";Hb!RT"</f>
        <v>#REF!</v>
      </c>
      <c r="BP16" t="e">
        <f>#REF!-";Hb!RU"</f>
        <v>#REF!</v>
      </c>
      <c r="BQ16" t="e">
        <f>#REF!-";Hb!RV"</f>
        <v>#REF!</v>
      </c>
      <c r="BR16" t="e">
        <f>#REF!-";Hb!RW"</f>
        <v>#REF!</v>
      </c>
      <c r="BS16" t="e">
        <f>#REF!-";Hb!RX"</f>
        <v>#REF!</v>
      </c>
      <c r="BT16" t="e">
        <f>#REF!-";Hb!RY"</f>
        <v>#REF!</v>
      </c>
      <c r="BU16" t="e">
        <f>#REF!-";Hb!RZ"</f>
        <v>#REF!</v>
      </c>
      <c r="BV16" t="e">
        <f>#REF!-";Hb!R["</f>
        <v>#REF!</v>
      </c>
      <c r="BW16" t="e">
        <f>#REF!-";Hb!R\"</f>
        <v>#REF!</v>
      </c>
      <c r="BX16" t="e">
        <f>#REF!-";Hb!R]"</f>
        <v>#REF!</v>
      </c>
      <c r="BY16" t="e">
        <f>#REF!-";Hb!R^"</f>
        <v>#REF!</v>
      </c>
      <c r="BZ16" t="e">
        <f>#REF!-";Hb!R_"</f>
        <v>#REF!</v>
      </c>
      <c r="CA16" t="e">
        <f>#REF!-";Hb!R`"</f>
        <v>#REF!</v>
      </c>
      <c r="CB16" t="e">
        <f>#REF!-";Hb!Ra"</f>
        <v>#REF!</v>
      </c>
      <c r="CC16" t="e">
        <f>#REF!-";Hb!Rb"</f>
        <v>#REF!</v>
      </c>
      <c r="CD16" t="e">
        <f>#REF!-";Hb!Rc"</f>
        <v>#REF!</v>
      </c>
      <c r="CE16" t="e">
        <f>#REF!-";Hb!Rd"</f>
        <v>#REF!</v>
      </c>
      <c r="CF16" t="e">
        <f>#REF!-";Hb!Re"</f>
        <v>#REF!</v>
      </c>
      <c r="CG16" t="e">
        <f>#REF!-";Hb!Rf"</f>
        <v>#REF!</v>
      </c>
      <c r="CH16" t="e">
        <f>#REF!-";Hb!Rg"</f>
        <v>#REF!</v>
      </c>
      <c r="CI16" t="e">
        <f>#REF!-";Hb!Rh"</f>
        <v>#REF!</v>
      </c>
      <c r="CJ16" t="e">
        <f>#REF!-";Hb!Ri"</f>
        <v>#REF!</v>
      </c>
      <c r="CK16" t="e">
        <f>#REF!-";Hb!Rj"</f>
        <v>#REF!</v>
      </c>
      <c r="CL16" t="e">
        <f>#REF!-";Hb!Rk"</f>
        <v>#REF!</v>
      </c>
      <c r="CM16" t="e">
        <f>#REF!-";Hb!Rl"</f>
        <v>#REF!</v>
      </c>
      <c r="CN16" t="e">
        <f>#REF!-";Hb!Rm"</f>
        <v>#REF!</v>
      </c>
      <c r="CO16" t="e">
        <f>#REF!-";Hb!Rn"</f>
        <v>#REF!</v>
      </c>
      <c r="CP16" t="e">
        <f>#REF!-";Hb!Ro"</f>
        <v>#REF!</v>
      </c>
      <c r="CQ16" t="e">
        <f>#REF!-";Hb!Rp"</f>
        <v>#REF!</v>
      </c>
      <c r="CR16" t="e">
        <f>#REF!-";Hb!Rq"</f>
        <v>#REF!</v>
      </c>
      <c r="CS16" t="e">
        <f>#REF!-";Hb!Rr"</f>
        <v>#REF!</v>
      </c>
      <c r="CT16" t="e">
        <f>#REF!-";Hb!Rs"</f>
        <v>#REF!</v>
      </c>
      <c r="CU16" t="e">
        <f>#REF!-";Hb!Rt"</f>
        <v>#REF!</v>
      </c>
      <c r="CV16" t="e">
        <f>#REF!-";Hb!Ru"</f>
        <v>#REF!</v>
      </c>
      <c r="CW16" t="e">
        <f>#REF!-";Hb!Rv"</f>
        <v>#REF!</v>
      </c>
      <c r="CX16" t="e">
        <f>#REF!-";Hb!Rw"</f>
        <v>#REF!</v>
      </c>
      <c r="CY16" t="e">
        <f>#REF!-";Hb!Rx"</f>
        <v>#REF!</v>
      </c>
      <c r="CZ16" t="e">
        <f>#REF!-";Hb!Ry"</f>
        <v>#REF!</v>
      </c>
      <c r="DA16" t="e">
        <f>#REF!-";Hb!Rz"</f>
        <v>#REF!</v>
      </c>
      <c r="DB16" t="e">
        <f>#REF!-";Hb!R{"</f>
        <v>#REF!</v>
      </c>
      <c r="DC16" t="e">
        <f>#REF!-";Hb!R|"</f>
        <v>#REF!</v>
      </c>
      <c r="DD16" t="e">
        <f>#REF!-";Hb!R}"</f>
        <v>#REF!</v>
      </c>
      <c r="DE16" t="e">
        <f>#REF!-";Hb!R~"</f>
        <v>#REF!</v>
      </c>
      <c r="DF16" t="e">
        <f>#REF!-";Hb!S#"</f>
        <v>#REF!</v>
      </c>
      <c r="DG16" t="e">
        <f>#REF!-";Hb!S$"</f>
        <v>#REF!</v>
      </c>
      <c r="DH16" t="e">
        <f>#REF!-";Hb!S%"</f>
        <v>#REF!</v>
      </c>
      <c r="DI16" t="e">
        <f>#REF!-";Hb!S&amp;"</f>
        <v>#REF!</v>
      </c>
      <c r="DJ16" t="e">
        <f>#REF!-";Hb!S'"</f>
        <v>#REF!</v>
      </c>
      <c r="DK16" t="e">
        <f>#REF!-";Hb!S("</f>
        <v>#REF!</v>
      </c>
      <c r="DL16" t="e">
        <f>#REF!-";Hb!S)"</f>
        <v>#REF!</v>
      </c>
      <c r="DM16" t="e">
        <f>#REF!-";Hb!S."</f>
        <v>#REF!</v>
      </c>
      <c r="DN16" t="e">
        <f>#REF!-";Hb!S/"</f>
        <v>#REF!</v>
      </c>
      <c r="DO16" t="e">
        <f>#REF!-";Hb!S0"</f>
        <v>#REF!</v>
      </c>
      <c r="DP16" t="e">
        <f>#REF!-";Hb!S1"</f>
        <v>#REF!</v>
      </c>
      <c r="DQ16" t="e">
        <f>#REF!-";Hb!S2"</f>
        <v>#REF!</v>
      </c>
      <c r="DR16" t="e">
        <f>#REF!-";Hb!S3"</f>
        <v>#REF!</v>
      </c>
      <c r="DS16" t="e">
        <f>#REF!-";Hb!S4"</f>
        <v>#REF!</v>
      </c>
      <c r="DT16" t="e">
        <f>#REF!-";Hb!S5"</f>
        <v>#REF!</v>
      </c>
      <c r="DU16" t="e">
        <f>#REF!-";Hb!S6"</f>
        <v>#REF!</v>
      </c>
      <c r="DV16" t="e">
        <f>#REF!-";Hb!S7"</f>
        <v>#REF!</v>
      </c>
      <c r="DW16" t="e">
        <f>#REF!-";Hb!S8"</f>
        <v>#REF!</v>
      </c>
      <c r="DX16" t="e">
        <f>#REF!-";Hb!S9"</f>
        <v>#REF!</v>
      </c>
      <c r="DY16" t="e">
        <f>#REF!-";Hb!S:"</f>
        <v>#REF!</v>
      </c>
      <c r="DZ16" t="e">
        <f>#REF!-";Hb!S;"</f>
        <v>#REF!</v>
      </c>
      <c r="EA16" t="e">
        <f>#REF!-";Hb!S&lt;"</f>
        <v>#REF!</v>
      </c>
      <c r="EB16" t="e">
        <f>#REF!-";Hb!S="</f>
        <v>#REF!</v>
      </c>
      <c r="EC16" t="e">
        <f>#REF!-";Hb!S&gt;"</f>
        <v>#REF!</v>
      </c>
      <c r="ED16" t="e">
        <f>#REF!-";Hb!S?"</f>
        <v>#REF!</v>
      </c>
      <c r="EE16" t="e">
        <f>#REF!-";Hb!S@"</f>
        <v>#REF!</v>
      </c>
      <c r="EF16" t="e">
        <f>#REF!-";Hb!SA"</f>
        <v>#REF!</v>
      </c>
      <c r="EG16" t="e">
        <f>#REF!-";Hb!SB"</f>
        <v>#REF!</v>
      </c>
      <c r="EH16" t="e">
        <f>#REF!-";Hb!SC"</f>
        <v>#REF!</v>
      </c>
      <c r="EI16" t="e">
        <f>#REF!-";Hb!SD"</f>
        <v>#REF!</v>
      </c>
      <c r="EJ16" t="e">
        <f>#REF!-";Hb!SE"</f>
        <v>#REF!</v>
      </c>
      <c r="EK16" t="e">
        <f>#REF!-";Hb!SF"</f>
        <v>#REF!</v>
      </c>
      <c r="EL16" t="e">
        <f>#REF!-";Hb!SG"</f>
        <v>#REF!</v>
      </c>
      <c r="EM16" t="e">
        <f>#REF!-";Hb!SH"</f>
        <v>#REF!</v>
      </c>
      <c r="EN16" t="e">
        <f>#REF!-";Hb!SI"</f>
        <v>#REF!</v>
      </c>
      <c r="EO16" t="e">
        <f>#REF!-";Hb!SJ"</f>
        <v>#REF!</v>
      </c>
      <c r="EP16" t="e">
        <f>#REF!-";Hb!SK"</f>
        <v>#REF!</v>
      </c>
      <c r="EQ16" t="e">
        <f>#REF!-";Hb!SL"</f>
        <v>#REF!</v>
      </c>
      <c r="ER16" t="e">
        <f>#REF!-";Hb!SM"</f>
        <v>#REF!</v>
      </c>
      <c r="ES16" t="e">
        <f>#REF!-";Hb!SN"</f>
        <v>#REF!</v>
      </c>
      <c r="ET16" t="e">
        <f>#REF!-";Hb!SO"</f>
        <v>#REF!</v>
      </c>
      <c r="EU16" t="e">
        <f>#REF!-";Hb!SP"</f>
        <v>#REF!</v>
      </c>
      <c r="EV16" t="e">
        <f>#REF!-";Hb!SQ"</f>
        <v>#REF!</v>
      </c>
      <c r="EW16" t="e">
        <f>#REF!-";Hb!SR"</f>
        <v>#REF!</v>
      </c>
      <c r="EX16" t="e">
        <f>#REF!-";Hb!SS"</f>
        <v>#REF!</v>
      </c>
      <c r="EY16" t="e">
        <f>#REF!-";Hb!ST"</f>
        <v>#REF!</v>
      </c>
      <c r="EZ16" t="e">
        <f>#REF!-";Hb!SU"</f>
        <v>#REF!</v>
      </c>
      <c r="FA16" t="e">
        <f>#REF!-";Hb!SV"</f>
        <v>#REF!</v>
      </c>
      <c r="FB16" t="e">
        <f>#REF!-";Hb!SW"</f>
        <v>#REF!</v>
      </c>
      <c r="FC16" t="e">
        <f>#REF!-";Hb!SX"</f>
        <v>#REF!</v>
      </c>
      <c r="FD16" t="e">
        <f>#REF!-";Hb!SY"</f>
        <v>#REF!</v>
      </c>
      <c r="FE16" t="e">
        <f>#REF!-";Hb!SZ"</f>
        <v>#REF!</v>
      </c>
      <c r="FF16" t="e">
        <f>#REF!-";Hb!S["</f>
        <v>#REF!</v>
      </c>
      <c r="FG16" t="e">
        <f>#REF!-";Hb!S\"</f>
        <v>#REF!</v>
      </c>
      <c r="FH16" t="e">
        <f>#REF!-";Hb!S]"</f>
        <v>#REF!</v>
      </c>
      <c r="FI16" t="e">
        <f>#REF!-";Hb!S^"</f>
        <v>#REF!</v>
      </c>
      <c r="FJ16" t="e">
        <f>#REF!-";Hb!S_"</f>
        <v>#REF!</v>
      </c>
      <c r="FK16" t="e">
        <f>#REF!-";Hb!S`"</f>
        <v>#REF!</v>
      </c>
      <c r="FL16" t="e">
        <f>#REF!-";Hb!Sa"</f>
        <v>#REF!</v>
      </c>
      <c r="FM16" t="e">
        <f>#REF!-";Hb!Sb"</f>
        <v>#REF!</v>
      </c>
      <c r="FN16" t="e">
        <f>#REF!-";Hb!Sc"</f>
        <v>#REF!</v>
      </c>
      <c r="FO16" t="e">
        <f>#REF!-";Hb!Sd"</f>
        <v>#REF!</v>
      </c>
      <c r="FP16" t="e">
        <f>#REF!-";Hb!Se"</f>
        <v>#REF!</v>
      </c>
      <c r="FQ16" t="e">
        <f>#REF!-";Hb!Sf"</f>
        <v>#REF!</v>
      </c>
      <c r="FR16" t="e">
        <f>#REF!-";Hb!Sg"</f>
        <v>#REF!</v>
      </c>
      <c r="FS16" t="e">
        <f>#REF!-";Hb!Sh"</f>
        <v>#REF!</v>
      </c>
      <c r="FT16" t="e">
        <f>#REF!-";Hb!Si"</f>
        <v>#REF!</v>
      </c>
      <c r="FU16" t="e">
        <f>#REF!-";Hb!Sj"</f>
        <v>#REF!</v>
      </c>
      <c r="FV16" t="e">
        <f>#REF!-";Hb!Sk"</f>
        <v>#REF!</v>
      </c>
      <c r="FW16" t="e">
        <f>#REF!-";Hb!Sl"</f>
        <v>#REF!</v>
      </c>
      <c r="FX16" t="e">
        <f>#REF!-";Hb!Sm"</f>
        <v>#REF!</v>
      </c>
      <c r="FY16" t="e">
        <f>#REF!-";Hb!Sn"</f>
        <v>#REF!</v>
      </c>
      <c r="FZ16" t="e">
        <f>#REF!-";Hb!So"</f>
        <v>#REF!</v>
      </c>
      <c r="GA16" t="e">
        <f>#REF!-";Hb!Sp"</f>
        <v>#REF!</v>
      </c>
      <c r="GB16" t="e">
        <f>#REF!-";Hb!Sq"</f>
        <v>#REF!</v>
      </c>
      <c r="GC16" t="e">
        <f>#REF!-";Hb!Sr"</f>
        <v>#REF!</v>
      </c>
      <c r="GD16" t="e">
        <f>#REF!-";Hb!Ss"</f>
        <v>#REF!</v>
      </c>
      <c r="GE16" t="e">
        <f>#REF!-";Hb!St"</f>
        <v>#REF!</v>
      </c>
      <c r="GF16" t="e">
        <f>#REF!-";Hb!Su"</f>
        <v>#REF!</v>
      </c>
      <c r="GG16" t="e">
        <f>#REF!-";Hb!Sv"</f>
        <v>#REF!</v>
      </c>
      <c r="GH16" t="e">
        <f>#REF!-";Hb!Sw"</f>
        <v>#REF!</v>
      </c>
      <c r="GI16" t="e">
        <f>#REF!-";Hb!Sx"</f>
        <v>#REF!</v>
      </c>
      <c r="GJ16" t="e">
        <f>#REF!-";Hb!Sy"</f>
        <v>#REF!</v>
      </c>
      <c r="GK16" t="e">
        <f>#REF!-";Hb!Sz"</f>
        <v>#REF!</v>
      </c>
      <c r="GL16" t="e">
        <f>#REF!-";Hb!S{"</f>
        <v>#REF!</v>
      </c>
      <c r="GM16" t="e">
        <f>#REF!-";Hb!S|"</f>
        <v>#REF!</v>
      </c>
      <c r="GN16" t="e">
        <f>#REF!-";Hb!S}"</f>
        <v>#REF!</v>
      </c>
      <c r="GO16" t="e">
        <f>#REF!-";Hb!S~"</f>
        <v>#REF!</v>
      </c>
      <c r="GP16" t="e">
        <f>#REF!-";Hb!T#"</f>
        <v>#REF!</v>
      </c>
      <c r="GQ16" t="e">
        <f>#REF!-";Hb!T$"</f>
        <v>#REF!</v>
      </c>
      <c r="GR16" t="e">
        <f>#REF!-";Hb!T%"</f>
        <v>#REF!</v>
      </c>
      <c r="GS16" t="e">
        <f>#REF!-";Hb!T&amp;"</f>
        <v>#REF!</v>
      </c>
      <c r="GT16" t="e">
        <f>#REF!-";Hb!T'"</f>
        <v>#REF!</v>
      </c>
      <c r="GU16" t="e">
        <f>#REF!-";Hb!T("</f>
        <v>#REF!</v>
      </c>
      <c r="GV16" t="e">
        <f>#REF!-";Hb!T)"</f>
        <v>#REF!</v>
      </c>
      <c r="GW16" t="e">
        <f>#REF!-";Hb!T."</f>
        <v>#REF!</v>
      </c>
      <c r="GX16" t="e">
        <f>#REF!-";Hb!T/"</f>
        <v>#REF!</v>
      </c>
      <c r="GY16" t="e">
        <f>#REF!-";Hb!T0"</f>
        <v>#REF!</v>
      </c>
      <c r="GZ16" t="e">
        <f>#REF!-";Hb!T1"</f>
        <v>#REF!</v>
      </c>
      <c r="HA16" t="e">
        <f>#REF!-";Hb!T2"</f>
        <v>#REF!</v>
      </c>
      <c r="HB16" t="e">
        <f>#REF!-";Hb!T3"</f>
        <v>#REF!</v>
      </c>
      <c r="HC16" t="e">
        <f>#REF!-";Hb!T4"</f>
        <v>#REF!</v>
      </c>
      <c r="HD16" t="e">
        <f>#REF!-";Hb!T5"</f>
        <v>#REF!</v>
      </c>
      <c r="HE16" t="e">
        <f>#REF!-";Hb!T6"</f>
        <v>#REF!</v>
      </c>
      <c r="HF16" t="e">
        <f>#REF!-";Hb!T7"</f>
        <v>#REF!</v>
      </c>
      <c r="HG16" t="e">
        <f>#REF!-";Hb!T8"</f>
        <v>#REF!</v>
      </c>
      <c r="HH16" t="e">
        <f>#REF!-";Hb!T9"</f>
        <v>#REF!</v>
      </c>
      <c r="HI16" t="e">
        <f>#REF!-";Hb!T:"</f>
        <v>#REF!</v>
      </c>
      <c r="HJ16" t="e">
        <f>#REF!-";Hb!T;"</f>
        <v>#REF!</v>
      </c>
      <c r="HK16" t="e">
        <f>#REF!-";Hb!T&lt;"</f>
        <v>#REF!</v>
      </c>
      <c r="HL16" t="e">
        <f>#REF!-";Hb!T="</f>
        <v>#REF!</v>
      </c>
      <c r="HM16" t="e">
        <f>#REF!-";Hb!T&gt;"</f>
        <v>#REF!</v>
      </c>
      <c r="HN16" t="e">
        <f>#REF!-";Hb!T?"</f>
        <v>#REF!</v>
      </c>
      <c r="HO16" t="e">
        <f>#REF!-";Hb!T@"</f>
        <v>#REF!</v>
      </c>
      <c r="HP16" t="e">
        <f>#REF!-";Hb!TA"</f>
        <v>#REF!</v>
      </c>
      <c r="HQ16" t="e">
        <f>#REF!-";Hb!TB"</f>
        <v>#REF!</v>
      </c>
      <c r="HR16" t="e">
        <f>#REF!-";Hb!TC"</f>
        <v>#REF!</v>
      </c>
      <c r="HS16" t="e">
        <f>#REF!-";Hb!TD"</f>
        <v>#REF!</v>
      </c>
      <c r="HT16" t="e">
        <f>#REF!-";Hb!TE"</f>
        <v>#REF!</v>
      </c>
      <c r="HU16" t="e">
        <f>#REF!-";Hb!TF"</f>
        <v>#REF!</v>
      </c>
      <c r="HV16" t="e">
        <f>#REF!-";Hb!TG"</f>
        <v>#REF!</v>
      </c>
      <c r="HW16" t="e">
        <f>#REF!-";Hb!TH"</f>
        <v>#REF!</v>
      </c>
      <c r="HX16" t="e">
        <f>#REF!-";Hb!TI"</f>
        <v>#REF!</v>
      </c>
      <c r="HY16" t="e">
        <f>#REF!-";Hb!TJ"</f>
        <v>#REF!</v>
      </c>
      <c r="HZ16" t="e">
        <f>#REF!-";Hb!TK"</f>
        <v>#REF!</v>
      </c>
      <c r="IA16" t="e">
        <f>#REF!-";Hb!TL"</f>
        <v>#REF!</v>
      </c>
      <c r="IB16" t="e">
        <f>#REF!-";Hb!TM"</f>
        <v>#REF!</v>
      </c>
      <c r="IC16" t="e">
        <f>#REF!-";Hb!TN"</f>
        <v>#REF!</v>
      </c>
      <c r="ID16" t="e">
        <f>#REF!-";Hb!TO"</f>
        <v>#REF!</v>
      </c>
      <c r="IE16" t="e">
        <f>#REF!-";Hb!TP"</f>
        <v>#REF!</v>
      </c>
      <c r="IF16" t="e">
        <f>#REF!-";Hb!TQ"</f>
        <v>#REF!</v>
      </c>
      <c r="IG16" t="e">
        <f>#REF!-";Hb!TR"</f>
        <v>#REF!</v>
      </c>
      <c r="IH16" t="e">
        <f>#REF!-";Hb!TS"</f>
        <v>#REF!</v>
      </c>
      <c r="II16" t="e">
        <f>#REF!-";Hb!TT"</f>
        <v>#REF!</v>
      </c>
      <c r="IJ16" t="e">
        <f>#REF!-";Hb!TU"</f>
        <v>#REF!</v>
      </c>
      <c r="IK16" t="e">
        <f>#REF!-";Hb!TV"</f>
        <v>#REF!</v>
      </c>
      <c r="IL16" t="e">
        <f>#REF!-";Hb!TW"</f>
        <v>#REF!</v>
      </c>
      <c r="IM16" t="e">
        <f>#REF!-";Hb!TX"</f>
        <v>#REF!</v>
      </c>
      <c r="IN16" t="e">
        <f>#REF!-";Hb!TY"</f>
        <v>#REF!</v>
      </c>
      <c r="IO16" t="e">
        <f>#REF!-";Hb!TZ"</f>
        <v>#REF!</v>
      </c>
      <c r="IP16" t="e">
        <f>#REF!-";Hb!T["</f>
        <v>#REF!</v>
      </c>
      <c r="IQ16" t="e">
        <f>#REF!-";Hb!T\"</f>
        <v>#REF!</v>
      </c>
      <c r="IR16" t="e">
        <f>#REF!-";Hb!T]"</f>
        <v>#REF!</v>
      </c>
      <c r="IS16" t="e">
        <f>#REF!-";Hb!T^"</f>
        <v>#REF!</v>
      </c>
      <c r="IT16" t="e">
        <f>#REF!-";Hb!T_"</f>
        <v>#REF!</v>
      </c>
      <c r="IU16" t="e">
        <f>#REF!-";Hb!T`"</f>
        <v>#REF!</v>
      </c>
      <c r="IV16" t="e">
        <f>#REF!-";Hb!Ta"</f>
        <v>#REF!</v>
      </c>
    </row>
    <row r="17" spans="6:256" x14ac:dyDescent="0.25">
      <c r="F17" t="e">
        <f>#REF!-";Hb!Tb"</f>
        <v>#REF!</v>
      </c>
      <c r="G17" t="e">
        <f>#REF!-";Hb!Tc"</f>
        <v>#REF!</v>
      </c>
      <c r="H17" t="e">
        <f>#REF!-";Hb!Td"</f>
        <v>#REF!</v>
      </c>
      <c r="I17" t="e">
        <f>#REF!-";Hb!Te"</f>
        <v>#REF!</v>
      </c>
      <c r="J17" t="e">
        <f>#REF!-";Hb!Tf"</f>
        <v>#REF!</v>
      </c>
      <c r="K17" t="e">
        <f>#REF!-";Hb!Tg"</f>
        <v>#REF!</v>
      </c>
      <c r="L17" t="e">
        <f>#REF!-";Hb!Th"</f>
        <v>#REF!</v>
      </c>
      <c r="M17" t="e">
        <f>#REF!-";Hb!Ti"</f>
        <v>#REF!</v>
      </c>
      <c r="N17" t="e">
        <f>#REF!-";Hb!Tj"</f>
        <v>#REF!</v>
      </c>
      <c r="O17" t="e">
        <f>#REF!-";Hb!Tk"</f>
        <v>#REF!</v>
      </c>
      <c r="P17" t="e">
        <f>#REF!-";Hb!Tl"</f>
        <v>#REF!</v>
      </c>
      <c r="Q17" t="e">
        <f>#REF!-";Hb!Tm"</f>
        <v>#REF!</v>
      </c>
      <c r="R17" t="e">
        <f>#REF!-";Hb!Tn"</f>
        <v>#REF!</v>
      </c>
      <c r="S17" t="e">
        <f>#REF!-";Hb!To"</f>
        <v>#REF!</v>
      </c>
      <c r="T17" t="e">
        <f>#REF!-";Hb!Tp"</f>
        <v>#REF!</v>
      </c>
      <c r="U17" t="e">
        <f>#REF!-";Hb!Tq"</f>
        <v>#REF!</v>
      </c>
      <c r="V17" t="e">
        <f>#REF!-";Hb!Tr"</f>
        <v>#REF!</v>
      </c>
      <c r="W17" t="e">
        <f>#REF!-";Hb!Ts"</f>
        <v>#REF!</v>
      </c>
      <c r="X17" t="e">
        <f>#REF!-";Hb!Tt"</f>
        <v>#REF!</v>
      </c>
      <c r="Y17" t="e">
        <f>#REF!-";Hb!Tu"</f>
        <v>#REF!</v>
      </c>
      <c r="Z17" t="e">
        <f>#REF!-";Hb!Tv"</f>
        <v>#REF!</v>
      </c>
      <c r="AA17" t="e">
        <f>#REF!-";Hb!Tw"</f>
        <v>#REF!</v>
      </c>
      <c r="AB17" t="e">
        <f>#REF!-";Hb!Tx"</f>
        <v>#REF!</v>
      </c>
      <c r="AC17" t="e">
        <f>#REF!-";Hb!Ty"</f>
        <v>#REF!</v>
      </c>
      <c r="AD17" t="e">
        <f>#REF!-";Hb!Tz"</f>
        <v>#REF!</v>
      </c>
      <c r="AE17" t="e">
        <f>#REF!-";Hb!T{"</f>
        <v>#REF!</v>
      </c>
      <c r="AF17" t="e">
        <f>#REF!-";Hb!T|"</f>
        <v>#REF!</v>
      </c>
      <c r="AG17" t="e">
        <f>#REF!-";Hb!T}"</f>
        <v>#REF!</v>
      </c>
      <c r="AH17" t="e">
        <f>#REF!-";Hb!T~"</f>
        <v>#REF!</v>
      </c>
      <c r="AI17" t="e">
        <f>#REF!-";Hb!U#"</f>
        <v>#REF!</v>
      </c>
      <c r="AJ17" t="e">
        <f>#REF!-";Hb!U$"</f>
        <v>#REF!</v>
      </c>
      <c r="AK17" t="e">
        <f>#REF!-";Hb!U%"</f>
        <v>#REF!</v>
      </c>
      <c r="AL17" t="e">
        <f>#REF!-";Hb!U&amp;"</f>
        <v>#REF!</v>
      </c>
      <c r="AM17" t="e">
        <f>#REF!-";Hb!U'"</f>
        <v>#REF!</v>
      </c>
      <c r="AN17" t="e">
        <f>#REF!-";Hb!U("</f>
        <v>#REF!</v>
      </c>
      <c r="AO17" t="e">
        <f>#REF!-";Hb!U)"</f>
        <v>#REF!</v>
      </c>
      <c r="AP17" t="e">
        <f>#REF!-";Hb!U."</f>
        <v>#REF!</v>
      </c>
      <c r="AQ17" t="e">
        <f>#REF!-";Hb!U/"</f>
        <v>#REF!</v>
      </c>
      <c r="AR17" t="e">
        <f>#REF!-";Hb!U0"</f>
        <v>#REF!</v>
      </c>
      <c r="AS17" t="e">
        <f>#REF!-";Hb!U1"</f>
        <v>#REF!</v>
      </c>
      <c r="AT17" t="e">
        <f>#REF!-";Hb!U2"</f>
        <v>#REF!</v>
      </c>
      <c r="AU17" t="e">
        <f>#REF!-";Hb!U3"</f>
        <v>#REF!</v>
      </c>
      <c r="AV17" t="e">
        <f>#REF!-";Hb!U4"</f>
        <v>#REF!</v>
      </c>
      <c r="AW17" t="e">
        <f>#REF!-";Hb!U5"</f>
        <v>#REF!</v>
      </c>
      <c r="AX17" t="e">
        <f>#REF!-";Hb!U6"</f>
        <v>#REF!</v>
      </c>
      <c r="AY17" t="e">
        <f>#REF!-";Hb!U7"</f>
        <v>#REF!</v>
      </c>
      <c r="AZ17" t="e">
        <f>#REF!-";Hb!U8"</f>
        <v>#REF!</v>
      </c>
      <c r="BA17" t="e">
        <f>#REF!-";Hb!U9"</f>
        <v>#REF!</v>
      </c>
      <c r="BB17" t="e">
        <f>#REF!-";Hb!U:"</f>
        <v>#REF!</v>
      </c>
      <c r="BC17" t="e">
        <f>#REF!-";Hb!U;"</f>
        <v>#REF!</v>
      </c>
      <c r="BD17" t="e">
        <f>#REF!-";Hb!U&lt;"</f>
        <v>#REF!</v>
      </c>
      <c r="BE17" t="e">
        <f>#REF!-";Hb!U="</f>
        <v>#REF!</v>
      </c>
      <c r="BF17" t="e">
        <f>#REF!-";Hb!U&gt;"</f>
        <v>#REF!</v>
      </c>
      <c r="BG17" t="e">
        <f>#REF!-";Hb!U?"</f>
        <v>#REF!</v>
      </c>
      <c r="BH17" t="e">
        <f>#REF!-";Hb!U@"</f>
        <v>#REF!</v>
      </c>
      <c r="BI17" t="e">
        <f>#REF!-";Hb!UA"</f>
        <v>#REF!</v>
      </c>
      <c r="BJ17" t="e">
        <f>#REF!-";Hb!UB"</f>
        <v>#REF!</v>
      </c>
      <c r="BK17" t="e">
        <f>#REF!-";Hb!UC"</f>
        <v>#REF!</v>
      </c>
      <c r="BL17" t="e">
        <f>#REF!-";Hb!UD"</f>
        <v>#REF!</v>
      </c>
      <c r="BM17" t="e">
        <f>#REF!-";Hb!UE"</f>
        <v>#REF!</v>
      </c>
      <c r="BN17" t="e">
        <f>#REF!-";Hb!UF"</f>
        <v>#REF!</v>
      </c>
      <c r="BO17" t="e">
        <f>#REF!-";Hb!UG"</f>
        <v>#REF!</v>
      </c>
      <c r="BP17" t="e">
        <f>#REF!-";Hb!UH"</f>
        <v>#REF!</v>
      </c>
      <c r="BQ17" t="e">
        <f>#REF!-";Hb!UI"</f>
        <v>#REF!</v>
      </c>
      <c r="BR17" t="e">
        <f>#REF!-";Hb!UJ"</f>
        <v>#REF!</v>
      </c>
      <c r="BS17" t="e">
        <f>#REF!-";Hb!UK"</f>
        <v>#REF!</v>
      </c>
      <c r="BT17" t="e">
        <f>#REF!-";Hb!UL"</f>
        <v>#REF!</v>
      </c>
      <c r="BU17" t="e">
        <f>#REF!-";Hb!UM"</f>
        <v>#REF!</v>
      </c>
      <c r="BV17" t="e">
        <f>#REF!-";Hb!UN"</f>
        <v>#REF!</v>
      </c>
      <c r="BW17" t="e">
        <f>#REF!-";Hb!UO"</f>
        <v>#REF!</v>
      </c>
      <c r="BX17" t="e">
        <f>#REF!-";Hb!UP"</f>
        <v>#REF!</v>
      </c>
      <c r="BY17" t="e">
        <f>#REF!-";Hb!UQ"</f>
        <v>#REF!</v>
      </c>
      <c r="BZ17" t="e">
        <f>#REF!-";Hb!UR"</f>
        <v>#REF!</v>
      </c>
      <c r="CA17" t="e">
        <f>#REF!-";Hb!US"</f>
        <v>#REF!</v>
      </c>
      <c r="CB17" t="e">
        <f>#REF!-";Hb!UT"</f>
        <v>#REF!</v>
      </c>
      <c r="CC17" t="e">
        <f>#REF!-";Hb!UU"</f>
        <v>#REF!</v>
      </c>
      <c r="CD17" t="e">
        <f>#REF!-";Hb!UV"</f>
        <v>#REF!</v>
      </c>
      <c r="CE17" t="e">
        <f>#REF!-";Hb!UW"</f>
        <v>#REF!</v>
      </c>
      <c r="CF17" t="e">
        <f>#REF!-";Hb!UX"</f>
        <v>#REF!</v>
      </c>
      <c r="CG17" t="e">
        <f>#REF!-";Hb!UY"</f>
        <v>#REF!</v>
      </c>
      <c r="CH17" t="e">
        <f>#REF!-";Hb!UZ"</f>
        <v>#REF!</v>
      </c>
      <c r="CI17" t="e">
        <f>#REF!-";Hb!U["</f>
        <v>#REF!</v>
      </c>
      <c r="CJ17" t="e">
        <f>#REF!-";Hb!U\"</f>
        <v>#REF!</v>
      </c>
      <c r="CK17" t="e">
        <f>#REF!-";Hb!U]"</f>
        <v>#REF!</v>
      </c>
      <c r="CL17" t="e">
        <f>#REF!-";Hb!U^"</f>
        <v>#REF!</v>
      </c>
      <c r="CM17" t="e">
        <f>#REF!-";Hb!U_"</f>
        <v>#REF!</v>
      </c>
      <c r="CN17" t="e">
        <f>#REF!-";Hb!U`"</f>
        <v>#REF!</v>
      </c>
      <c r="CO17" t="e">
        <f>#REF!-";Hb!Ua"</f>
        <v>#REF!</v>
      </c>
      <c r="CP17" t="e">
        <f>#REF!-";Hb!Ub"</f>
        <v>#REF!</v>
      </c>
      <c r="CQ17" t="e">
        <f>#REF!-";Hb!Uc"</f>
        <v>#REF!</v>
      </c>
      <c r="CR17" t="e">
        <f>#REF!-";Hb!Ud"</f>
        <v>#REF!</v>
      </c>
      <c r="CS17" t="e">
        <f>#REF!-";Hb!Ue"</f>
        <v>#REF!</v>
      </c>
      <c r="CT17" t="e">
        <f>#REF!-";Hb!Uf"</f>
        <v>#REF!</v>
      </c>
      <c r="CU17" t="e">
        <f>#REF!-";Hb!Ug"</f>
        <v>#REF!</v>
      </c>
      <c r="CV17" t="e">
        <f>#REF!-";Hb!Uh"</f>
        <v>#REF!</v>
      </c>
      <c r="CW17" t="e">
        <f>#REF!-";Hb!Ui"</f>
        <v>#REF!</v>
      </c>
      <c r="CX17" t="e">
        <f>#REF!-";Hb!Uj"</f>
        <v>#REF!</v>
      </c>
      <c r="CY17" t="e">
        <f>#REF!-";Hb!Uk"</f>
        <v>#REF!</v>
      </c>
      <c r="CZ17" t="e">
        <f>#REF!-";Hb!Ul"</f>
        <v>#REF!</v>
      </c>
      <c r="DA17" t="e">
        <f>#REF!-";Hb!Um"</f>
        <v>#REF!</v>
      </c>
      <c r="DB17" t="e">
        <f>#REF!-";Hb!Un"</f>
        <v>#REF!</v>
      </c>
      <c r="DC17" t="e">
        <f>#REF!-";Hb!Uo"</f>
        <v>#REF!</v>
      </c>
      <c r="DD17" t="e">
        <f>#REF!-";Hb!Up"</f>
        <v>#REF!</v>
      </c>
      <c r="DE17" t="e">
        <f>#REF!-";Hb!Uq"</f>
        <v>#REF!</v>
      </c>
      <c r="DF17" t="e">
        <f>#REF!-";Hb!Ur"</f>
        <v>#REF!</v>
      </c>
      <c r="DG17" t="e">
        <f>#REF!-";Hb!Us"</f>
        <v>#REF!</v>
      </c>
      <c r="DH17" t="e">
        <f>#REF!-";Hb!Ut"</f>
        <v>#REF!</v>
      </c>
      <c r="DI17" t="e">
        <f>#REF!-";Hb!Uu"</f>
        <v>#REF!</v>
      </c>
      <c r="DJ17" t="e">
        <f>#REF!-";Hb!Uv"</f>
        <v>#REF!</v>
      </c>
      <c r="DK17" t="e">
        <f>#REF!-";Hb!Uw"</f>
        <v>#REF!</v>
      </c>
      <c r="DL17" t="e">
        <f>#REF!-";Hb!Ux"</f>
        <v>#REF!</v>
      </c>
      <c r="DM17" t="e">
        <f>#REF!-";Hb!Uy"</f>
        <v>#REF!</v>
      </c>
      <c r="DN17" t="e">
        <f>#REF!-";Hb!Uz"</f>
        <v>#REF!</v>
      </c>
      <c r="DO17" t="e">
        <f>#REF!-";Hb!U{"</f>
        <v>#REF!</v>
      </c>
      <c r="DP17" t="e">
        <f>#REF!-";Hb!U|"</f>
        <v>#REF!</v>
      </c>
      <c r="DQ17" t="e">
        <f>#REF!-";Hb!U}"</f>
        <v>#REF!</v>
      </c>
      <c r="DR17" t="e">
        <f>#REF!-";Hb!U~"</f>
        <v>#REF!</v>
      </c>
      <c r="DS17" t="e">
        <f>#REF!-";Hb!V#"</f>
        <v>#REF!</v>
      </c>
      <c r="DT17" t="e">
        <f>#REF!-";Hb!V$"</f>
        <v>#REF!</v>
      </c>
      <c r="DU17" t="e">
        <f>#REF!-";Hb!V%"</f>
        <v>#REF!</v>
      </c>
      <c r="DV17" t="e">
        <f>#REF!-";Hb!V&amp;"</f>
        <v>#REF!</v>
      </c>
      <c r="DW17" t="e">
        <f>#REF!-";Hb!V'"</f>
        <v>#REF!</v>
      </c>
      <c r="DX17" t="e">
        <f>#REF!-";Hb!V("</f>
        <v>#REF!</v>
      </c>
      <c r="DY17" t="e">
        <f>#REF!-";Hb!V)"</f>
        <v>#REF!</v>
      </c>
      <c r="DZ17" t="e">
        <f>#REF!-";Hb!V."</f>
        <v>#REF!</v>
      </c>
      <c r="EA17" t="e">
        <f>#REF!-";Hb!V/"</f>
        <v>#REF!</v>
      </c>
      <c r="EB17" t="e">
        <f>#REF!-";Hb!V0"</f>
        <v>#REF!</v>
      </c>
      <c r="EC17" t="e">
        <f>#REF!-";Hb!V1"</f>
        <v>#REF!</v>
      </c>
      <c r="ED17" t="e">
        <f>#REF!-";Hb!V2"</f>
        <v>#REF!</v>
      </c>
      <c r="EE17" t="e">
        <f>#REF!-";Hb!V3"</f>
        <v>#REF!</v>
      </c>
      <c r="EF17" t="e">
        <f>#REF!-";Hb!V4"</f>
        <v>#REF!</v>
      </c>
      <c r="EG17" t="e">
        <f>#REF!-";Hb!V5"</f>
        <v>#REF!</v>
      </c>
      <c r="EH17" t="e">
        <f>#REF!-";Hb!V6"</f>
        <v>#REF!</v>
      </c>
      <c r="EI17" t="e">
        <f>#REF!-";Hb!V7"</f>
        <v>#REF!</v>
      </c>
      <c r="EJ17" t="e">
        <f>#REF!-";Hb!V8"</f>
        <v>#REF!</v>
      </c>
      <c r="EK17" t="e">
        <f>#REF!-";Hb!V9"</f>
        <v>#REF!</v>
      </c>
      <c r="EL17" t="e">
        <f>#REF!-";Hb!V:"</f>
        <v>#REF!</v>
      </c>
      <c r="EM17" t="e">
        <f>#REF!-";Hb!V;"</f>
        <v>#REF!</v>
      </c>
      <c r="EN17" t="e">
        <f>#REF!-";Hb!V&lt;"</f>
        <v>#REF!</v>
      </c>
      <c r="EO17" t="e">
        <f>#REF!-";Hb!V="</f>
        <v>#REF!</v>
      </c>
      <c r="EP17" t="e">
        <f>#REF!-";Hb!V&gt;"</f>
        <v>#REF!</v>
      </c>
      <c r="EQ17" t="e">
        <f>#REF!-";Hb!V?"</f>
        <v>#REF!</v>
      </c>
      <c r="ER17" t="e">
        <f>#REF!-";Hb!V@"</f>
        <v>#REF!</v>
      </c>
      <c r="ES17" t="e">
        <f>#REF!-";Hb!VA"</f>
        <v>#REF!</v>
      </c>
      <c r="ET17" t="e">
        <f>#REF!-";Hb!VB"</f>
        <v>#REF!</v>
      </c>
      <c r="EU17" t="e">
        <f>#REF!-";Hb!VC"</f>
        <v>#REF!</v>
      </c>
      <c r="EV17" t="e">
        <f>#REF!-";Hb!VD"</f>
        <v>#REF!</v>
      </c>
      <c r="EW17" t="e">
        <f>#REF!-";Hb!VE"</f>
        <v>#REF!</v>
      </c>
      <c r="EX17" t="e">
        <f>#REF!-";Hb!VF"</f>
        <v>#REF!</v>
      </c>
      <c r="EY17" t="e">
        <f>#REF!-";Hb!VG"</f>
        <v>#REF!</v>
      </c>
      <c r="EZ17" t="e">
        <f>#REF!-";Hb!VH"</f>
        <v>#REF!</v>
      </c>
      <c r="FA17" t="e">
        <f>#REF!-";Hb!VI"</f>
        <v>#REF!</v>
      </c>
      <c r="FB17" t="e">
        <f>#REF!-";Hb!VJ"</f>
        <v>#REF!</v>
      </c>
      <c r="FC17" t="e">
        <f>#REF!-";Hb!VK"</f>
        <v>#REF!</v>
      </c>
      <c r="FD17" t="e">
        <f>#REF!-";Hb!VL"</f>
        <v>#REF!</v>
      </c>
      <c r="FE17" t="e">
        <f>#REF!-";Hb!VM"</f>
        <v>#REF!</v>
      </c>
      <c r="FF17" t="e">
        <f>#REF!-";Hb!VN"</f>
        <v>#REF!</v>
      </c>
      <c r="FG17" t="e">
        <f>#REF!-";Hb!VO"</f>
        <v>#REF!</v>
      </c>
      <c r="FH17" t="e">
        <f>#REF!-";Hb!VP"</f>
        <v>#REF!</v>
      </c>
      <c r="FI17" t="e">
        <f>#REF!-";Hb!VQ"</f>
        <v>#REF!</v>
      </c>
      <c r="FJ17" t="e">
        <f>#REF!-";Hb!VR"</f>
        <v>#REF!</v>
      </c>
      <c r="FK17" t="e">
        <f>#REF!-";Hb!VS"</f>
        <v>#REF!</v>
      </c>
      <c r="FL17" t="e">
        <f>#REF!-";Hb!VT"</f>
        <v>#REF!</v>
      </c>
      <c r="FM17" t="e">
        <f>#REF!-";Hb!VU"</f>
        <v>#REF!</v>
      </c>
      <c r="FN17" t="e">
        <f>#REF!-";Hb!VV"</f>
        <v>#REF!</v>
      </c>
      <c r="FO17" t="e">
        <f>#REF!-";Hb!VW"</f>
        <v>#REF!</v>
      </c>
      <c r="FP17" t="e">
        <f>#REF!-";Hb!VX"</f>
        <v>#REF!</v>
      </c>
      <c r="FQ17" t="e">
        <f>#REF!-";Hb!VY"</f>
        <v>#REF!</v>
      </c>
      <c r="FR17" t="e">
        <f>#REF!-";Hb!VZ"</f>
        <v>#REF!</v>
      </c>
      <c r="FS17" t="e">
        <f>#REF!-";Hb!V["</f>
        <v>#REF!</v>
      </c>
      <c r="FT17" t="e">
        <f>#REF!-";Hb!V\"</f>
        <v>#REF!</v>
      </c>
      <c r="FU17" t="e">
        <f>#REF!-";Hb!V]"</f>
        <v>#REF!</v>
      </c>
      <c r="FV17" t="e">
        <f>#REF!-";Hb!V^"</f>
        <v>#REF!</v>
      </c>
      <c r="FW17" t="e">
        <f>#REF!-";Hb!V_"</f>
        <v>#REF!</v>
      </c>
      <c r="FX17" t="e">
        <f>#REF!-";Hb!V`"</f>
        <v>#REF!</v>
      </c>
      <c r="FY17" t="e">
        <f>#REF!-";Hb!Va"</f>
        <v>#REF!</v>
      </c>
      <c r="FZ17" t="e">
        <f>#REF!-";Hb!Vb"</f>
        <v>#REF!</v>
      </c>
      <c r="GA17" t="e">
        <f>#REF!-";Hb!Vc"</f>
        <v>#REF!</v>
      </c>
      <c r="GB17" t="e">
        <f>#REF!-";Hb!Vd"</f>
        <v>#REF!</v>
      </c>
      <c r="GC17" t="e">
        <f>#REF!-";Hb!Ve"</f>
        <v>#REF!</v>
      </c>
      <c r="GD17" t="e">
        <f>#REF!-";Hb!Vf"</f>
        <v>#REF!</v>
      </c>
      <c r="GE17" t="e">
        <f>#REF!-";Hb!Vg"</f>
        <v>#REF!</v>
      </c>
      <c r="GF17" t="e">
        <f>#REF!-";Hb!Vh"</f>
        <v>#REF!</v>
      </c>
      <c r="GG17" t="e">
        <f>#REF!-";Hb!Vi"</f>
        <v>#REF!</v>
      </c>
      <c r="GH17" t="e">
        <f>#REF!-";Hb!Vj"</f>
        <v>#REF!</v>
      </c>
      <c r="GI17" t="e">
        <f>#REF!-";Hb!Vk"</f>
        <v>#REF!</v>
      </c>
      <c r="GJ17" t="e">
        <f>#REF!-";Hb!Vl"</f>
        <v>#REF!</v>
      </c>
      <c r="GK17" t="e">
        <f>#REF!-";Hb!Vm"</f>
        <v>#REF!</v>
      </c>
      <c r="GL17" t="e">
        <f>#REF!-";Hb!Vn"</f>
        <v>#REF!</v>
      </c>
      <c r="GM17" t="e">
        <f>#REF!-";Hb!Vo"</f>
        <v>#REF!</v>
      </c>
      <c r="GN17" t="e">
        <f>#REF!-";Hb!Vp"</f>
        <v>#REF!</v>
      </c>
      <c r="GO17" t="e">
        <f>#REF!-";Hb!Vq"</f>
        <v>#REF!</v>
      </c>
      <c r="GP17" t="e">
        <f>#REF!-";Hb!Vr"</f>
        <v>#REF!</v>
      </c>
      <c r="GQ17" t="e">
        <f>#REF!-";Hb!Vs"</f>
        <v>#REF!</v>
      </c>
      <c r="GR17" t="e">
        <f>#REF!-";Hb!Vt"</f>
        <v>#REF!</v>
      </c>
      <c r="GS17" t="e">
        <f>#REF!-";Hb!Vu"</f>
        <v>#REF!</v>
      </c>
      <c r="GT17" t="e">
        <f>#REF!-";Hb!Vv"</f>
        <v>#REF!</v>
      </c>
      <c r="GU17" t="e">
        <f>#REF!-";Hb!Vw"</f>
        <v>#REF!</v>
      </c>
      <c r="GV17" t="e">
        <f>#REF!-";Hb!Vx"</f>
        <v>#REF!</v>
      </c>
      <c r="GW17" t="e">
        <f>#REF!-";Hb!Vy"</f>
        <v>#REF!</v>
      </c>
      <c r="GX17" t="e">
        <f>#REF!-";Hb!Vz"</f>
        <v>#REF!</v>
      </c>
      <c r="GY17" t="e">
        <f>#REF!-";Hb!V{"</f>
        <v>#REF!</v>
      </c>
      <c r="GZ17" t="e">
        <f>#REF!-";Hb!V|"</f>
        <v>#REF!</v>
      </c>
      <c r="HA17" t="e">
        <f>#REF!-";Hb!V}"</f>
        <v>#REF!</v>
      </c>
      <c r="HB17" t="e">
        <f>#REF!-";Hb!V~"</f>
        <v>#REF!</v>
      </c>
      <c r="HC17" t="e">
        <f>#REF!-";Hb!W#"</f>
        <v>#REF!</v>
      </c>
      <c r="HD17" t="e">
        <f>#REF!-";Hb!W$"</f>
        <v>#REF!</v>
      </c>
      <c r="HE17" t="e">
        <f>#REF!-";Hb!W%"</f>
        <v>#REF!</v>
      </c>
      <c r="HF17" t="e">
        <f>#REF!-";Hb!W&amp;"</f>
        <v>#REF!</v>
      </c>
      <c r="HG17" t="e">
        <f>#REF!-";Hb!W'"</f>
        <v>#REF!</v>
      </c>
      <c r="HH17" t="e">
        <f>#REF!-";Hb!W("</f>
        <v>#REF!</v>
      </c>
      <c r="HI17" t="e">
        <f>#REF!-";Hb!W)"</f>
        <v>#REF!</v>
      </c>
      <c r="HJ17" t="e">
        <f>#REF!-";Hb!W."</f>
        <v>#REF!</v>
      </c>
      <c r="HK17" t="e">
        <f>#REF!-";Hb!W/"</f>
        <v>#REF!</v>
      </c>
      <c r="HL17" t="e">
        <f>#REF!-";Hb!W0"</f>
        <v>#REF!</v>
      </c>
      <c r="HM17" t="e">
        <f>#REF!-";Hb!W1"</f>
        <v>#REF!</v>
      </c>
      <c r="HN17" t="e">
        <f>#REF!-";Hb!W2"</f>
        <v>#REF!</v>
      </c>
      <c r="HO17" t="e">
        <f>#REF!-";Hb!W3"</f>
        <v>#REF!</v>
      </c>
      <c r="HP17" t="e">
        <f>#REF!-";Hb!W4"</f>
        <v>#REF!</v>
      </c>
      <c r="HQ17" t="e">
        <f>#REF!-";Hb!W5"</f>
        <v>#REF!</v>
      </c>
      <c r="HR17" t="e">
        <f>#REF!-";Hb!W6"</f>
        <v>#REF!</v>
      </c>
      <c r="HS17" t="e">
        <f>#REF!-";Hb!W7"</f>
        <v>#REF!</v>
      </c>
      <c r="HT17" t="e">
        <f>#REF!-";Hb!W8"</f>
        <v>#REF!</v>
      </c>
      <c r="HU17" t="e">
        <f>#REF!-";Hb!W9"</f>
        <v>#REF!</v>
      </c>
      <c r="HV17" t="e">
        <f>#REF!-";Hb!W:"</f>
        <v>#REF!</v>
      </c>
      <c r="HW17" t="e">
        <f>#REF!-";Hb!W;"</f>
        <v>#REF!</v>
      </c>
      <c r="HX17" t="e">
        <f>#REF!-";Hb!W&lt;"</f>
        <v>#REF!</v>
      </c>
      <c r="HY17" t="e">
        <f>#REF!-";Hb!W="</f>
        <v>#REF!</v>
      </c>
      <c r="HZ17" t="e">
        <f>#REF!-";Hb!W&gt;"</f>
        <v>#REF!</v>
      </c>
      <c r="IA17" t="e">
        <f>#REF!-";Hb!W?"</f>
        <v>#REF!</v>
      </c>
      <c r="IB17" t="e">
        <f>#REF!-";Hb!W@"</f>
        <v>#REF!</v>
      </c>
      <c r="IC17" t="e">
        <f>#REF!-";Hb!WA"</f>
        <v>#REF!</v>
      </c>
      <c r="ID17" t="e">
        <f>#REF!-";Hb!WB"</f>
        <v>#REF!</v>
      </c>
      <c r="IE17" t="e">
        <f>#REF!-";Hb!WC"</f>
        <v>#REF!</v>
      </c>
      <c r="IF17" t="e">
        <f>#REF!-";Hb!WD"</f>
        <v>#REF!</v>
      </c>
      <c r="IG17" t="e">
        <f>#REF!-";Hb!WE"</f>
        <v>#REF!</v>
      </c>
      <c r="IH17" t="e">
        <f>#REF!-";Hb!WF"</f>
        <v>#REF!</v>
      </c>
      <c r="II17" t="e">
        <f>#REF!-";Hb!WG"</f>
        <v>#REF!</v>
      </c>
      <c r="IJ17" t="e">
        <f>#REF!-";Hb!WH"</f>
        <v>#REF!</v>
      </c>
      <c r="IK17" t="e">
        <f>#REF!-";Hb!WI"</f>
        <v>#REF!</v>
      </c>
      <c r="IL17" t="e">
        <f>#REF!-";Hb!WJ"</f>
        <v>#REF!</v>
      </c>
      <c r="IM17" t="e">
        <f>#REF!-";Hb!WK"</f>
        <v>#REF!</v>
      </c>
      <c r="IN17" t="e">
        <f>#REF!-";Hb!WL"</f>
        <v>#REF!</v>
      </c>
      <c r="IO17" t="e">
        <f>#REF!-";Hb!WM"</f>
        <v>#REF!</v>
      </c>
      <c r="IP17" t="e">
        <f>#REF!-";Hb!WN"</f>
        <v>#REF!</v>
      </c>
      <c r="IQ17" t="e">
        <f>#REF!-";Hb!WO"</f>
        <v>#REF!</v>
      </c>
      <c r="IR17" t="e">
        <f>#REF!-";Hb!WP"</f>
        <v>#REF!</v>
      </c>
      <c r="IS17" t="e">
        <f>#REF!-";Hb!WQ"</f>
        <v>#REF!</v>
      </c>
      <c r="IT17" t="e">
        <f>#REF!-";Hb!WR"</f>
        <v>#REF!</v>
      </c>
      <c r="IU17" t="e">
        <f>#REF!-";Hb!WS"</f>
        <v>#REF!</v>
      </c>
      <c r="IV17" t="e">
        <f>#REF!-";Hb!WT"</f>
        <v>#REF!</v>
      </c>
    </row>
    <row r="18" spans="6:256" x14ac:dyDescent="0.25">
      <c r="F18" t="e">
        <f>#REF!-";Hb!WU"</f>
        <v>#REF!</v>
      </c>
      <c r="G18" t="e">
        <f>#REF!-";Hb!WV"</f>
        <v>#REF!</v>
      </c>
      <c r="H18" t="e">
        <f>#REF!-";Hb!WW"</f>
        <v>#REF!</v>
      </c>
      <c r="I18" t="e">
        <f>#REF!-";Hb!WX"</f>
        <v>#REF!</v>
      </c>
      <c r="J18" t="e">
        <f>#REF!-";Hb!WY"</f>
        <v>#REF!</v>
      </c>
      <c r="K18" t="e">
        <f>#REF!-";Hb!WZ"</f>
        <v>#REF!</v>
      </c>
      <c r="L18" t="e">
        <f>#REF!-";Hb!W["</f>
        <v>#REF!</v>
      </c>
      <c r="M18" t="e">
        <f>#REF!-";Hb!W\"</f>
        <v>#REF!</v>
      </c>
      <c r="N18" t="e">
        <f>#REF!-";Hb!W]"</f>
        <v>#REF!</v>
      </c>
      <c r="O18" t="e">
        <f>#REF!-";Hb!W^"</f>
        <v>#REF!</v>
      </c>
      <c r="P18" t="e">
        <f>#REF!-";Hb!W_"</f>
        <v>#REF!</v>
      </c>
      <c r="Q18" t="e">
        <f>#REF!-";Hb!W`"</f>
        <v>#REF!</v>
      </c>
      <c r="R18" t="e">
        <f>#REF!-";Hb!Wa"</f>
        <v>#REF!</v>
      </c>
      <c r="S18" t="e">
        <f>#REF!-";Hb!Wb"</f>
        <v>#REF!</v>
      </c>
      <c r="T18" t="e">
        <f>#REF!-";Hb!Wc"</f>
        <v>#REF!</v>
      </c>
      <c r="U18" t="e">
        <f>#REF!-";Hb!Wd"</f>
        <v>#REF!</v>
      </c>
      <c r="V18" t="e">
        <f>#REF!-";Hb!We"</f>
        <v>#REF!</v>
      </c>
      <c r="W18" t="e">
        <f>#REF!-";Hb!Wf"</f>
        <v>#REF!</v>
      </c>
      <c r="X18" t="e">
        <f>#REF!-";Hb!Wg"</f>
        <v>#REF!</v>
      </c>
      <c r="Y18" t="e">
        <f>#REF!-";Hb!Wh"</f>
        <v>#REF!</v>
      </c>
      <c r="Z18" t="e">
        <f>#REF!-";Hb!Wi"</f>
        <v>#REF!</v>
      </c>
      <c r="AA18" t="e">
        <f>#REF!-";Hb!Wj"</f>
        <v>#REF!</v>
      </c>
      <c r="AB18" t="e">
        <f>#REF!-";Hb!Wk"</f>
        <v>#REF!</v>
      </c>
      <c r="AC18" t="e">
        <f>#REF!-";Hb!Wl"</f>
        <v>#REF!</v>
      </c>
      <c r="AD18" t="e">
        <f>#REF!-";Hb!Wm"</f>
        <v>#REF!</v>
      </c>
      <c r="AE18" t="e">
        <f>#REF!-";Hb!Wn"</f>
        <v>#REF!</v>
      </c>
      <c r="AF18" t="e">
        <f>#REF!-";Hb!Wo"</f>
        <v>#REF!</v>
      </c>
      <c r="AG18" t="e">
        <f>#REF!-";Hb!Wp"</f>
        <v>#REF!</v>
      </c>
      <c r="AH18" t="e">
        <f>#REF!-";Hb!Wq"</f>
        <v>#REF!</v>
      </c>
      <c r="AI18" t="e">
        <f>#REF!-";Hb!Wr"</f>
        <v>#REF!</v>
      </c>
      <c r="AJ18" t="e">
        <f>#REF!-";Hb!Ws"</f>
        <v>#REF!</v>
      </c>
      <c r="AK18" t="e">
        <f>#REF!-";Hb!Wt"</f>
        <v>#REF!</v>
      </c>
      <c r="AL18" t="e">
        <f>#REF!-";Hb!Wu"</f>
        <v>#REF!</v>
      </c>
      <c r="AM18" t="e">
        <f>#REF!-";Hb!Wv"</f>
        <v>#REF!</v>
      </c>
      <c r="AN18" t="e">
        <f>#REF!-";Hb!Ww"</f>
        <v>#REF!</v>
      </c>
      <c r="AO18" t="e">
        <f>#REF!-";Hb!Wx"</f>
        <v>#REF!</v>
      </c>
      <c r="AP18" t="e">
        <f>#REF!-";Hb!Wy"</f>
        <v>#REF!</v>
      </c>
      <c r="AQ18" t="e">
        <f>#REF!-";Hb!Wz"</f>
        <v>#REF!</v>
      </c>
      <c r="AR18" t="e">
        <f>#REF!-";Hb!W{"</f>
        <v>#REF!</v>
      </c>
      <c r="AS18" t="e">
        <f>#REF!-";Hb!W|"</f>
        <v>#REF!</v>
      </c>
      <c r="AT18" t="e">
        <f>#REF!-";Hb!W}"</f>
        <v>#REF!</v>
      </c>
      <c r="AU18" t="e">
        <f>#REF!-";Hb!W~"</f>
        <v>#REF!</v>
      </c>
      <c r="AV18" t="e">
        <f>#REF!-";Hb!X#"</f>
        <v>#REF!</v>
      </c>
      <c r="AW18" t="e">
        <f>#REF!-";Hb!X$"</f>
        <v>#REF!</v>
      </c>
      <c r="AX18" t="e">
        <f>#REF!-";Hb!X%"</f>
        <v>#REF!</v>
      </c>
      <c r="AY18" t="e">
        <f>#REF!-";Hb!X&amp;"</f>
        <v>#REF!</v>
      </c>
      <c r="AZ18" t="e">
        <f>#REF!-";Hb!X'"</f>
        <v>#REF!</v>
      </c>
      <c r="BA18" t="e">
        <f>#REF!-";Hb!X("</f>
        <v>#REF!</v>
      </c>
      <c r="BB18" t="e">
        <f>#REF!-";Hb!X)"</f>
        <v>#REF!</v>
      </c>
      <c r="BC18" t="e">
        <f>#REF!-";Hb!X."</f>
        <v>#REF!</v>
      </c>
      <c r="BD18" t="e">
        <f>#REF!-";Hb!X/"</f>
        <v>#REF!</v>
      </c>
      <c r="BE18" t="e">
        <f>#REF!-";Hb!X0"</f>
        <v>#REF!</v>
      </c>
      <c r="BF18" t="e">
        <f>#REF!-";Hb!X1"</f>
        <v>#REF!</v>
      </c>
      <c r="BG18" t="e">
        <f>#REF!-";Hb!X2"</f>
        <v>#REF!</v>
      </c>
      <c r="BH18" t="e">
        <f>#REF!-";Hb!X3"</f>
        <v>#REF!</v>
      </c>
      <c r="BI18" t="e">
        <f>#REF!-";Hb!X4"</f>
        <v>#REF!</v>
      </c>
      <c r="BJ18" t="e">
        <f>#REF!-";Hb!X5"</f>
        <v>#REF!</v>
      </c>
      <c r="BK18" t="e">
        <f>#REF!-";Hb!X6"</f>
        <v>#REF!</v>
      </c>
      <c r="BL18" t="e">
        <f>#REF!-";Hb!X7"</f>
        <v>#REF!</v>
      </c>
      <c r="BM18" t="e">
        <f>#REF!-";Hb!X8"</f>
        <v>#REF!</v>
      </c>
      <c r="BN18" t="e">
        <f>#REF!-";Hb!X9"</f>
        <v>#REF!</v>
      </c>
      <c r="BO18" t="e">
        <f>#REF!-";Hb!X:"</f>
        <v>#REF!</v>
      </c>
      <c r="BP18" t="e">
        <f>#REF!-";Hb!X;"</f>
        <v>#REF!</v>
      </c>
      <c r="BQ18" t="e">
        <f>#REF!-";Hb!X&lt;"</f>
        <v>#REF!</v>
      </c>
      <c r="BR18" t="e">
        <f>#REF!-";Hb!X="</f>
        <v>#REF!</v>
      </c>
      <c r="BS18" t="e">
        <f>#REF!-";Hb!X&gt;"</f>
        <v>#REF!</v>
      </c>
      <c r="BT18" t="e">
        <f>#REF!-";Hb!X?"</f>
        <v>#REF!</v>
      </c>
      <c r="BU18" t="e">
        <f>#REF!-";Hb!X@"</f>
        <v>#REF!</v>
      </c>
      <c r="BV18" t="e">
        <f>#REF!-";Hb!XA"</f>
        <v>#REF!</v>
      </c>
      <c r="BW18" t="e">
        <f>#REF!-";Hb!XB"</f>
        <v>#REF!</v>
      </c>
      <c r="BX18" t="e">
        <f>#REF!-";Hb!XC"</f>
        <v>#REF!</v>
      </c>
      <c r="BY18" t="e">
        <f>#REF!-";Hb!XD"</f>
        <v>#REF!</v>
      </c>
      <c r="BZ18" t="e">
        <f>#REF!-";Hb!XE"</f>
        <v>#REF!</v>
      </c>
      <c r="CA18" t="e">
        <f>#REF!-";Hb!XF"</f>
        <v>#REF!</v>
      </c>
      <c r="CB18" t="e">
        <f>#REF!-";Hb!XG"</f>
        <v>#REF!</v>
      </c>
      <c r="CC18" t="e">
        <f>#REF!-";Hb!XH"</f>
        <v>#REF!</v>
      </c>
      <c r="CD18" t="e">
        <f>#REF!-";Hb!XI"</f>
        <v>#REF!</v>
      </c>
      <c r="CE18" t="e">
        <f>#REF!-";Hb!XJ"</f>
        <v>#REF!</v>
      </c>
      <c r="CF18" t="e">
        <f>#REF!-";Hb!XK"</f>
        <v>#REF!</v>
      </c>
      <c r="CG18" t="e">
        <f>#REF!-";Hb!XL"</f>
        <v>#REF!</v>
      </c>
      <c r="CH18" t="e">
        <f>#REF!-";Hb!XM"</f>
        <v>#REF!</v>
      </c>
      <c r="CI18" t="e">
        <f>#REF!-";Hb!XN"</f>
        <v>#REF!</v>
      </c>
      <c r="CJ18" t="e">
        <f>#REF!-";Hb!XO"</f>
        <v>#REF!</v>
      </c>
      <c r="CK18" t="e">
        <f>#REF!-";Hb!XP"</f>
        <v>#REF!</v>
      </c>
      <c r="CL18" t="e">
        <f>#REF!-";Hb!XQ"</f>
        <v>#REF!</v>
      </c>
      <c r="CM18" t="e">
        <f>#REF!-";Hb!XR"</f>
        <v>#REF!</v>
      </c>
      <c r="CN18" t="e">
        <f>#REF!-";Hb!XS"</f>
        <v>#REF!</v>
      </c>
      <c r="CO18" t="e">
        <f>#REF!-";Hb!XT"</f>
        <v>#REF!</v>
      </c>
      <c r="CP18" t="e">
        <f>#REF!-";Hb!XU"</f>
        <v>#REF!</v>
      </c>
      <c r="CQ18" t="e">
        <f>#REF!-";Hb!XV"</f>
        <v>#REF!</v>
      </c>
      <c r="CR18" t="e">
        <f>#REF!-";Hb!XW"</f>
        <v>#REF!</v>
      </c>
      <c r="CS18" t="e">
        <f>#REF!-";Hb!XX"</f>
        <v>#REF!</v>
      </c>
      <c r="CT18" t="e">
        <f>#REF!-";Hb!XY"</f>
        <v>#REF!</v>
      </c>
      <c r="CU18" t="e">
        <f>#REF!-";Hb!XZ"</f>
        <v>#REF!</v>
      </c>
      <c r="CV18" t="e">
        <f>#REF!-";Hb!X["</f>
        <v>#REF!</v>
      </c>
      <c r="CW18" t="e">
        <f>#REF!-";Hb!X\"</f>
        <v>#REF!</v>
      </c>
      <c r="CX18" t="e">
        <f>#REF!-";Hb!X]"</f>
        <v>#REF!</v>
      </c>
      <c r="CY18" t="e">
        <f>#REF!-";Hb!X^"</f>
        <v>#REF!</v>
      </c>
      <c r="CZ18" t="e">
        <f>#REF!-";Hb!X_"</f>
        <v>#REF!</v>
      </c>
      <c r="DA18" t="e">
        <f>#REF!-";Hb!X`"</f>
        <v>#REF!</v>
      </c>
      <c r="DB18" t="e">
        <f>#REF!-";Hb!Xa"</f>
        <v>#REF!</v>
      </c>
      <c r="DC18" t="e">
        <f>#REF!-";Hb!Xb"</f>
        <v>#REF!</v>
      </c>
      <c r="DD18" t="e">
        <f>#REF!-";Hb!Xc"</f>
        <v>#REF!</v>
      </c>
      <c r="DE18" t="e">
        <f>#REF!-";Hb!Xd"</f>
        <v>#REF!</v>
      </c>
      <c r="DF18" t="e">
        <f>#REF!-";Hb!Xe"</f>
        <v>#REF!</v>
      </c>
      <c r="DG18" t="e">
        <f>#REF!-";Hb!Xf"</f>
        <v>#REF!</v>
      </c>
      <c r="DH18" t="e">
        <f>#REF!-";Hb!Xg"</f>
        <v>#REF!</v>
      </c>
      <c r="DI18" t="e">
        <f>#REF!-";Hb!Xh"</f>
        <v>#REF!</v>
      </c>
      <c r="DJ18" t="e">
        <f>#REF!-";Hb!Xi"</f>
        <v>#REF!</v>
      </c>
      <c r="DK18" t="e">
        <f>#REF!-";Hb!Xj"</f>
        <v>#REF!</v>
      </c>
      <c r="DL18" t="e">
        <f>#REF!-";Hb!Xk"</f>
        <v>#REF!</v>
      </c>
      <c r="DM18" t="e">
        <f>#REF!-";Hb!Xl"</f>
        <v>#REF!</v>
      </c>
      <c r="DN18" t="e">
        <f>#REF!-";Hb!Xm"</f>
        <v>#REF!</v>
      </c>
      <c r="DO18" t="e">
        <f>#REF!-";Hb!Xn"</f>
        <v>#REF!</v>
      </c>
      <c r="DP18" t="e">
        <f>#REF!-";Hb!Xo"</f>
        <v>#REF!</v>
      </c>
      <c r="DQ18" t="e">
        <f>#REF!-";Hb!Xp"</f>
        <v>#REF!</v>
      </c>
      <c r="DR18" t="e">
        <f>#REF!-";Hb!Xq"</f>
        <v>#REF!</v>
      </c>
      <c r="DS18" t="e">
        <f>#REF!-";Hb!Xr"</f>
        <v>#REF!</v>
      </c>
      <c r="DT18" t="e">
        <f>#REF!-";Hb!Xs"</f>
        <v>#REF!</v>
      </c>
      <c r="DU18" t="e">
        <f>#REF!-";Hb!Xt"</f>
        <v>#REF!</v>
      </c>
      <c r="DV18" t="e">
        <f>#REF!-";Hb!Xu"</f>
        <v>#REF!</v>
      </c>
      <c r="DW18" t="e">
        <f>#REF!-";Hb!Xv"</f>
        <v>#REF!</v>
      </c>
      <c r="DX18" t="e">
        <f>#REF!-";Hb!Xw"</f>
        <v>#REF!</v>
      </c>
      <c r="DY18" t="e">
        <f>#REF!-";Hb!Xx"</f>
        <v>#REF!</v>
      </c>
      <c r="DZ18" t="e">
        <f>#REF!-";Hb!Xy"</f>
        <v>#REF!</v>
      </c>
      <c r="EA18" t="e">
        <f>#REF!-";Hb!Xz"</f>
        <v>#REF!</v>
      </c>
      <c r="EB18" t="e">
        <f>#REF!-";Hb!X{"</f>
        <v>#REF!</v>
      </c>
      <c r="EC18" t="e">
        <f>#REF!-";Hb!X|"</f>
        <v>#REF!</v>
      </c>
      <c r="ED18" t="e">
        <f>#REF!-";Hb!X}"</f>
        <v>#REF!</v>
      </c>
      <c r="EE18" t="e">
        <f>#REF!-";Hb!X~"</f>
        <v>#REF!</v>
      </c>
      <c r="EF18" t="e">
        <f>#REF!-";Hb!Y#"</f>
        <v>#REF!</v>
      </c>
      <c r="EG18" t="e">
        <f>#REF!-";Hb!Y$"</f>
        <v>#REF!</v>
      </c>
      <c r="EH18" t="e">
        <f>#REF!-";Hb!Y%"</f>
        <v>#REF!</v>
      </c>
      <c r="EI18" t="e">
        <f>#REF!-";Hb!Y&amp;"</f>
        <v>#REF!</v>
      </c>
      <c r="EJ18" t="e">
        <f>#REF!-";Hb!Y'"</f>
        <v>#REF!</v>
      </c>
      <c r="EK18" t="e">
        <f>#REF!-";Hb!Y("</f>
        <v>#REF!</v>
      </c>
      <c r="EL18" t="e">
        <f>#REF!-";Hb!Y)"</f>
        <v>#REF!</v>
      </c>
      <c r="EM18" t="e">
        <f>#REF!-";Hb!Y."</f>
        <v>#REF!</v>
      </c>
      <c r="EN18" t="e">
        <f>#REF!-";Hb!Y/"</f>
        <v>#REF!</v>
      </c>
      <c r="EO18" t="e">
        <f>#REF!-";Hb!Y0"</f>
        <v>#REF!</v>
      </c>
      <c r="EP18" t="e">
        <f>#REF!-";Hb!Y1"</f>
        <v>#REF!</v>
      </c>
      <c r="EQ18" t="e">
        <f>#REF!-";Hb!Y2"</f>
        <v>#REF!</v>
      </c>
      <c r="ER18" t="e">
        <f>#REF!-";Hb!Y3"</f>
        <v>#REF!</v>
      </c>
      <c r="ES18" t="e">
        <f>#REF!-";Hb!Y4"</f>
        <v>#REF!</v>
      </c>
      <c r="ET18" t="e">
        <f>#REF!-";Hb!Y5"</f>
        <v>#REF!</v>
      </c>
      <c r="EU18" t="e">
        <f>#REF!-";Hb!Y6"</f>
        <v>#REF!</v>
      </c>
      <c r="EV18" t="e">
        <f>#REF!-";Hb!Y7"</f>
        <v>#REF!</v>
      </c>
      <c r="EW18" t="e">
        <f>#REF!-";Hb!Y8"</f>
        <v>#REF!</v>
      </c>
      <c r="EX18" t="e">
        <f>#REF!-";Hb!Y9"</f>
        <v>#REF!</v>
      </c>
      <c r="EY18" t="e">
        <f>#REF!-";Hb!Y:"</f>
        <v>#REF!</v>
      </c>
      <c r="EZ18" t="e">
        <f>#REF!-";Hb!Y;"</f>
        <v>#REF!</v>
      </c>
      <c r="FA18" t="e">
        <f>#REF!-";Hb!Y&lt;"</f>
        <v>#REF!</v>
      </c>
      <c r="FB18" t="e">
        <f>#REF!-";Hb!Y="</f>
        <v>#REF!</v>
      </c>
      <c r="FC18" t="e">
        <f>#REF!-";Hb!Y&gt;"</f>
        <v>#REF!</v>
      </c>
      <c r="FD18" t="e">
        <f>#REF!-";Hb!Y?"</f>
        <v>#REF!</v>
      </c>
      <c r="FE18" t="e">
        <f>#REF!-";Hb!Y@"</f>
        <v>#REF!</v>
      </c>
      <c r="FF18" t="e">
        <f>#REF!-";Hb!YA"</f>
        <v>#REF!</v>
      </c>
      <c r="FG18" t="e">
        <f>#REF!-";Hb!YB"</f>
        <v>#REF!</v>
      </c>
      <c r="FH18" t="e">
        <f>#REF!-";Hb!YC"</f>
        <v>#REF!</v>
      </c>
      <c r="FI18" t="e">
        <f>#REF!-";Hb!YD"</f>
        <v>#REF!</v>
      </c>
      <c r="FJ18" t="e">
        <f>#REF!-";Hb!YE"</f>
        <v>#REF!</v>
      </c>
      <c r="FK18" t="e">
        <f>#REF!-";Hb!YF"</f>
        <v>#REF!</v>
      </c>
      <c r="FL18" t="e">
        <f>#REF!-";Hb!YG"</f>
        <v>#REF!</v>
      </c>
      <c r="FM18" t="e">
        <f>#REF!-";Hb!YH"</f>
        <v>#REF!</v>
      </c>
      <c r="FN18" t="e">
        <f>#REF!-";Hb!YI"</f>
        <v>#REF!</v>
      </c>
      <c r="FO18" t="e">
        <f>#REF!-";Hb!YJ"</f>
        <v>#REF!</v>
      </c>
      <c r="FP18" t="e">
        <f>#REF!-";Hb!YK"</f>
        <v>#REF!</v>
      </c>
      <c r="FQ18" t="e">
        <f>#REF!-";Hb!YL"</f>
        <v>#REF!</v>
      </c>
      <c r="FR18" t="e">
        <f>#REF!-";Hb!YM"</f>
        <v>#REF!</v>
      </c>
      <c r="FS18" t="e">
        <f>#REF!-";Hb!YN"</f>
        <v>#REF!</v>
      </c>
      <c r="FT18" t="e">
        <f>#REF!-";Hb!YO"</f>
        <v>#REF!</v>
      </c>
      <c r="FU18" t="e">
        <f>#REF!-";Hb!YP"</f>
        <v>#REF!</v>
      </c>
      <c r="FV18" t="e">
        <f>#REF!-";Hb!YQ"</f>
        <v>#REF!</v>
      </c>
      <c r="FW18" t="e">
        <f>#REF!-";Hb!YR"</f>
        <v>#REF!</v>
      </c>
      <c r="FX18" t="e">
        <f>#REF!-";Hb!YS"</f>
        <v>#REF!</v>
      </c>
      <c r="FY18" t="e">
        <f>#REF!-";Hb!YT"</f>
        <v>#REF!</v>
      </c>
      <c r="FZ18" t="e">
        <f>#REF!-";Hb!YU"</f>
        <v>#REF!</v>
      </c>
      <c r="GA18" t="e">
        <f>#REF!-";Hb!YV"</f>
        <v>#REF!</v>
      </c>
      <c r="GB18" t="e">
        <f>#REF!-";Hb!YW"</f>
        <v>#REF!</v>
      </c>
      <c r="GC18" t="e">
        <f>#REF!-";Hb!YX"</f>
        <v>#REF!</v>
      </c>
      <c r="GD18" t="e">
        <f>#REF!-";Hb!YY"</f>
        <v>#REF!</v>
      </c>
      <c r="GE18" t="e">
        <f>#REF!-";Hb!YZ"</f>
        <v>#REF!</v>
      </c>
      <c r="GF18" t="e">
        <f>#REF!-";Hb!Y["</f>
        <v>#REF!</v>
      </c>
      <c r="GG18" t="e">
        <f>#REF!-";Hb!Y\"</f>
        <v>#REF!</v>
      </c>
      <c r="GH18" t="e">
        <f>#REF!-";Hb!Y]"</f>
        <v>#REF!</v>
      </c>
      <c r="GI18" t="e">
        <f>#REF!-";Hb!Y^"</f>
        <v>#REF!</v>
      </c>
      <c r="GJ18" t="e">
        <f>#REF!-";Hb!Y_"</f>
        <v>#REF!</v>
      </c>
      <c r="GK18" t="e">
        <f>#REF!-";Hb!Y`"</f>
        <v>#REF!</v>
      </c>
      <c r="GL18" t="e">
        <f>#REF!-";Hb!Ya"</f>
        <v>#REF!</v>
      </c>
      <c r="GM18" t="e">
        <f>#REF!-";Hb!Yb"</f>
        <v>#REF!</v>
      </c>
      <c r="GN18" t="e">
        <f>#REF!-";Hb!Yc"</f>
        <v>#REF!</v>
      </c>
      <c r="GO18" t="e">
        <f>#REF!-";Hb!Yd"</f>
        <v>#REF!</v>
      </c>
      <c r="GP18" t="e">
        <f>#REF!-";Hb!Ye"</f>
        <v>#REF!</v>
      </c>
      <c r="GQ18" t="e">
        <f>#REF!-";Hb!Yf"</f>
        <v>#REF!</v>
      </c>
      <c r="GR18" t="e">
        <f>#REF!-";Hb!Yg"</f>
        <v>#REF!</v>
      </c>
      <c r="GS18" t="e">
        <f>#REF!-";Hb!Yh"</f>
        <v>#REF!</v>
      </c>
      <c r="GT18" t="e">
        <f>#REF!-";Hb!Yi"</f>
        <v>#REF!</v>
      </c>
      <c r="GU18" t="e">
        <f>#REF!-";Hb!Yj"</f>
        <v>#REF!</v>
      </c>
      <c r="GV18" t="e">
        <f>#REF!-";Hb!Yk"</f>
        <v>#REF!</v>
      </c>
      <c r="GW18" t="e">
        <f>#REF!-";Hb!Yl"</f>
        <v>#REF!</v>
      </c>
      <c r="GX18" t="e">
        <f>#REF!-";Hb!Ym"</f>
        <v>#REF!</v>
      </c>
      <c r="GY18" t="e">
        <f>#REF!-";Hb!Yn"</f>
        <v>#REF!</v>
      </c>
      <c r="GZ18" t="e">
        <f>#REF!-";Hb!Yo"</f>
        <v>#REF!</v>
      </c>
      <c r="HA18" t="e">
        <f>#REF!-";Hb!Yp"</f>
        <v>#REF!</v>
      </c>
      <c r="HB18" t="e">
        <f>#REF!-";Hb!Yq"</f>
        <v>#REF!</v>
      </c>
      <c r="HC18" t="e">
        <f>#REF!-";Hb!Yr"</f>
        <v>#REF!</v>
      </c>
      <c r="HD18" t="e">
        <f>#REF!-";Hb!Ys"</f>
        <v>#REF!</v>
      </c>
      <c r="HE18" t="e">
        <f>#REF!-";Hb!Yt"</f>
        <v>#REF!</v>
      </c>
      <c r="HF18" t="e">
        <f>#REF!-";Hb!Yu"</f>
        <v>#REF!</v>
      </c>
      <c r="HG18" t="e">
        <f>#REF!-";Hb!Yv"</f>
        <v>#REF!</v>
      </c>
      <c r="HH18" t="e">
        <f>#REF!-";Hb!Yw"</f>
        <v>#REF!</v>
      </c>
      <c r="HI18" t="e">
        <f>#REF!-";Hb!Yx"</f>
        <v>#REF!</v>
      </c>
      <c r="HJ18" t="e">
        <f>#REF!-";Hb!Yy"</f>
        <v>#REF!</v>
      </c>
      <c r="HK18" t="e">
        <f>#REF!-";Hb!Yz"</f>
        <v>#REF!</v>
      </c>
      <c r="HL18" t="e">
        <f>#REF!-";Hb!Y{"</f>
        <v>#REF!</v>
      </c>
      <c r="HM18" t="e">
        <f>#REF!-";Hb!Y|"</f>
        <v>#REF!</v>
      </c>
      <c r="HN18" t="e">
        <f>#REF!-";Hb!Y}"</f>
        <v>#REF!</v>
      </c>
      <c r="HO18" t="e">
        <f>#REF!-";Hb!Y~"</f>
        <v>#REF!</v>
      </c>
      <c r="HP18" t="e">
        <f>#REF!-";Hb!Z#"</f>
        <v>#REF!</v>
      </c>
      <c r="HQ18" t="e">
        <f>#REF!-";Hb!Z$"</f>
        <v>#REF!</v>
      </c>
      <c r="HR18" t="e">
        <f>#REF!-";Hb!Z%"</f>
        <v>#REF!</v>
      </c>
      <c r="HS18" t="e">
        <f>#REF!-";Hb!Z&amp;"</f>
        <v>#REF!</v>
      </c>
      <c r="HT18" t="e">
        <f>#REF!-";Hb!Z'"</f>
        <v>#REF!</v>
      </c>
      <c r="HU18" t="e">
        <f>#REF!-";Hb!Z("</f>
        <v>#REF!</v>
      </c>
      <c r="HV18" t="e">
        <f>#REF!-";Hb!Z)"</f>
        <v>#REF!</v>
      </c>
      <c r="HW18" t="e">
        <f>#REF!-";Hb!Z."</f>
        <v>#REF!</v>
      </c>
      <c r="HX18" t="e">
        <f>#REF!-";Hb!Z/"</f>
        <v>#REF!</v>
      </c>
      <c r="HY18" t="e">
        <f>#REF!-";Hb!Z0"</f>
        <v>#REF!</v>
      </c>
      <c r="HZ18" t="e">
        <f>#REF!-";Hb!Z1"</f>
        <v>#REF!</v>
      </c>
      <c r="IA18" t="e">
        <f>#REF!-";Hb!Z2"</f>
        <v>#REF!</v>
      </c>
      <c r="IB18" t="e">
        <f>#REF!-";Hb!Z3"</f>
        <v>#REF!</v>
      </c>
      <c r="IC18" t="e">
        <f>#REF!-";Hb!Z4"</f>
        <v>#REF!</v>
      </c>
      <c r="ID18" t="e">
        <f>#REF!-";Hb!Z5"</f>
        <v>#REF!</v>
      </c>
      <c r="IE18" t="e">
        <f>#REF!-";Hb!Z6"</f>
        <v>#REF!</v>
      </c>
      <c r="IF18" t="e">
        <f>#REF!-";Hb!Z7"</f>
        <v>#REF!</v>
      </c>
      <c r="IG18" t="e">
        <f>#REF!-";Hb!Z8"</f>
        <v>#REF!</v>
      </c>
      <c r="IH18" t="e">
        <f>#REF!-";Hb!Z9"</f>
        <v>#REF!</v>
      </c>
      <c r="II18" t="e">
        <f>#REF!-";Hb!Z:"</f>
        <v>#REF!</v>
      </c>
      <c r="IJ18" t="e">
        <f>#REF!-";Hb!Z;"</f>
        <v>#REF!</v>
      </c>
      <c r="IK18" t="e">
        <f>#REF!-";Hb!Z&lt;"</f>
        <v>#REF!</v>
      </c>
      <c r="IL18" t="e">
        <f>#REF!-";Hb!Z="</f>
        <v>#REF!</v>
      </c>
      <c r="IM18" t="e">
        <f>#REF!-";Hb!Z&gt;"</f>
        <v>#REF!</v>
      </c>
      <c r="IN18" t="e">
        <f>#REF!-";Hb!Z?"</f>
        <v>#REF!</v>
      </c>
      <c r="IO18" t="e">
        <f>#REF!-";Hb!Z@"</f>
        <v>#REF!</v>
      </c>
      <c r="IP18" t="e">
        <f>#REF!-";Hb!ZA"</f>
        <v>#REF!</v>
      </c>
      <c r="IQ18" t="e">
        <f>#REF!-";Hb!ZB"</f>
        <v>#REF!</v>
      </c>
      <c r="IR18" t="e">
        <f>#REF!-";Hb!ZC"</f>
        <v>#REF!</v>
      </c>
      <c r="IS18" t="e">
        <f>#REF!-";Hb!ZD"</f>
        <v>#REF!</v>
      </c>
      <c r="IT18" t="e">
        <f>#REF!-";Hb!ZE"</f>
        <v>#REF!</v>
      </c>
      <c r="IU18" t="e">
        <f>#REF!-";Hb!ZF"</f>
        <v>#REF!</v>
      </c>
      <c r="IV18" t="e">
        <f>#REF!-";Hb!ZG"</f>
        <v>#REF!</v>
      </c>
    </row>
    <row r="19" spans="6:256" x14ac:dyDescent="0.25">
      <c r="F19" t="e">
        <f>#REF!-";Hb!ZH"</f>
        <v>#REF!</v>
      </c>
      <c r="G19" t="e">
        <f>#REF!-";Hb!ZI"</f>
        <v>#REF!</v>
      </c>
      <c r="H19" t="e">
        <f>#REF!-";Hb!ZJ"</f>
        <v>#REF!</v>
      </c>
      <c r="I19" t="e">
        <f>#REF!-";Hb!ZK"</f>
        <v>#REF!</v>
      </c>
      <c r="J19" t="e">
        <f>#REF!-";Hb!ZL"</f>
        <v>#REF!</v>
      </c>
      <c r="K19" t="e">
        <f>#REF!-";Hb!ZM"</f>
        <v>#REF!</v>
      </c>
      <c r="L19" t="e">
        <f>#REF!-";Hb!ZN"</f>
        <v>#REF!</v>
      </c>
      <c r="M19" t="e">
        <f>#REF!-";Hb!ZO"</f>
        <v>#REF!</v>
      </c>
      <c r="N19" t="e">
        <f>#REF!-";Hb!ZP"</f>
        <v>#REF!</v>
      </c>
      <c r="O19" t="e">
        <f>#REF!-";Hb!ZQ"</f>
        <v>#REF!</v>
      </c>
      <c r="P19" t="e">
        <f>#REF!-";Hb!ZR"</f>
        <v>#REF!</v>
      </c>
      <c r="Q19" t="e">
        <f>#REF!-";Hb!ZS"</f>
        <v>#REF!</v>
      </c>
      <c r="R19" t="e">
        <f>#REF!-";Hb!ZT"</f>
        <v>#REF!</v>
      </c>
      <c r="S19" t="e">
        <f>#REF!-";Hb!ZU"</f>
        <v>#REF!</v>
      </c>
      <c r="T19" t="e">
        <f>#REF!-";Hb!ZV"</f>
        <v>#REF!</v>
      </c>
      <c r="U19" t="e">
        <f>#REF!-";Hb!ZW"</f>
        <v>#REF!</v>
      </c>
      <c r="V19" t="e">
        <f>#REF!-";Hb!ZX"</f>
        <v>#REF!</v>
      </c>
      <c r="W19" t="e">
        <f>#REF!-";Hb!ZY"</f>
        <v>#REF!</v>
      </c>
      <c r="X19" t="e">
        <f>#REF!-";Hb!ZZ"</f>
        <v>#REF!</v>
      </c>
      <c r="Y19" t="e">
        <f>#REF!-";Hb!Z["</f>
        <v>#REF!</v>
      </c>
      <c r="Z19" t="e">
        <f>#REF!-";Hb!Z\"</f>
        <v>#REF!</v>
      </c>
      <c r="AA19" t="e">
        <f>#REF!-";Hb!Z]"</f>
        <v>#REF!</v>
      </c>
      <c r="AB19" t="e">
        <f>#REF!-";Hb!Z^"</f>
        <v>#REF!</v>
      </c>
      <c r="AC19" t="e">
        <f>#REF!-";Hb!Z_"</f>
        <v>#REF!</v>
      </c>
      <c r="AD19" t="e">
        <f>#REF!-";Hb!Z`"</f>
        <v>#REF!</v>
      </c>
      <c r="AE19" t="e">
        <f>#REF!-";Hb!Za"</f>
        <v>#REF!</v>
      </c>
      <c r="AF19" t="e">
        <f>#REF!-";Hb!Zb"</f>
        <v>#REF!</v>
      </c>
      <c r="AG19" t="e">
        <f>#REF!-";Hb!Zc"</f>
        <v>#REF!</v>
      </c>
      <c r="AH19" t="e">
        <f>#REF!-";Hb!Zd"</f>
        <v>#REF!</v>
      </c>
      <c r="AI19" t="e">
        <f>#REF!-";Hb!Ze"</f>
        <v>#REF!</v>
      </c>
      <c r="AJ19" t="e">
        <f>#REF!-";Hb!Zf"</f>
        <v>#REF!</v>
      </c>
      <c r="AK19" t="e">
        <f>#REF!-";Hb!Zg"</f>
        <v>#REF!</v>
      </c>
      <c r="AL19" t="e">
        <f>#REF!-";Hb!Zh"</f>
        <v>#REF!</v>
      </c>
      <c r="AM19" t="e">
        <f>#REF!-";Hb!Zi"</f>
        <v>#REF!</v>
      </c>
      <c r="AN19" t="e">
        <f>#REF!-";Hb!Zj"</f>
        <v>#REF!</v>
      </c>
      <c r="AO19" t="e">
        <f>#REF!-";Hb!Zk"</f>
        <v>#REF!</v>
      </c>
      <c r="AP19" t="e">
        <f>#REF!-";Hb!Zl"</f>
        <v>#REF!</v>
      </c>
      <c r="AQ19" t="e">
        <f>#REF!-";Hb!Zm"</f>
        <v>#REF!</v>
      </c>
      <c r="AR19" t="e">
        <f>#REF!-";Hb!Zn"</f>
        <v>#REF!</v>
      </c>
      <c r="AS19" t="e">
        <f>#REF!-";Hb!Zo"</f>
        <v>#REF!</v>
      </c>
      <c r="AT19" t="e">
        <f>#REF!-";Hb!Zp"</f>
        <v>#REF!</v>
      </c>
      <c r="AU19" t="e">
        <f>#REF!-";Hb!Zq"</f>
        <v>#REF!</v>
      </c>
      <c r="AV19" t="e">
        <f>#REF!-";Hb!Zr"</f>
        <v>#REF!</v>
      </c>
      <c r="AW19" t="e">
        <f>#REF!-";Hb!Zs"</f>
        <v>#REF!</v>
      </c>
      <c r="AX19" t="e">
        <f>#REF!-";Hb!Zt"</f>
        <v>#REF!</v>
      </c>
      <c r="AY19" t="e">
        <f>#REF!-";Hb!Zu"</f>
        <v>#REF!</v>
      </c>
      <c r="AZ19" t="e">
        <f>#REF!-";Hb!Zv"</f>
        <v>#REF!</v>
      </c>
      <c r="BA19" t="e">
        <f>#REF!-";Hb!Zw"</f>
        <v>#REF!</v>
      </c>
      <c r="BB19" t="e">
        <f>#REF!-";Hb!Zx"</f>
        <v>#REF!</v>
      </c>
      <c r="BC19" t="e">
        <f>#REF!-";Hb!Zy"</f>
        <v>#REF!</v>
      </c>
      <c r="BD19" t="e">
        <f>#REF!-";Hb!Zz"</f>
        <v>#REF!</v>
      </c>
      <c r="BE19" t="e">
        <f>#REF!-";Hb!Z{"</f>
        <v>#REF!</v>
      </c>
      <c r="BF19" t="e">
        <f>#REF!-";Hb!Z|"</f>
        <v>#REF!</v>
      </c>
      <c r="BG19" t="e">
        <f>#REF!-";Hb!Z}"</f>
        <v>#REF!</v>
      </c>
      <c r="BH19" t="e">
        <f>#REF!-";Hb!Z~"</f>
        <v>#REF!</v>
      </c>
      <c r="BI19" t="e">
        <f>#REF!-";Hb![#"</f>
        <v>#REF!</v>
      </c>
      <c r="BJ19" t="e">
        <f>#REF!-";Hb![$"</f>
        <v>#REF!</v>
      </c>
      <c r="BK19" t="e">
        <f>#REF!-";Hb![%"</f>
        <v>#REF!</v>
      </c>
      <c r="BL19" t="e">
        <f>#REF!-";Hb![&amp;"</f>
        <v>#REF!</v>
      </c>
      <c r="BM19" t="e">
        <f>#REF!-";Hb!['"</f>
        <v>#REF!</v>
      </c>
      <c r="BN19" t="e">
        <f>#REF!-";Hb![("</f>
        <v>#REF!</v>
      </c>
      <c r="BO19" t="e">
        <f>#REF!-";Hb![)"</f>
        <v>#REF!</v>
      </c>
      <c r="BP19" t="e">
        <f>#REF!-";Hb![."</f>
        <v>#REF!</v>
      </c>
      <c r="BQ19" t="e">
        <f>#REF!-";Hb![/"</f>
        <v>#REF!</v>
      </c>
      <c r="BR19" t="e">
        <f>#REF!-";Hb![0"</f>
        <v>#REF!</v>
      </c>
      <c r="BS19" t="e">
        <f>#REF!-";Hb![1"</f>
        <v>#REF!</v>
      </c>
      <c r="BT19" t="e">
        <f>#REF!-";Hb![2"</f>
        <v>#REF!</v>
      </c>
      <c r="BU19" t="e">
        <f>#REF!-";Hb![3"</f>
        <v>#REF!</v>
      </c>
      <c r="BV19" t="e">
        <f>#REF!-";Hb![4"</f>
        <v>#REF!</v>
      </c>
      <c r="BW19" t="e">
        <f>#REF!-";Hb![5"</f>
        <v>#REF!</v>
      </c>
      <c r="BX19" t="e">
        <f>#REF!-";Hb![6"</f>
        <v>#REF!</v>
      </c>
      <c r="BY19" t="e">
        <f>#REF!-";Hb![7"</f>
        <v>#REF!</v>
      </c>
      <c r="BZ19" t="e">
        <f>#REF!-";Hb![8"</f>
        <v>#REF!</v>
      </c>
      <c r="CA19" t="e">
        <f>#REF!-";Hb![9"</f>
        <v>#REF!</v>
      </c>
      <c r="CB19" t="e">
        <f>#REF!-";Hb![:"</f>
        <v>#REF!</v>
      </c>
      <c r="CC19" t="e">
        <f>#REF!-";Hb![;"</f>
        <v>#REF!</v>
      </c>
      <c r="CD19" t="e">
        <f>#REF!-";Hb![&lt;"</f>
        <v>#REF!</v>
      </c>
      <c r="CE19" t="e">
        <f>#REF!-";Hb![="</f>
        <v>#REF!</v>
      </c>
      <c r="CF19" t="e">
        <f>#REF!-";Hb![&gt;"</f>
        <v>#REF!</v>
      </c>
      <c r="CG19" t="e">
        <f>#REF!-";Hb![?"</f>
        <v>#REF!</v>
      </c>
      <c r="CH19" t="e">
        <f>#REF!-";Hb![@"</f>
        <v>#REF!</v>
      </c>
      <c r="CI19" t="e">
        <f>#REF!-";Hb![A"</f>
        <v>#REF!</v>
      </c>
      <c r="CJ19" t="e">
        <f>#REF!-";Hb![B"</f>
        <v>#REF!</v>
      </c>
      <c r="CK19" t="e">
        <f>#REF!-";Hb![C"</f>
        <v>#REF!</v>
      </c>
      <c r="CL19" t="e">
        <f>#REF!-";Hb![D"</f>
        <v>#REF!</v>
      </c>
      <c r="CM19" t="e">
        <f>#REF!-";Hb![E"</f>
        <v>#REF!</v>
      </c>
      <c r="CN19" t="e">
        <f>#REF!-";Hb![F"</f>
        <v>#REF!</v>
      </c>
      <c r="CO19" t="e">
        <f>#REF!-";Hb![G"</f>
        <v>#REF!</v>
      </c>
      <c r="CP19" t="e">
        <f>#REF!-";Hb![H"</f>
        <v>#REF!</v>
      </c>
      <c r="CQ19" t="e">
        <f>#REF!-";Hb![I"</f>
        <v>#REF!</v>
      </c>
      <c r="CR19" t="e">
        <f>#REF!-";Hb![J"</f>
        <v>#REF!</v>
      </c>
      <c r="CS19" t="e">
        <f>#REF!-";Hb![K"</f>
        <v>#REF!</v>
      </c>
      <c r="CT19" t="e">
        <f>#REF!-";Hb![L"</f>
        <v>#REF!</v>
      </c>
      <c r="CU19" t="e">
        <f>#REF!-";Hb![M"</f>
        <v>#REF!</v>
      </c>
      <c r="CV19" t="e">
        <f>#REF!-";Hb![N"</f>
        <v>#REF!</v>
      </c>
      <c r="CW19" t="e">
        <f>#REF!-";Hb![O"</f>
        <v>#REF!</v>
      </c>
      <c r="CX19" t="e">
        <f>#REF!-";Hb![P"</f>
        <v>#REF!</v>
      </c>
      <c r="CY19" t="e">
        <f>#REF!-";Hb![Q"</f>
        <v>#REF!</v>
      </c>
      <c r="CZ19" t="e">
        <f>#REF!-";Hb![R"</f>
        <v>#REF!</v>
      </c>
      <c r="DA19" t="e">
        <f>#REF!-";Hb![S"</f>
        <v>#REF!</v>
      </c>
      <c r="DB19" t="e">
        <f>#REF!-";Hb![T"</f>
        <v>#REF!</v>
      </c>
      <c r="DC19" t="e">
        <f>#REF!-";Hb![U"</f>
        <v>#REF!</v>
      </c>
      <c r="DD19" t="e">
        <f>#REF!-";Hb![V"</f>
        <v>#REF!</v>
      </c>
      <c r="DE19" t="e">
        <f>#REF!-";Hb![W"</f>
        <v>#REF!</v>
      </c>
      <c r="DF19" t="e">
        <f>#REF!-";Hb![X"</f>
        <v>#REF!</v>
      </c>
      <c r="DG19" t="e">
        <f>#REF!-";Hb![Y"</f>
        <v>#REF!</v>
      </c>
      <c r="DH19" t="e">
        <f>#REF!-";Hb![Z"</f>
        <v>#REF!</v>
      </c>
      <c r="DI19" t="e">
        <f>#REF!-";Hb![["</f>
        <v>#REF!</v>
      </c>
      <c r="DJ19" t="e">
        <f>#REF!-";Hb![\"</f>
        <v>#REF!</v>
      </c>
      <c r="DK19" t="e">
        <f>#REF!-";Hb![]"</f>
        <v>#REF!</v>
      </c>
      <c r="DL19" t="e">
        <f>#REF!-";Hb![^"</f>
        <v>#REF!</v>
      </c>
      <c r="DM19" t="e">
        <f>#REF!-";Hb![_"</f>
        <v>#REF!</v>
      </c>
      <c r="DN19" t="e">
        <f>#REF!-";Hb![`"</f>
        <v>#REF!</v>
      </c>
      <c r="DO19" t="e">
        <f>#REF!-";Hb![a"</f>
        <v>#REF!</v>
      </c>
      <c r="DP19" t="e">
        <f>#REF!-";Hb![b"</f>
        <v>#REF!</v>
      </c>
      <c r="DQ19" t="e">
        <f>#REF!-";Hb![c"</f>
        <v>#REF!</v>
      </c>
      <c r="DR19" t="e">
        <f>#REF!-";Hb![d"</f>
        <v>#REF!</v>
      </c>
      <c r="DS19" t="e">
        <f>#REF!-";Hb![e"</f>
        <v>#REF!</v>
      </c>
      <c r="DT19" t="e">
        <f>#REF!-";Hb![f"</f>
        <v>#REF!</v>
      </c>
      <c r="DU19" t="e">
        <f>#REF!-";Hb![g"</f>
        <v>#REF!</v>
      </c>
      <c r="DV19" t="e">
        <f>#REF!-";Hb![h"</f>
        <v>#REF!</v>
      </c>
      <c r="DW19" t="e">
        <f>#REF!-";Hb![i"</f>
        <v>#REF!</v>
      </c>
      <c r="DX19" t="e">
        <f>#REF!-";Hb![j"</f>
        <v>#REF!</v>
      </c>
      <c r="DY19" t="e">
        <f>#REF!-";Hb![k"</f>
        <v>#REF!</v>
      </c>
      <c r="DZ19" t="e">
        <f>#REF!-";Hb![l"</f>
        <v>#REF!</v>
      </c>
      <c r="EA19" t="e">
        <f>#REF!-";Hb![m"</f>
        <v>#REF!</v>
      </c>
      <c r="EB19" t="e">
        <f>#REF!-";Hb![n"</f>
        <v>#REF!</v>
      </c>
      <c r="EC19" t="e">
        <f>#REF!-";Hb![o"</f>
        <v>#REF!</v>
      </c>
      <c r="ED19" t="e">
        <f>#REF!-";Hb![p"</f>
        <v>#REF!</v>
      </c>
      <c r="EE19" t="e">
        <f>#REF!-";Hb![q"</f>
        <v>#REF!</v>
      </c>
      <c r="EF19" t="e">
        <f>#REF!-";Hb![r"</f>
        <v>#REF!</v>
      </c>
      <c r="EG19" t="e">
        <f>#REF!-";Hb![s"</f>
        <v>#REF!</v>
      </c>
      <c r="EH19" t="e">
        <f>#REF!-";Hb![t"</f>
        <v>#REF!</v>
      </c>
      <c r="EI19" t="e">
        <f>#REF!-";Hb![u"</f>
        <v>#REF!</v>
      </c>
      <c r="EJ19" t="e">
        <f>#REF!-";Hb![v"</f>
        <v>#REF!</v>
      </c>
      <c r="EK19" t="e">
        <f>#REF!-";Hb![w"</f>
        <v>#REF!</v>
      </c>
      <c r="EL19" t="e">
        <f>#REF!-";Hb![x"</f>
        <v>#REF!</v>
      </c>
      <c r="EM19" t="e">
        <f>#REF!-";Hb![y"</f>
        <v>#REF!</v>
      </c>
      <c r="EN19" t="e">
        <f>#REF!-";Hb![z"</f>
        <v>#REF!</v>
      </c>
      <c r="EO19" t="e">
        <f>#REF!-";Hb![{"</f>
        <v>#REF!</v>
      </c>
      <c r="EP19" t="e">
        <f>#REF!-";Hb![|"</f>
        <v>#REF!</v>
      </c>
      <c r="EQ19" t="e">
        <f>#REF!-";Hb![}"</f>
        <v>#REF!</v>
      </c>
      <c r="ER19" t="e">
        <f>#REF!-";Hb![~"</f>
        <v>#REF!</v>
      </c>
      <c r="ES19" t="e">
        <f>#REF!-";Hb!\#"</f>
        <v>#REF!</v>
      </c>
      <c r="ET19" t="e">
        <f>#REF!-";Hb!\$"</f>
        <v>#REF!</v>
      </c>
      <c r="EU19" t="e">
        <f>#REF!-";Hb!\%"</f>
        <v>#REF!</v>
      </c>
      <c r="EV19" t="e">
        <f>#REF!-";Hb!\&amp;"</f>
        <v>#REF!</v>
      </c>
      <c r="EW19" t="e">
        <f>#REF!-";Hb!\'"</f>
        <v>#REF!</v>
      </c>
      <c r="EX19" t="e">
        <f>#REF!-";Hb!\("</f>
        <v>#REF!</v>
      </c>
      <c r="EY19" t="e">
        <f>#REF!-";Hb!\)"</f>
        <v>#REF!</v>
      </c>
      <c r="EZ19" t="e">
        <f>#REF!-";Hb!\."</f>
        <v>#REF!</v>
      </c>
      <c r="FA19" t="e">
        <f>#REF!-";Hb!\/"</f>
        <v>#REF!</v>
      </c>
      <c r="FB19" t="e">
        <f>#REF!-";Hb!\0"</f>
        <v>#REF!</v>
      </c>
      <c r="FC19" t="e">
        <f>#REF!-";Hb!\1"</f>
        <v>#REF!</v>
      </c>
      <c r="FD19" t="e">
        <f>#REF!-";Hb!\2"</f>
        <v>#REF!</v>
      </c>
      <c r="FE19" t="e">
        <f>#REF!-";Hb!\3"</f>
        <v>#REF!</v>
      </c>
      <c r="FF19" t="e">
        <f>#REF!-";Hb!\4"</f>
        <v>#REF!</v>
      </c>
      <c r="FG19" t="e">
        <f>#REF!-";Hb!\5"</f>
        <v>#REF!</v>
      </c>
      <c r="FH19" t="e">
        <f>#REF!-";Hb!\6"</f>
        <v>#REF!</v>
      </c>
      <c r="FI19" t="e">
        <f>#REF!-";Hb!\7"</f>
        <v>#REF!</v>
      </c>
      <c r="FJ19" t="e">
        <f>#REF!-";Hb!\8"</f>
        <v>#REF!</v>
      </c>
      <c r="FK19" t="e">
        <f>#REF!-";Hb!\9"</f>
        <v>#REF!</v>
      </c>
      <c r="FL19" t="e">
        <f>#REF!-";Hb!\:"</f>
        <v>#REF!</v>
      </c>
      <c r="FM19" t="e">
        <f>#REF!-";Hb!\;"</f>
        <v>#REF!</v>
      </c>
      <c r="FN19" t="e">
        <f>#REF!-";Hb!\&lt;"</f>
        <v>#REF!</v>
      </c>
      <c r="FO19" t="e">
        <f>#REF!-";Hb!\="</f>
        <v>#REF!</v>
      </c>
      <c r="FP19" t="e">
        <f>#REF!-";Hb!\&gt;"</f>
        <v>#REF!</v>
      </c>
      <c r="FQ19" t="e">
        <f>#REF!-";Hb!\?"</f>
        <v>#REF!</v>
      </c>
      <c r="FR19" t="e">
        <f>#REF!-";Hb!\@"</f>
        <v>#REF!</v>
      </c>
      <c r="FS19" t="e">
        <f>#REF!-";Hb!\A"</f>
        <v>#REF!</v>
      </c>
      <c r="FT19" t="e">
        <f>#REF!-";Hb!\B"</f>
        <v>#REF!</v>
      </c>
      <c r="FU19" t="e">
        <f>#REF!-";Hb!\C"</f>
        <v>#REF!</v>
      </c>
      <c r="FV19" t="e">
        <f>#REF!-";Hb!\D"</f>
        <v>#REF!</v>
      </c>
      <c r="FW19" t="e">
        <f>#REF!-";Hb!\E"</f>
        <v>#REF!</v>
      </c>
      <c r="FX19" t="e">
        <f>#REF!-";Hb!\F"</f>
        <v>#REF!</v>
      </c>
      <c r="FY19" t="e">
        <f>#REF!-";Hb!\G"</f>
        <v>#REF!</v>
      </c>
      <c r="FZ19" t="e">
        <f>#REF!-";Hb!\H"</f>
        <v>#REF!</v>
      </c>
      <c r="GA19" t="e">
        <f>#REF!-";Hb!\I"</f>
        <v>#REF!</v>
      </c>
      <c r="GB19" t="e">
        <f>#REF!-";Hb!\J"</f>
        <v>#REF!</v>
      </c>
      <c r="GC19" t="e">
        <f>#REF!-";Hb!\K"</f>
        <v>#REF!</v>
      </c>
      <c r="GD19" t="e">
        <f>#REF!-";Hb!\L"</f>
        <v>#REF!</v>
      </c>
      <c r="GE19" t="e">
        <f>#REF!-";Hb!\M"</f>
        <v>#REF!</v>
      </c>
      <c r="GF19" t="e">
        <f>#REF!-";Hb!\N"</f>
        <v>#REF!</v>
      </c>
      <c r="GG19" t="e">
        <f>#REF!-";Hb!\O"</f>
        <v>#REF!</v>
      </c>
      <c r="GH19" t="e">
        <f>#REF!-";Hb!\P"</f>
        <v>#REF!</v>
      </c>
      <c r="GI19" t="e">
        <f>#REF!-";Hb!\Q"</f>
        <v>#REF!</v>
      </c>
      <c r="GJ19" t="e">
        <f>#REF!-";Hb!\R"</f>
        <v>#REF!</v>
      </c>
      <c r="GK19" t="e">
        <f>#REF!-";Hb!\S"</f>
        <v>#REF!</v>
      </c>
      <c r="GL19" t="e">
        <f>#REF!-";Hb!\T"</f>
        <v>#REF!</v>
      </c>
      <c r="GM19" t="e">
        <f>#REF!-";Hb!\U"</f>
        <v>#REF!</v>
      </c>
      <c r="GN19" t="e">
        <f>#REF!-";Hb!\V"</f>
        <v>#REF!</v>
      </c>
      <c r="GO19" t="e">
        <f>#REF!-";Hb!\W"</f>
        <v>#REF!</v>
      </c>
      <c r="GP19" t="e">
        <f>#REF!-";Hb!\X"</f>
        <v>#REF!</v>
      </c>
      <c r="GQ19" t="e">
        <f>#REF!-";Hb!\Y"</f>
        <v>#REF!</v>
      </c>
      <c r="GR19" t="e">
        <f>#REF!-";Hb!\Z"</f>
        <v>#REF!</v>
      </c>
      <c r="GS19" t="e">
        <f>#REF!-";Hb!\["</f>
        <v>#REF!</v>
      </c>
      <c r="GT19" t="e">
        <f>#REF!-";Hb!\\"</f>
        <v>#REF!</v>
      </c>
      <c r="GU19" t="e">
        <f>#REF!-";Hb!\]"</f>
        <v>#REF!</v>
      </c>
      <c r="GV19" t="e">
        <f>#REF!-";Hb!\^"</f>
        <v>#REF!</v>
      </c>
      <c r="GW19" t="e">
        <f>#REF!-";Hb!\_"</f>
        <v>#REF!</v>
      </c>
      <c r="GX19" t="e">
        <f>#REF!-";Hb!\`"</f>
        <v>#REF!</v>
      </c>
      <c r="GY19" t="e">
        <f>#REF!-";Hb!\a"</f>
        <v>#REF!</v>
      </c>
      <c r="GZ19" t="e">
        <f>#REF!-";Hb!\b"</f>
        <v>#REF!</v>
      </c>
      <c r="HA19" t="e">
        <f>#REF!-";Hb!\c"</f>
        <v>#REF!</v>
      </c>
      <c r="HB19" t="e">
        <f>#REF!-";Hb!\d"</f>
        <v>#REF!</v>
      </c>
      <c r="HC19" t="e">
        <f>#REF!-";Hb!\e"</f>
        <v>#REF!</v>
      </c>
      <c r="HD19" t="e">
        <f>#REF!-";Hb!\f"</f>
        <v>#REF!</v>
      </c>
      <c r="HE19" t="e">
        <f>#REF!-";Hb!\g"</f>
        <v>#REF!</v>
      </c>
      <c r="HF19" t="e">
        <f>#REF!-";Hb!\h"</f>
        <v>#REF!</v>
      </c>
      <c r="HG19" t="e">
        <f>#REF!-";Hb!\i"</f>
        <v>#REF!</v>
      </c>
      <c r="HH19" t="e">
        <f>#REF!-";Hb!\j"</f>
        <v>#REF!</v>
      </c>
      <c r="HI19" t="e">
        <f>#REF!-";Hb!\k"</f>
        <v>#REF!</v>
      </c>
      <c r="HJ19" t="e">
        <f>#REF!-";Hb!\l"</f>
        <v>#REF!</v>
      </c>
      <c r="HK19" t="e">
        <f>#REF!-";Hb!\m"</f>
        <v>#REF!</v>
      </c>
      <c r="HL19" t="e">
        <f>#REF!-";Hb!\n"</f>
        <v>#REF!</v>
      </c>
      <c r="HM19" t="e">
        <f>#REF!-";Hb!\o"</f>
        <v>#REF!</v>
      </c>
      <c r="HN19" t="e">
        <f>#REF!-";Hb!\p"</f>
        <v>#REF!</v>
      </c>
      <c r="HO19" t="e">
        <f>#REF!-";Hb!\q"</f>
        <v>#REF!</v>
      </c>
      <c r="HP19" t="e">
        <f>#REF!-";Hb!\r"</f>
        <v>#REF!</v>
      </c>
      <c r="HQ19" t="e">
        <f>#REF!-";Hb!\s"</f>
        <v>#REF!</v>
      </c>
      <c r="HR19" t="e">
        <f>#REF!-";Hb!\t"</f>
        <v>#REF!</v>
      </c>
      <c r="HS19" t="e">
        <f>#REF!-";Hb!\u"</f>
        <v>#REF!</v>
      </c>
      <c r="HT19" t="e">
        <f>#REF!-";Hb!\v"</f>
        <v>#REF!</v>
      </c>
      <c r="HU19" t="e">
        <f>#REF!-";Hb!\w"</f>
        <v>#REF!</v>
      </c>
      <c r="HV19" t="e">
        <f>#REF!-";Hb!\x"</f>
        <v>#REF!</v>
      </c>
      <c r="HW19" t="e">
        <f>#REF!-";Hb!\y"</f>
        <v>#REF!</v>
      </c>
      <c r="HX19" t="e">
        <f>#REF!-";Hb!\z"</f>
        <v>#REF!</v>
      </c>
      <c r="HY19" t="e">
        <f>#REF!-";Hb!\{"</f>
        <v>#REF!</v>
      </c>
      <c r="HZ19" t="e">
        <f>#REF!-";Hb!\|"</f>
        <v>#REF!</v>
      </c>
      <c r="IA19" t="e">
        <f>#REF!-";Hb!\}"</f>
        <v>#REF!</v>
      </c>
      <c r="IB19" t="e">
        <f>#REF!-";Hb!\~"</f>
        <v>#REF!</v>
      </c>
      <c r="IC19" t="e">
        <f>#REF!-";Hb!]#"</f>
        <v>#REF!</v>
      </c>
      <c r="ID19" t="e">
        <f>#REF!-";Hb!]$"</f>
        <v>#REF!</v>
      </c>
      <c r="IE19" t="e">
        <f>#REF!-";Hb!]%"</f>
        <v>#REF!</v>
      </c>
      <c r="IF19" t="e">
        <f>#REF!-";Hb!]&amp;"</f>
        <v>#REF!</v>
      </c>
      <c r="IG19" t="e">
        <f>#REF!-";Hb!]'"</f>
        <v>#REF!</v>
      </c>
      <c r="IH19" t="e">
        <f>#REF!-";Hb!]("</f>
        <v>#REF!</v>
      </c>
      <c r="II19" t="e">
        <f>#REF!-";Hb!])"</f>
        <v>#REF!</v>
      </c>
      <c r="IJ19" t="e">
        <f>#REF!-";Hb!]."</f>
        <v>#REF!</v>
      </c>
      <c r="IK19" t="e">
        <f>#REF!-";Hb!]/"</f>
        <v>#REF!</v>
      </c>
      <c r="IL19" t="e">
        <f>#REF!-";Hb!]0"</f>
        <v>#REF!</v>
      </c>
      <c r="IM19" t="e">
        <f>#REF!-";Hb!]1"</f>
        <v>#REF!</v>
      </c>
      <c r="IN19" t="e">
        <f>#REF!-";Hb!]2"</f>
        <v>#REF!</v>
      </c>
      <c r="IO19" t="e">
        <f>#REF!-";Hb!]3"</f>
        <v>#REF!</v>
      </c>
      <c r="IP19" t="e">
        <f>#REF!-";Hb!]4"</f>
        <v>#REF!</v>
      </c>
      <c r="IQ19" t="e">
        <f>#REF!-";Hb!]5"</f>
        <v>#REF!</v>
      </c>
      <c r="IR19" t="e">
        <f>#REF!-";Hb!]6"</f>
        <v>#REF!</v>
      </c>
      <c r="IS19" t="e">
        <f>#REF!-";Hb!]7"</f>
        <v>#REF!</v>
      </c>
      <c r="IT19" t="e">
        <f>#REF!-";Hb!]8"</f>
        <v>#REF!</v>
      </c>
      <c r="IU19" t="e">
        <f>#REF!-";Hb!]9"</f>
        <v>#REF!</v>
      </c>
      <c r="IV19" t="e">
        <f>#REF!-";Hb!]:"</f>
        <v>#REF!</v>
      </c>
    </row>
    <row r="20" spans="6:256" x14ac:dyDescent="0.25">
      <c r="F20" t="e">
        <f>#REF!-";Hb!];"</f>
        <v>#REF!</v>
      </c>
      <c r="G20" t="e">
        <f>#REF!-";Hb!]&lt;"</f>
        <v>#REF!</v>
      </c>
      <c r="H20" t="e">
        <f>#REF!-";Hb!]="</f>
        <v>#REF!</v>
      </c>
      <c r="I20" t="e">
        <f>#REF!-";Hb!]&gt;"</f>
        <v>#REF!</v>
      </c>
      <c r="J20" t="e">
        <f>#REF!-";Hb!]?"</f>
        <v>#REF!</v>
      </c>
      <c r="K20" t="e">
        <f>#REF!-";Hb!]@"</f>
        <v>#REF!</v>
      </c>
      <c r="L20" t="e">
        <f>#REF!-";Hb!]A"</f>
        <v>#REF!</v>
      </c>
      <c r="M20" t="e">
        <f>#REF!-";Hb!]B"</f>
        <v>#REF!</v>
      </c>
      <c r="N20" t="e">
        <f>#REF!-";Hb!]C"</f>
        <v>#REF!</v>
      </c>
      <c r="O20" t="e">
        <f>#REF!-";Hb!]D"</f>
        <v>#REF!</v>
      </c>
      <c r="P20" t="e">
        <f>#REF!-";Hb!]E"</f>
        <v>#REF!</v>
      </c>
      <c r="Q20" t="e">
        <f>#REF!-";Hb!]F"</f>
        <v>#REF!</v>
      </c>
      <c r="R20" t="e">
        <f>#REF!-";Hb!]G"</f>
        <v>#REF!</v>
      </c>
      <c r="S20" t="e">
        <f>#REF!-";Hb!]H"</f>
        <v>#REF!</v>
      </c>
      <c r="T20" t="e">
        <f>#REF!-";Hb!]I"</f>
        <v>#REF!</v>
      </c>
      <c r="U20" t="e">
        <f>#REF!-";Hb!]J"</f>
        <v>#REF!</v>
      </c>
      <c r="V20" t="e">
        <f>#REF!-";Hb!]K"</f>
        <v>#REF!</v>
      </c>
      <c r="W20" t="e">
        <f>#REF!-";Hb!]L"</f>
        <v>#REF!</v>
      </c>
      <c r="X20" t="e">
        <f>#REF!-";Hb!]M"</f>
        <v>#REF!</v>
      </c>
      <c r="Y20" t="e">
        <f>#REF!-";Hb!]N"</f>
        <v>#REF!</v>
      </c>
      <c r="Z20" t="e">
        <f>#REF!-";Hb!]O"</f>
        <v>#REF!</v>
      </c>
      <c r="AA20" t="e">
        <f>#REF!-";Hb!]P"</f>
        <v>#REF!</v>
      </c>
      <c r="AB20" t="e">
        <f>#REF!-";Hb!]Q"</f>
        <v>#REF!</v>
      </c>
      <c r="AC20" t="e">
        <f>#REF!-";Hb!]R"</f>
        <v>#REF!</v>
      </c>
      <c r="AD20" t="e">
        <f>#REF!-";Hb!]S"</f>
        <v>#REF!</v>
      </c>
      <c r="AE20" t="e">
        <f>#REF!-";Hb!]T"</f>
        <v>#REF!</v>
      </c>
      <c r="AF20" t="e">
        <f>#REF!-";Hb!]U"</f>
        <v>#REF!</v>
      </c>
      <c r="AG20" t="e">
        <f>#REF!-";Hb!]V"</f>
        <v>#REF!</v>
      </c>
      <c r="AH20" t="e">
        <f>#REF!-";Hb!]W"</f>
        <v>#REF!</v>
      </c>
      <c r="AI20" t="e">
        <f>#REF!-";Hb!]X"</f>
        <v>#REF!</v>
      </c>
      <c r="AJ20" t="e">
        <f>#REF!-";Hb!]Y"</f>
        <v>#REF!</v>
      </c>
      <c r="AK20" t="e">
        <f>#REF!-";Hb!]Z"</f>
        <v>#REF!</v>
      </c>
      <c r="AL20" t="e">
        <f>#REF!-";Hb!]["</f>
        <v>#REF!</v>
      </c>
      <c r="AM20" t="e">
        <f>#REF!-";Hb!]\"</f>
        <v>#REF!</v>
      </c>
      <c r="AN20" t="e">
        <f>#REF!-";Hb!]]"</f>
        <v>#REF!</v>
      </c>
      <c r="AO20" t="e">
        <f>#REF!-";Hb!]^"</f>
        <v>#REF!</v>
      </c>
      <c r="AP20" t="e">
        <f>#REF!-";Hb!]_"</f>
        <v>#REF!</v>
      </c>
      <c r="AQ20" t="e">
        <f>#REF!-";Hb!]`"</f>
        <v>#REF!</v>
      </c>
      <c r="AR20" t="e">
        <f>#REF!-";Hb!]a"</f>
        <v>#REF!</v>
      </c>
      <c r="AS20" t="e">
        <f>#REF!-";Hb!]b"</f>
        <v>#REF!</v>
      </c>
      <c r="AT20" t="e">
        <f>#REF!-";Hb!]c"</f>
        <v>#REF!</v>
      </c>
      <c r="AU20" t="e">
        <f>#REF!-";Hb!]d"</f>
        <v>#REF!</v>
      </c>
      <c r="AV20" t="e">
        <f>#REF!-";Hb!]e"</f>
        <v>#REF!</v>
      </c>
      <c r="AW20" t="e">
        <f>#REF!-";Hb!]f"</f>
        <v>#REF!</v>
      </c>
      <c r="AX20" t="e">
        <f>#REF!-";Hb!]g"</f>
        <v>#REF!</v>
      </c>
      <c r="AY20" t="e">
        <f>#REF!-";Hb!]h"</f>
        <v>#REF!</v>
      </c>
      <c r="AZ20" t="e">
        <f>#REF!-";Hb!]i"</f>
        <v>#REF!</v>
      </c>
      <c r="BA20" t="e">
        <f>#REF!-";Hb!]j"</f>
        <v>#REF!</v>
      </c>
      <c r="BB20" t="e">
        <f>#REF!-";Hb!]k"</f>
        <v>#REF!</v>
      </c>
      <c r="BC20" t="e">
        <f>#REF!-";Hb!]l"</f>
        <v>#REF!</v>
      </c>
      <c r="BD20" t="e">
        <f>#REF!-";Hb!]m"</f>
        <v>#REF!</v>
      </c>
      <c r="BE20" t="e">
        <f>#REF!-";Hb!]n"</f>
        <v>#REF!</v>
      </c>
      <c r="BF20" t="e">
        <f>#REF!-";Hb!]o"</f>
        <v>#REF!</v>
      </c>
      <c r="BG20" t="e">
        <f>#REF!-";Hb!]p"</f>
        <v>#REF!</v>
      </c>
      <c r="BH20" t="e">
        <f>#REF!-";Hb!]q"</f>
        <v>#REF!</v>
      </c>
      <c r="BI20" t="e">
        <f>#REF!-";Hb!]r"</f>
        <v>#REF!</v>
      </c>
      <c r="BJ20" t="e">
        <f>#REF!-";Hb!]s"</f>
        <v>#REF!</v>
      </c>
      <c r="BK20" t="e">
        <f>#REF!-";Hb!]t"</f>
        <v>#REF!</v>
      </c>
      <c r="BL20" t="e">
        <f>#REF!-";Hb!]u"</f>
        <v>#REF!</v>
      </c>
      <c r="BM20" t="e">
        <f>#REF!-";Hb!]v"</f>
        <v>#REF!</v>
      </c>
      <c r="BN20" t="e">
        <f>#REF!-";Hb!]w"</f>
        <v>#REF!</v>
      </c>
      <c r="BO20" t="e">
        <f>#REF!-";Hb!]x"</f>
        <v>#REF!</v>
      </c>
      <c r="BP20" t="e">
        <f>#REF!-";Hb!]y"</f>
        <v>#REF!</v>
      </c>
      <c r="BQ20" t="e">
        <f>#REF!-";Hb!]z"</f>
        <v>#REF!</v>
      </c>
      <c r="BR20" t="e">
        <f>#REF!-";Hb!]{"</f>
        <v>#REF!</v>
      </c>
      <c r="BS20" t="e">
        <f>#REF!-";Hb!]|"</f>
        <v>#REF!</v>
      </c>
      <c r="BT20" t="e">
        <f>#REF!-";Hb!]}"</f>
        <v>#REF!</v>
      </c>
      <c r="BU20" t="e">
        <f>#REF!-";Hb!]~"</f>
        <v>#REF!</v>
      </c>
      <c r="BV20" t="e">
        <f>#REF!-";Hb!^#"</f>
        <v>#REF!</v>
      </c>
      <c r="BW20" t="e">
        <f>#REF!-";Hb!^$"</f>
        <v>#REF!</v>
      </c>
      <c r="BX20" t="e">
        <f>#REF!-";Hb!^%"</f>
        <v>#REF!</v>
      </c>
      <c r="BY20" t="e">
        <f>#REF!-";Hb!^&amp;"</f>
        <v>#REF!</v>
      </c>
      <c r="BZ20" t="e">
        <f>#REF!-";Hb!^'"</f>
        <v>#REF!</v>
      </c>
      <c r="CA20" t="e">
        <f>#REF!-";Hb!^("</f>
        <v>#REF!</v>
      </c>
      <c r="CB20" t="e">
        <f>#REF!-";Hb!^)"</f>
        <v>#REF!</v>
      </c>
      <c r="CC20" t="e">
        <f>#REF!-";Hb!^."</f>
        <v>#REF!</v>
      </c>
      <c r="CD20" t="e">
        <f>#REF!-";Hb!^/"</f>
        <v>#REF!</v>
      </c>
      <c r="CE20" t="e">
        <f>#REF!-";Hb!^0"</f>
        <v>#REF!</v>
      </c>
      <c r="CF20" t="e">
        <f>#REF!-";Hb!^1"</f>
        <v>#REF!</v>
      </c>
      <c r="CG20" t="e">
        <f>#REF!-";Hb!^2"</f>
        <v>#REF!</v>
      </c>
      <c r="CH20" t="e">
        <f>#REF!-";Hb!^3"</f>
        <v>#REF!</v>
      </c>
      <c r="CI20" t="e">
        <f>#REF!-";Hb!^4"</f>
        <v>#REF!</v>
      </c>
      <c r="CJ20" t="e">
        <f>#REF!-";Hb!^5"</f>
        <v>#REF!</v>
      </c>
      <c r="CK20" t="e">
        <f>#REF!-";Hb!^6"</f>
        <v>#REF!</v>
      </c>
      <c r="CL20" t="e">
        <f>#REF!-";Hb!^7"</f>
        <v>#REF!</v>
      </c>
      <c r="CM20" t="e">
        <f>#REF!-";Hb!^8"</f>
        <v>#REF!</v>
      </c>
      <c r="CN20" t="e">
        <f>#REF!-";Hb!^9"</f>
        <v>#REF!</v>
      </c>
      <c r="CO20" t="e">
        <f>#REF!-";Hb!^:"</f>
        <v>#REF!</v>
      </c>
      <c r="CP20" t="e">
        <f>#REF!-";Hb!^;"</f>
        <v>#REF!</v>
      </c>
      <c r="CQ20" t="e">
        <f>#REF!-";Hb!^&lt;"</f>
        <v>#REF!</v>
      </c>
      <c r="CR20" t="e">
        <f>#REF!-";Hb!^="</f>
        <v>#REF!</v>
      </c>
      <c r="CS20" t="e">
        <f>#REF!-";Hb!^&gt;"</f>
        <v>#REF!</v>
      </c>
      <c r="CT20" t="e">
        <f>#REF!-";Hb!^?"</f>
        <v>#REF!</v>
      </c>
      <c r="CU20" t="e">
        <f>#REF!-";Hb!^@"</f>
        <v>#REF!</v>
      </c>
      <c r="CV20" t="e">
        <f>#REF!-";Hb!^A"</f>
        <v>#REF!</v>
      </c>
      <c r="CW20" t="e">
        <f>#REF!-";Hb!^B"</f>
        <v>#REF!</v>
      </c>
      <c r="CX20" t="e">
        <f>#REF!-";Hb!^C"</f>
        <v>#REF!</v>
      </c>
      <c r="CY20" t="e">
        <f>#REF!-";Hb!^D"</f>
        <v>#REF!</v>
      </c>
      <c r="CZ20" t="e">
        <f>#REF!-";Hb!^E"</f>
        <v>#REF!</v>
      </c>
      <c r="DA20" t="e">
        <f>#REF!-";Hb!^F"</f>
        <v>#REF!</v>
      </c>
      <c r="DB20" t="e">
        <f>#REF!-";Hb!^G"</f>
        <v>#REF!</v>
      </c>
      <c r="DC20" t="e">
        <f>#REF!-";Hb!^H"</f>
        <v>#REF!</v>
      </c>
      <c r="DD20" t="e">
        <f>#REF!-";Hb!^I"</f>
        <v>#REF!</v>
      </c>
      <c r="DE20" t="e">
        <f>#REF!-";Hb!^J"</f>
        <v>#REF!</v>
      </c>
      <c r="DF20" t="e">
        <f>#REF!-";Hb!^K"</f>
        <v>#REF!</v>
      </c>
      <c r="DG20" t="e">
        <f>#REF!-";Hb!^L"</f>
        <v>#REF!</v>
      </c>
      <c r="DH20" t="e">
        <f>#REF!-";Hb!^M"</f>
        <v>#REF!</v>
      </c>
      <c r="DI20" t="e">
        <f>#REF!-";Hb!^N"</f>
        <v>#REF!</v>
      </c>
      <c r="DJ20" t="e">
        <f>#REF!-";Hb!^O"</f>
        <v>#REF!</v>
      </c>
      <c r="DK20" t="e">
        <f>#REF!-";Hb!^P"</f>
        <v>#REF!</v>
      </c>
      <c r="DL20" t="e">
        <f>#REF!-";Hb!^Q"</f>
        <v>#REF!</v>
      </c>
      <c r="DM20" t="e">
        <f>#REF!-";Hb!^R"</f>
        <v>#REF!</v>
      </c>
      <c r="DN20" t="e">
        <f>#REF!-";Hb!^S"</f>
        <v>#REF!</v>
      </c>
      <c r="DO20" t="e">
        <f>#REF!-";Hb!^T"</f>
        <v>#REF!</v>
      </c>
      <c r="DP20" t="e">
        <f>#REF!-";Hb!^U"</f>
        <v>#REF!</v>
      </c>
      <c r="DQ20" t="e">
        <f>#REF!-";Hb!^V"</f>
        <v>#REF!</v>
      </c>
      <c r="DR20" t="e">
        <f>#REF!-";Hb!^W"</f>
        <v>#REF!</v>
      </c>
      <c r="DS20" t="e">
        <f>#REF!-";Hb!^X"</f>
        <v>#REF!</v>
      </c>
      <c r="DT20" t="e">
        <f>#REF!-";Hb!^Y"</f>
        <v>#REF!</v>
      </c>
      <c r="DU20" t="e">
        <f>#REF!-";Hb!^Z"</f>
        <v>#REF!</v>
      </c>
      <c r="DV20" t="e">
        <f>#REF!-";Hb!^["</f>
        <v>#REF!</v>
      </c>
      <c r="DW20" t="e">
        <f>#REF!-";Hb!^\"</f>
        <v>#REF!</v>
      </c>
      <c r="DX20" t="e">
        <f>#REF!-";Hb!^]"</f>
        <v>#REF!</v>
      </c>
      <c r="DY20" t="e">
        <f>#REF!-";Hb!^^"</f>
        <v>#REF!</v>
      </c>
      <c r="DZ20" t="e">
        <f>#REF!-";Hb!^_"</f>
        <v>#REF!</v>
      </c>
      <c r="EA20" t="e">
        <f>#REF!-";Hb!^`"</f>
        <v>#REF!</v>
      </c>
      <c r="EB20" t="e">
        <f>#REF!-";Hb!^a"</f>
        <v>#REF!</v>
      </c>
      <c r="EC20" t="e">
        <f>#REF!-";Hb!^b"</f>
        <v>#REF!</v>
      </c>
      <c r="ED20" t="e">
        <f>#REF!-";Hb!^c"</f>
        <v>#REF!</v>
      </c>
      <c r="EE20" t="e">
        <f>#REF!-";Hb!^d"</f>
        <v>#REF!</v>
      </c>
      <c r="EF20" t="e">
        <f>#REF!-";Hb!^e"</f>
        <v>#REF!</v>
      </c>
      <c r="EG20" t="e">
        <f>#REF!-";Hb!^f"</f>
        <v>#REF!</v>
      </c>
      <c r="EH20" t="e">
        <f>#REF!-";Hb!^g"</f>
        <v>#REF!</v>
      </c>
      <c r="EI20" t="e">
        <f>#REF!-";Hb!^h"</f>
        <v>#REF!</v>
      </c>
      <c r="EJ20" t="e">
        <f>#REF!-";Hb!^i"</f>
        <v>#REF!</v>
      </c>
      <c r="EK20" t="e">
        <f>#REF!-";Hb!^j"</f>
        <v>#REF!</v>
      </c>
      <c r="EL20" t="e">
        <f>#REF!-";Hb!^k"</f>
        <v>#REF!</v>
      </c>
      <c r="EM20" t="e">
        <f>#REF!-";Hb!^l"</f>
        <v>#REF!</v>
      </c>
      <c r="EN20" t="e">
        <f>#REF!-";Hb!^m"</f>
        <v>#REF!</v>
      </c>
      <c r="EO20" t="e">
        <f>#REF!-";Hb!^n"</f>
        <v>#REF!</v>
      </c>
      <c r="EP20" t="e">
        <f>#REF!-";Hb!^o"</f>
        <v>#REF!</v>
      </c>
      <c r="EQ20" t="e">
        <f>#REF!-";Hb!^p"</f>
        <v>#REF!</v>
      </c>
      <c r="ER20" t="e">
        <f>#REF!-";Hb!^q"</f>
        <v>#REF!</v>
      </c>
      <c r="ES20" t="e">
        <f>#REF!-";Hb!^r"</f>
        <v>#REF!</v>
      </c>
      <c r="ET20" t="e">
        <f>#REF!-";Hb!^s"</f>
        <v>#REF!</v>
      </c>
      <c r="EU20" t="e">
        <f>#REF!-";Hb!^t"</f>
        <v>#REF!</v>
      </c>
      <c r="EV20" t="e">
        <f>#REF!-";Hb!^u"</f>
        <v>#REF!</v>
      </c>
      <c r="EW20" t="e">
        <f>#REF!-";Hb!^v"</f>
        <v>#REF!</v>
      </c>
      <c r="EX20" t="e">
        <f>#REF!-";Hb!^w"</f>
        <v>#REF!</v>
      </c>
      <c r="EY20" t="e">
        <f>#REF!-";Hb!^x"</f>
        <v>#REF!</v>
      </c>
      <c r="EZ20" t="e">
        <f>#REF!-";Hb!^y"</f>
        <v>#REF!</v>
      </c>
      <c r="FA20" t="e">
        <f>#REF!-";Hb!^z"</f>
        <v>#REF!</v>
      </c>
      <c r="FB20" t="e">
        <f>#REF!-";Hb!^{"</f>
        <v>#REF!</v>
      </c>
      <c r="FC20" t="e">
        <f>#REF!-";Hb!^|"</f>
        <v>#REF!</v>
      </c>
      <c r="FD20" t="e">
        <f>#REF!-";Hb!^}"</f>
        <v>#REF!</v>
      </c>
      <c r="FE20" t="e">
        <f>#REF!-";Hb!^~"</f>
        <v>#REF!</v>
      </c>
      <c r="FF20" t="e">
        <f>#REF!-";Hb!_#"</f>
        <v>#REF!</v>
      </c>
      <c r="FG20" t="e">
        <f>#REF!-";Hb!_$"</f>
        <v>#REF!</v>
      </c>
      <c r="FH20" t="e">
        <f>#REF!-";Hb!_%"</f>
        <v>#REF!</v>
      </c>
      <c r="FI20" t="e">
        <f>#REF!-";Hb!_&amp;"</f>
        <v>#REF!</v>
      </c>
      <c r="FJ20" t="e">
        <f>#REF!-";Hb!_'"</f>
        <v>#REF!</v>
      </c>
      <c r="FK20" t="e">
        <f>#REF!-";Hb!_("</f>
        <v>#REF!</v>
      </c>
      <c r="FL20" t="e">
        <f>#REF!-";Hb!_)"</f>
        <v>#REF!</v>
      </c>
      <c r="FM20" t="e">
        <f>#REF!-";Hb!_."</f>
        <v>#REF!</v>
      </c>
      <c r="FN20" t="e">
        <f>#REF!-";Hb!_/"</f>
        <v>#REF!</v>
      </c>
      <c r="FO20" t="e">
        <f>#REF!-";Hb!_0"</f>
        <v>#REF!</v>
      </c>
      <c r="FP20" t="e">
        <f>#REF!-";Hb!_1"</f>
        <v>#REF!</v>
      </c>
      <c r="FQ20" t="e">
        <f>#REF!-";Hb!_2"</f>
        <v>#REF!</v>
      </c>
      <c r="FR20" t="e">
        <f>#REF!-";Hb!_3"</f>
        <v>#REF!</v>
      </c>
      <c r="FS20" t="e">
        <f>#REF!-";Hb!_4"</f>
        <v>#REF!</v>
      </c>
      <c r="FT20" t="e">
        <f>#REF!-";Hb!_5"</f>
        <v>#REF!</v>
      </c>
      <c r="FU20" t="e">
        <f>#REF!-";Hb!_6"</f>
        <v>#REF!</v>
      </c>
      <c r="FV20" t="e">
        <f>#REF!-";Hb!_7"</f>
        <v>#REF!</v>
      </c>
      <c r="FW20" t="e">
        <f>#REF!-";Hb!_8"</f>
        <v>#REF!</v>
      </c>
      <c r="FX20" t="e">
        <f>#REF!-";Hb!_9"</f>
        <v>#REF!</v>
      </c>
      <c r="FY20" t="e">
        <f>#REF!-";Hb!_:"</f>
        <v>#REF!</v>
      </c>
      <c r="FZ20" t="e">
        <f>#REF!-";Hb!_;"</f>
        <v>#REF!</v>
      </c>
      <c r="GA20" t="e">
        <f>#REF!-";Hb!_&lt;"</f>
        <v>#REF!</v>
      </c>
      <c r="GB20" t="e">
        <f>#REF!-";Hb!_="</f>
        <v>#REF!</v>
      </c>
      <c r="GC20" t="e">
        <f>#REF!-";Hb!_&gt;"</f>
        <v>#REF!</v>
      </c>
      <c r="GD20" t="e">
        <f>#REF!-";Hb!_?"</f>
        <v>#REF!</v>
      </c>
      <c r="GE20" t="e">
        <f>#REF!-";Hb!_@"</f>
        <v>#REF!</v>
      </c>
      <c r="GF20" t="e">
        <f>#REF!-";Hb!_A"</f>
        <v>#REF!</v>
      </c>
      <c r="GG20" t="e">
        <f>#REF!-";Hb!_B"</f>
        <v>#REF!</v>
      </c>
      <c r="GH20" t="e">
        <f>#REF!-";Hb!_C"</f>
        <v>#REF!</v>
      </c>
      <c r="GI20" t="e">
        <f>#REF!-";Hb!_D"</f>
        <v>#REF!</v>
      </c>
      <c r="GJ20" t="e">
        <f>#REF!-";Hb!_E"</f>
        <v>#REF!</v>
      </c>
      <c r="GK20" t="e">
        <f>#REF!-";Hb!_F"</f>
        <v>#REF!</v>
      </c>
      <c r="GL20" t="e">
        <f>#REF!-";Hb!_G"</f>
        <v>#REF!</v>
      </c>
      <c r="GM20" t="e">
        <f>#REF!-";Hb!_H"</f>
        <v>#REF!</v>
      </c>
      <c r="GN20" t="e">
        <f>#REF!-";Hb!_I"</f>
        <v>#REF!</v>
      </c>
      <c r="GO20" t="e">
        <f>#REF!-";Hb!_J"</f>
        <v>#REF!</v>
      </c>
      <c r="GP20" t="e">
        <f>#REF!-";Hb!_K"</f>
        <v>#REF!</v>
      </c>
      <c r="GQ20" t="e">
        <f>#REF!-";Hb!_L"</f>
        <v>#REF!</v>
      </c>
      <c r="GR20" t="e">
        <f>#REF!-";Hb!_M"</f>
        <v>#REF!</v>
      </c>
      <c r="GS20" t="e">
        <f>#REF!-";Hb!_N"</f>
        <v>#REF!</v>
      </c>
      <c r="GT20" t="e">
        <f>#REF!-";Hb!_O"</f>
        <v>#REF!</v>
      </c>
      <c r="GU20" t="e">
        <f>#REF!-";Hb!_P"</f>
        <v>#REF!</v>
      </c>
      <c r="GV20" t="e">
        <f>#REF!-";Hb!_Q"</f>
        <v>#REF!</v>
      </c>
      <c r="GW20" t="e">
        <f>#REF!-";Hb!_R"</f>
        <v>#REF!</v>
      </c>
      <c r="GX20" t="e">
        <f>#REF!-";Hb!_S"</f>
        <v>#REF!</v>
      </c>
      <c r="GY20" t="e">
        <f>#REF!-";Hb!_T"</f>
        <v>#REF!</v>
      </c>
      <c r="GZ20" t="e">
        <f>#REF!-";Hb!_U"</f>
        <v>#REF!</v>
      </c>
      <c r="HA20" t="e">
        <f>#REF!-";Hb!_V"</f>
        <v>#REF!</v>
      </c>
      <c r="HB20" t="e">
        <f>#REF!-";Hb!_W"</f>
        <v>#REF!</v>
      </c>
      <c r="HC20" t="e">
        <f>#REF!-";Hb!_X"</f>
        <v>#REF!</v>
      </c>
      <c r="HD20" t="e">
        <f>#REF!-";Hb!_Y"</f>
        <v>#REF!</v>
      </c>
      <c r="HE20" t="e">
        <f>#REF!-";Hb!_Z"</f>
        <v>#REF!</v>
      </c>
      <c r="HF20" t="e">
        <f>#REF!-";Hb!_["</f>
        <v>#REF!</v>
      </c>
      <c r="HG20" t="e">
        <f>#REF!-";Hb!_\"</f>
        <v>#REF!</v>
      </c>
      <c r="HH20" t="e">
        <f>#REF!-";Hb!_]"</f>
        <v>#REF!</v>
      </c>
      <c r="HI20" t="e">
        <f>#REF!-";Hb!_^"</f>
        <v>#REF!</v>
      </c>
      <c r="HJ20" t="e">
        <f>#REF!-";Hb!__"</f>
        <v>#REF!</v>
      </c>
      <c r="HK20" t="e">
        <f>#REF!-";Hb!_`"</f>
        <v>#REF!</v>
      </c>
      <c r="HL20" t="e">
        <f>#REF!-";Hb!_a"</f>
        <v>#REF!</v>
      </c>
      <c r="HM20" t="e">
        <f>#REF!-";Hb!_b"</f>
        <v>#REF!</v>
      </c>
      <c r="HN20" t="e">
        <f>#REF!-";Hb!_c"</f>
        <v>#REF!</v>
      </c>
      <c r="HO20" t="e">
        <f>#REF!-";Hb!_d"</f>
        <v>#REF!</v>
      </c>
      <c r="HP20" t="e">
        <f>#REF!-";Hb!_e"</f>
        <v>#REF!</v>
      </c>
      <c r="HQ20" t="e">
        <f>#REF!-";Hb!_f"</f>
        <v>#REF!</v>
      </c>
      <c r="HR20" t="e">
        <f>#REF!-";Hb!_g"</f>
        <v>#REF!</v>
      </c>
      <c r="HS20" t="e">
        <f>#REF!-";Hb!_h"</f>
        <v>#REF!</v>
      </c>
      <c r="HT20" t="e">
        <f>#REF!-";Hb!_i"</f>
        <v>#REF!</v>
      </c>
      <c r="HU20" t="e">
        <f>#REF!-";Hb!_j"</f>
        <v>#REF!</v>
      </c>
      <c r="HV20" t="e">
        <f>#REF!-";Hb!_k"</f>
        <v>#REF!</v>
      </c>
      <c r="HW20" t="e">
        <f>#REF!-";Hb!_l"</f>
        <v>#REF!</v>
      </c>
      <c r="HX20" t="e">
        <f>#REF!-";Hb!_m"</f>
        <v>#REF!</v>
      </c>
      <c r="HY20" t="e">
        <f>#REF!-";Hb!_n"</f>
        <v>#REF!</v>
      </c>
      <c r="HZ20" t="e">
        <f>#REF!-";Hb!_o"</f>
        <v>#REF!</v>
      </c>
      <c r="IA20" t="e">
        <f>#REF!-";Hb!_p"</f>
        <v>#REF!</v>
      </c>
      <c r="IB20" t="e">
        <f>#REF!-";Hb!_q"</f>
        <v>#REF!</v>
      </c>
      <c r="IC20" t="e">
        <f>#REF!-";Hb!_r"</f>
        <v>#REF!</v>
      </c>
      <c r="ID20" t="e">
        <f>#REF!-";Hb!_s"</f>
        <v>#REF!</v>
      </c>
      <c r="IE20" t="e">
        <f>#REF!-";Hb!_t"</f>
        <v>#REF!</v>
      </c>
      <c r="IF20" t="e">
        <f>#REF!-";Hb!_u"</f>
        <v>#REF!</v>
      </c>
      <c r="IG20" t="e">
        <f>#REF!-";Hb!_v"</f>
        <v>#REF!</v>
      </c>
      <c r="IH20" t="e">
        <f>#REF!-";Hb!_w"</f>
        <v>#REF!</v>
      </c>
      <c r="II20" t="e">
        <f>#REF!-";Hb!_x"</f>
        <v>#REF!</v>
      </c>
      <c r="IJ20" t="e">
        <f>#REF!-";Hb!_y"</f>
        <v>#REF!</v>
      </c>
      <c r="IK20" t="e">
        <f>#REF!-";Hb!_z"</f>
        <v>#REF!</v>
      </c>
      <c r="IL20" t="e">
        <f>#REF!-";Hb!_{"</f>
        <v>#REF!</v>
      </c>
      <c r="IM20" t="e">
        <f>#REF!-";Hb!_|"</f>
        <v>#REF!</v>
      </c>
      <c r="IN20" t="e">
        <f>#REF!-";Hb!_}"</f>
        <v>#REF!</v>
      </c>
      <c r="IO20" t="e">
        <f>#REF!-";Hb!_~"</f>
        <v>#REF!</v>
      </c>
      <c r="IP20" t="e">
        <f>#REF!-";Hb!`#"</f>
        <v>#REF!</v>
      </c>
      <c r="IQ20" t="e">
        <f>#REF!-";Hb!`$"</f>
        <v>#REF!</v>
      </c>
      <c r="IR20" t="e">
        <f>#REF!-";Hb!`%"</f>
        <v>#REF!</v>
      </c>
      <c r="IS20" t="e">
        <f>#REF!-";Hb!`&amp;"</f>
        <v>#REF!</v>
      </c>
      <c r="IT20" t="e">
        <f>#REF!-";Hb!`'"</f>
        <v>#REF!</v>
      </c>
      <c r="IU20" t="e">
        <f>#REF!-";Hb!`("</f>
        <v>#REF!</v>
      </c>
      <c r="IV20" t="e">
        <f>#REF!-";Hb!`)"</f>
        <v>#REF!</v>
      </c>
    </row>
    <row r="21" spans="6:256" x14ac:dyDescent="0.25">
      <c r="F21" t="e">
        <f>#REF!-";Hb!`."</f>
        <v>#REF!</v>
      </c>
      <c r="G21" t="e">
        <f>#REF!-";Hb!`/"</f>
        <v>#REF!</v>
      </c>
      <c r="H21" t="e">
        <f>#REF!-";Hb!`0"</f>
        <v>#REF!</v>
      </c>
      <c r="I21" t="e">
        <f>#REF!-";Hb!`1"</f>
        <v>#REF!</v>
      </c>
      <c r="J21" t="e">
        <f>#REF!-";Hb!`2"</f>
        <v>#REF!</v>
      </c>
      <c r="K21" t="e">
        <f>#REF!-";Hb!`3"</f>
        <v>#REF!</v>
      </c>
      <c r="L21" t="e">
        <f>#REF!-";Hb!`4"</f>
        <v>#REF!</v>
      </c>
      <c r="M21" t="e">
        <f>#REF!-";Hb!`5"</f>
        <v>#REF!</v>
      </c>
      <c r="N21" t="e">
        <f>#REF!-";Hb!`6"</f>
        <v>#REF!</v>
      </c>
      <c r="O21" t="e">
        <f>#REF!-";Hb!`7"</f>
        <v>#REF!</v>
      </c>
      <c r="P21" t="e">
        <f>#REF!-";Hb!`8"</f>
        <v>#REF!</v>
      </c>
      <c r="Q21" t="e">
        <f>#REF!-";Hb!`9"</f>
        <v>#REF!</v>
      </c>
      <c r="R21" t="e">
        <f>#REF!-";Hb!`:"</f>
        <v>#REF!</v>
      </c>
      <c r="S21" t="e">
        <f>#REF!-";Hb!`;"</f>
        <v>#REF!</v>
      </c>
      <c r="T21" t="e">
        <f>#REF!-";Hb!`&lt;"</f>
        <v>#REF!</v>
      </c>
      <c r="U21" t="e">
        <f>#REF!-";Hb!`="</f>
        <v>#REF!</v>
      </c>
      <c r="V21" t="e">
        <f>#REF!-";Hb!`&gt;"</f>
        <v>#REF!</v>
      </c>
      <c r="W21" t="e">
        <f>#REF!-";Hb!`?"</f>
        <v>#REF!</v>
      </c>
      <c r="X21" t="e">
        <f>#REF!-";Hb!`@"</f>
        <v>#REF!</v>
      </c>
      <c r="Y21" t="e">
        <f>#REF!-";Hb!`A"</f>
        <v>#REF!</v>
      </c>
      <c r="Z21" t="e">
        <f>#REF!-";Hb!`B"</f>
        <v>#REF!</v>
      </c>
      <c r="AA21" t="e">
        <f>#REF!-";Hb!`C"</f>
        <v>#REF!</v>
      </c>
      <c r="AB21" t="e">
        <f>#REF!-";Hb!`D"</f>
        <v>#REF!</v>
      </c>
      <c r="AC21" t="e">
        <f>#REF!-";Hb!`E"</f>
        <v>#REF!</v>
      </c>
      <c r="AD21" t="e">
        <f>#REF!-";Hb!`F"</f>
        <v>#REF!</v>
      </c>
      <c r="AE21" t="e">
        <f>#REF!-";Hb!`G"</f>
        <v>#REF!</v>
      </c>
      <c r="AF21" t="e">
        <f>#REF!-";Hb!`H"</f>
        <v>#REF!</v>
      </c>
      <c r="AG21" t="e">
        <f>#REF!-";Hb!`I"</f>
        <v>#REF!</v>
      </c>
      <c r="AH21" t="e">
        <f>#REF!-";Hb!`J"</f>
        <v>#REF!</v>
      </c>
      <c r="AI21" t="e">
        <f>#REF!-";Hb!`K"</f>
        <v>#REF!</v>
      </c>
      <c r="AJ21" t="e">
        <f>#REF!-";Hb!`L"</f>
        <v>#REF!</v>
      </c>
      <c r="AK21" t="e">
        <f>#REF!-";Hb!`M"</f>
        <v>#REF!</v>
      </c>
      <c r="AL21" t="e">
        <f>#REF!-";Hb!`N"</f>
        <v>#REF!</v>
      </c>
      <c r="AM21" t="e">
        <f>#REF!-";Hb!`O"</f>
        <v>#REF!</v>
      </c>
      <c r="AN21" t="e">
        <f>#REF!-";Hb!`P"</f>
        <v>#REF!</v>
      </c>
      <c r="AO21" t="e">
        <f>#REF!-";Hb!`Q"</f>
        <v>#REF!</v>
      </c>
      <c r="AP21" t="e">
        <f>#REF!-";Hb!`R"</f>
        <v>#REF!</v>
      </c>
      <c r="AQ21" t="e">
        <f>#REF!-";Hb!`S"</f>
        <v>#REF!</v>
      </c>
      <c r="AR21" t="e">
        <f>#REF!-";Hb!`T"</f>
        <v>#REF!</v>
      </c>
      <c r="AS21" t="e">
        <f>#REF!-";Hb!`U"</f>
        <v>#REF!</v>
      </c>
      <c r="AT21" t="e">
        <f>#REF!-";Hb!`V"</f>
        <v>#REF!</v>
      </c>
      <c r="AU21" t="e">
        <f>#REF!-";Hb!`W"</f>
        <v>#REF!</v>
      </c>
      <c r="AV21" t="e">
        <f>#REF!-";Hb!`X"</f>
        <v>#REF!</v>
      </c>
      <c r="AW21" t="e">
        <f>#REF!-";Hb!`Y"</f>
        <v>#REF!</v>
      </c>
      <c r="AX21" t="e">
        <f>#REF!-";Hb!`Z"</f>
        <v>#REF!</v>
      </c>
      <c r="AY21" t="e">
        <f>#REF!-";Hb!`["</f>
        <v>#REF!</v>
      </c>
      <c r="AZ21" t="e">
        <f>#REF!-";Hb!`\"</f>
        <v>#REF!</v>
      </c>
      <c r="BA21" t="e">
        <f>#REF!-";Hb!`]"</f>
        <v>#REF!</v>
      </c>
      <c r="BB21" t="e">
        <f>#REF!-";Hb!`^"</f>
        <v>#REF!</v>
      </c>
      <c r="BC21" t="e">
        <f>#REF!-";Hb!`_"</f>
        <v>#REF!</v>
      </c>
      <c r="BD21" t="e">
        <f>#REF!-";Hb!``"</f>
        <v>#REF!</v>
      </c>
      <c r="BE21" t="e">
        <f>#REF!-";Hb!`a"</f>
        <v>#REF!</v>
      </c>
      <c r="BF21" t="e">
        <f>#REF!-";Hb!`b"</f>
        <v>#REF!</v>
      </c>
      <c r="BG21" t="e">
        <f>#REF!-";Hb!`c"</f>
        <v>#REF!</v>
      </c>
      <c r="BH21" t="e">
        <f>#REF!-";Hb!`d"</f>
        <v>#REF!</v>
      </c>
      <c r="BI21" t="e">
        <f>#REF!-";Hb!`e"</f>
        <v>#REF!</v>
      </c>
      <c r="BJ21" t="e">
        <f>#REF!-";Hb!`f"</f>
        <v>#REF!</v>
      </c>
      <c r="BK21" t="e">
        <f>#REF!-";Hb!`g"</f>
        <v>#REF!</v>
      </c>
      <c r="BL21" t="e">
        <f>#REF!-";Hb!`h"</f>
        <v>#REF!</v>
      </c>
      <c r="BM21" t="e">
        <f>#REF!-";Hb!`i"</f>
        <v>#REF!</v>
      </c>
      <c r="BN21" t="e">
        <f>#REF!-";Hb!`j"</f>
        <v>#REF!</v>
      </c>
      <c r="BO21" t="e">
        <f>#REF!-";Hb!`k"</f>
        <v>#REF!</v>
      </c>
      <c r="BP21" t="e">
        <f>#REF!-";Hb!`l"</f>
        <v>#REF!</v>
      </c>
      <c r="BQ21" t="e">
        <f>#REF!-";Hb!`m"</f>
        <v>#REF!</v>
      </c>
      <c r="BR21" t="e">
        <f>#REF!-";Hb!`n"</f>
        <v>#REF!</v>
      </c>
      <c r="BS21" t="e">
        <f>#REF!-";Hb!`o"</f>
        <v>#REF!</v>
      </c>
      <c r="BT21" t="e">
        <f>#REF!-";Hb!`p"</f>
        <v>#REF!</v>
      </c>
      <c r="BU21" t="e">
        <f>#REF!-";Hb!`q"</f>
        <v>#REF!</v>
      </c>
      <c r="BV21" t="e">
        <f>#REF!-";Hb!`r"</f>
        <v>#REF!</v>
      </c>
      <c r="BW21" t="e">
        <f>#REF!-";Hb!`s"</f>
        <v>#REF!</v>
      </c>
      <c r="BX21" t="e">
        <f>#REF!-";Hb!`t"</f>
        <v>#REF!</v>
      </c>
      <c r="BY21" t="e">
        <f>#REF!-";Hb!`u"</f>
        <v>#REF!</v>
      </c>
      <c r="BZ21" t="e">
        <f>#REF!-";Hb!`v"</f>
        <v>#REF!</v>
      </c>
      <c r="CA21" t="e">
        <f>#REF!-";Hb!`w"</f>
        <v>#REF!</v>
      </c>
      <c r="CB21" t="e">
        <f>#REF!-";Hb!`x"</f>
        <v>#REF!</v>
      </c>
      <c r="CC21" t="e">
        <f>#REF!-";Hb!`y"</f>
        <v>#REF!</v>
      </c>
      <c r="CD21" t="e">
        <f>#REF!-";Hb!`z"</f>
        <v>#REF!</v>
      </c>
      <c r="CE21" t="e">
        <f>#REF!-";Hb!`{"</f>
        <v>#REF!</v>
      </c>
      <c r="CF21" t="e">
        <f>#REF!-";Hb!`|"</f>
        <v>#REF!</v>
      </c>
      <c r="CG21" t="e">
        <f>#REF!-";Hb!`}"</f>
        <v>#REF!</v>
      </c>
      <c r="CH21" t="e">
        <f>#REF!-";Hb!`~"</f>
        <v>#REF!</v>
      </c>
      <c r="CI21" t="e">
        <f>#REF!-";Hb!a#"</f>
        <v>#REF!</v>
      </c>
      <c r="CJ21" t="e">
        <f>#REF!-";Hb!a$"</f>
        <v>#REF!</v>
      </c>
      <c r="CK21" t="e">
        <f>#REF!-";Hb!a%"</f>
        <v>#REF!</v>
      </c>
      <c r="CL21" t="e">
        <f>#REF!-";Hb!a&amp;"</f>
        <v>#REF!</v>
      </c>
      <c r="CM21" t="e">
        <f>#REF!-";Hb!a'"</f>
        <v>#REF!</v>
      </c>
      <c r="CN21" t="e">
        <f>#REF!-";Hb!a("</f>
        <v>#REF!</v>
      </c>
      <c r="CO21" t="e">
        <f>#REF!-";Hb!a)"</f>
        <v>#REF!</v>
      </c>
      <c r="CP21" t="e">
        <f>#REF!-";Hb!a."</f>
        <v>#REF!</v>
      </c>
      <c r="CQ21" t="e">
        <f>#REF!-";Hb!a/"</f>
        <v>#REF!</v>
      </c>
      <c r="CR21" t="e">
        <f>#REF!-";Hb!a0"</f>
        <v>#REF!</v>
      </c>
      <c r="CS21" t="e">
        <f>#REF!-";Hb!a1"</f>
        <v>#REF!</v>
      </c>
      <c r="CT21" t="e">
        <f>#REF!-";Hb!a2"</f>
        <v>#REF!</v>
      </c>
      <c r="CU21" t="e">
        <f>#REF!-";Hb!a3"</f>
        <v>#REF!</v>
      </c>
      <c r="CV21" t="e">
        <f>#REF!-";Hb!a4"</f>
        <v>#REF!</v>
      </c>
      <c r="CW21" t="e">
        <f>#REF!-";Hb!a5"</f>
        <v>#REF!</v>
      </c>
      <c r="CX21" t="e">
        <f>#REF!-";Hb!a6"</f>
        <v>#REF!</v>
      </c>
      <c r="CY21" t="e">
        <f>#REF!-";Hb!a7"</f>
        <v>#REF!</v>
      </c>
      <c r="CZ21" t="e">
        <f>#REF!-";Hb!a8"</f>
        <v>#REF!</v>
      </c>
      <c r="DA21" t="e">
        <f>#REF!-";Hb!a9"</f>
        <v>#REF!</v>
      </c>
      <c r="DB21" t="e">
        <f>#REF!-";Hb!a:"</f>
        <v>#REF!</v>
      </c>
      <c r="DC21" t="e">
        <f>#REF!-";Hb!a;"</f>
        <v>#REF!</v>
      </c>
      <c r="DD21" t="e">
        <f>#REF!-";Hb!a&lt;"</f>
        <v>#REF!</v>
      </c>
      <c r="DE21" t="e">
        <f>#REF!-";Hb!a="</f>
        <v>#REF!</v>
      </c>
      <c r="DF21" t="e">
        <f>#REF!-";Hb!a&gt;"</f>
        <v>#REF!</v>
      </c>
      <c r="DG21" t="e">
        <f>#REF!-";Hb!a?"</f>
        <v>#REF!</v>
      </c>
      <c r="DH21" t="e">
        <f>#REF!-";Hb!a@"</f>
        <v>#REF!</v>
      </c>
      <c r="DI21" t="e">
        <f>#REF!-";Hb!aA"</f>
        <v>#REF!</v>
      </c>
      <c r="DJ21" t="e">
        <f>#REF!-";Hb!aB"</f>
        <v>#REF!</v>
      </c>
      <c r="DK21" t="e">
        <f>#REF!-";Hb!aC"</f>
        <v>#REF!</v>
      </c>
      <c r="DL21" t="e">
        <f>#REF!-";Hb!aD"</f>
        <v>#REF!</v>
      </c>
      <c r="DM21" t="e">
        <f>#REF!-";Hb!aE"</f>
        <v>#REF!</v>
      </c>
      <c r="DN21" t="e">
        <f>#REF!-";Hb!aF"</f>
        <v>#REF!</v>
      </c>
      <c r="DO21" t="e">
        <f>#REF!-";Hb!aG"</f>
        <v>#REF!</v>
      </c>
      <c r="DP21" t="e">
        <f>#REF!-";Hb!aH"</f>
        <v>#REF!</v>
      </c>
      <c r="DQ21" t="e">
        <f>#REF!-";Hb!aI"</f>
        <v>#REF!</v>
      </c>
      <c r="DR21" t="e">
        <f>#REF!-";Hb!aJ"</f>
        <v>#REF!</v>
      </c>
      <c r="DS21" t="e">
        <f>#REF!-";Hb!aK"</f>
        <v>#REF!</v>
      </c>
      <c r="DT21" t="e">
        <f>#REF!-";Hb!aL"</f>
        <v>#REF!</v>
      </c>
      <c r="DU21" t="e">
        <f>#REF!-";Hb!aM"</f>
        <v>#REF!</v>
      </c>
      <c r="DV21" t="e">
        <f>#REF!-";Hb!aN"</f>
        <v>#REF!</v>
      </c>
      <c r="DW21" t="e">
        <f>#REF!-";Hb!aO"</f>
        <v>#REF!</v>
      </c>
      <c r="DX21" t="e">
        <f>#REF!-";Hb!aP"</f>
        <v>#REF!</v>
      </c>
      <c r="DY21" t="e">
        <f>#REF!-";Hb!aQ"</f>
        <v>#REF!</v>
      </c>
      <c r="DZ21" t="e">
        <f>#REF!-";Hb!aR"</f>
        <v>#REF!</v>
      </c>
      <c r="EA21" t="e">
        <f>#REF!-";Hb!aS"</f>
        <v>#REF!</v>
      </c>
      <c r="EB21" t="e">
        <f>#REF!-";Hb!aT"</f>
        <v>#REF!</v>
      </c>
      <c r="EC21" t="e">
        <f>#REF!-";Hb!aU"</f>
        <v>#REF!</v>
      </c>
      <c r="ED21" t="e">
        <f>#REF!-";Hb!aV"</f>
        <v>#REF!</v>
      </c>
      <c r="EE21" t="e">
        <f>#REF!-";Hb!aW"</f>
        <v>#REF!</v>
      </c>
      <c r="EF21" t="e">
        <f>#REF!-";Hb!aX"</f>
        <v>#REF!</v>
      </c>
      <c r="EG21" t="e">
        <f>#REF!-";Hb!aY"</f>
        <v>#REF!</v>
      </c>
      <c r="EH21" t="e">
        <f>#REF!-";Hb!aZ"</f>
        <v>#REF!</v>
      </c>
      <c r="EI21" t="e">
        <f>#REF!-";Hb!a["</f>
        <v>#REF!</v>
      </c>
      <c r="EJ21" t="e">
        <f>#REF!-";Hb!a\"</f>
        <v>#REF!</v>
      </c>
      <c r="EK21" t="e">
        <f>#REF!-";Hb!a]"</f>
        <v>#REF!</v>
      </c>
      <c r="EL21" t="e">
        <f>#REF!-";Hb!a^"</f>
        <v>#REF!</v>
      </c>
      <c r="EM21" t="e">
        <f>#REF!-";Hb!a_"</f>
        <v>#REF!</v>
      </c>
      <c r="EN21" t="e">
        <f>#REF!-";Hb!a`"</f>
        <v>#REF!</v>
      </c>
      <c r="EO21" t="e">
        <f>#REF!-";Hb!aa"</f>
        <v>#REF!</v>
      </c>
      <c r="EP21" t="e">
        <f>#REF!-";Hb!ab"</f>
        <v>#REF!</v>
      </c>
      <c r="EQ21" t="e">
        <f>#REF!-";Hb!ac"</f>
        <v>#REF!</v>
      </c>
      <c r="ER21" t="e">
        <f>#REF!-";Hb!ad"</f>
        <v>#REF!</v>
      </c>
      <c r="ES21" t="e">
        <f>#REF!-";Hb!ae"</f>
        <v>#REF!</v>
      </c>
      <c r="ET21" t="e">
        <f>#REF!-";Hb!af"</f>
        <v>#REF!</v>
      </c>
      <c r="EU21" t="e">
        <f>#REF!-";Hb!ag"</f>
        <v>#REF!</v>
      </c>
      <c r="EV21" t="e">
        <f>#REF!-";Hb!ah"</f>
        <v>#REF!</v>
      </c>
      <c r="EW21" t="e">
        <f>#REF!-";Hb!ai"</f>
        <v>#REF!</v>
      </c>
      <c r="EX21" t="e">
        <f>#REF!-";Hb!aj"</f>
        <v>#REF!</v>
      </c>
      <c r="EY21" t="e">
        <f>#REF!-";Hb!ak"</f>
        <v>#REF!</v>
      </c>
      <c r="EZ21" t="e">
        <f>#REF!-";Hb!al"</f>
        <v>#REF!</v>
      </c>
      <c r="FA21" t="e">
        <f>#REF!-";Hb!am"</f>
        <v>#REF!</v>
      </c>
      <c r="FB21" t="e">
        <f>#REF!-";Hb!an"</f>
        <v>#REF!</v>
      </c>
      <c r="FC21" t="e">
        <f>#REF!-";Hb!ao"</f>
        <v>#REF!</v>
      </c>
      <c r="FD21" t="e">
        <f>#REF!-";Hb!ap"</f>
        <v>#REF!</v>
      </c>
      <c r="FE21" t="e">
        <f>#REF!-";Hb!aq"</f>
        <v>#REF!</v>
      </c>
      <c r="FF21" t="e">
        <f>#REF!-";Hb!ar"</f>
        <v>#REF!</v>
      </c>
      <c r="FG21" t="e">
        <f>#REF!-";Hb!as"</f>
        <v>#REF!</v>
      </c>
      <c r="FH21" t="e">
        <f>#REF!-";Hb!at"</f>
        <v>#REF!</v>
      </c>
      <c r="FI21" t="e">
        <f>#REF!-";Hb!au"</f>
        <v>#REF!</v>
      </c>
      <c r="FJ21" t="e">
        <f>#REF!-";Hb!av"</f>
        <v>#REF!</v>
      </c>
      <c r="FK21" t="e">
        <f>#REF!-";Hb!aw"</f>
        <v>#REF!</v>
      </c>
      <c r="FL21" t="e">
        <f>#REF!-";Hb!ax"</f>
        <v>#REF!</v>
      </c>
      <c r="FM21" t="e">
        <f>#REF!-";Hb!ay"</f>
        <v>#REF!</v>
      </c>
      <c r="FN21" t="e">
        <f>#REF!-";Hb!az"</f>
        <v>#REF!</v>
      </c>
      <c r="FO21" t="e">
        <f>#REF!-";Hb!a{"</f>
        <v>#REF!</v>
      </c>
      <c r="FP21" t="e">
        <f>#REF!-";Hb!a|"</f>
        <v>#REF!</v>
      </c>
      <c r="FQ21" t="e">
        <f>#REF!-";Hb!a}"</f>
        <v>#REF!</v>
      </c>
      <c r="FR21" t="e">
        <f>#REF!-";Hb!a~"</f>
        <v>#REF!</v>
      </c>
      <c r="FS21" t="e">
        <f>#REF!-";Hb!b#"</f>
        <v>#REF!</v>
      </c>
      <c r="FT21" t="e">
        <f>#REF!-";Hb!b$"</f>
        <v>#REF!</v>
      </c>
      <c r="FU21" t="e">
        <f>#REF!-";Hb!b%"</f>
        <v>#REF!</v>
      </c>
      <c r="FV21" t="e">
        <f>#REF!-";Hb!b&amp;"</f>
        <v>#REF!</v>
      </c>
      <c r="FW21" t="e">
        <f>#REF!-";Hb!b'"</f>
        <v>#REF!</v>
      </c>
      <c r="FX21" t="e">
        <f>#REF!-";Hb!b("</f>
        <v>#REF!</v>
      </c>
      <c r="FY21" t="e">
        <f>#REF!-";Hb!b)"</f>
        <v>#REF!</v>
      </c>
      <c r="FZ21" t="e">
        <f>#REF!-";Hb!b."</f>
        <v>#REF!</v>
      </c>
      <c r="GA21" t="e">
        <f>#REF!-";Hb!b/"</f>
        <v>#REF!</v>
      </c>
      <c r="GB21" t="e">
        <f>#REF!-";Hb!b0"</f>
        <v>#REF!</v>
      </c>
      <c r="GC21" t="e">
        <f>#REF!-";Hb!b1"</f>
        <v>#REF!</v>
      </c>
      <c r="GD21" t="e">
        <f>#REF!-";Hb!b2"</f>
        <v>#REF!</v>
      </c>
      <c r="GE21" t="e">
        <f>#REF!-";Hb!b3"</f>
        <v>#REF!</v>
      </c>
      <c r="GF21" t="e">
        <f>#REF!-";Hb!b4"</f>
        <v>#REF!</v>
      </c>
      <c r="GG21" t="e">
        <f>#REF!-";Hb!b5"</f>
        <v>#REF!</v>
      </c>
      <c r="GH21" t="e">
        <f>#REF!-";Hb!b6"</f>
        <v>#REF!</v>
      </c>
      <c r="GI21" t="e">
        <f>#REF!-";Hb!b7"</f>
        <v>#REF!</v>
      </c>
      <c r="GJ21" t="e">
        <f>#REF!-";Hb!b8"</f>
        <v>#REF!</v>
      </c>
      <c r="GK21" t="e">
        <f>#REF!-";Hb!b9"</f>
        <v>#REF!</v>
      </c>
      <c r="GL21" t="e">
        <f>#REF!-";Hb!b:"</f>
        <v>#REF!</v>
      </c>
      <c r="GM21" t="e">
        <f>#REF!-";Hb!b;"</f>
        <v>#REF!</v>
      </c>
      <c r="GN21" t="e">
        <f>#REF!-";Hb!b&lt;"</f>
        <v>#REF!</v>
      </c>
      <c r="GO21" t="e">
        <f>#REF!-";Hb!b="</f>
        <v>#REF!</v>
      </c>
      <c r="GP21" t="e">
        <f>#REF!-";Hb!b&gt;"</f>
        <v>#REF!</v>
      </c>
      <c r="GQ21" t="e">
        <f>#REF!-";Hb!b?"</f>
        <v>#REF!</v>
      </c>
      <c r="GR21" t="e">
        <f>#REF!-";Hb!b@"</f>
        <v>#REF!</v>
      </c>
      <c r="GS21" t="e">
        <f>#REF!-";Hb!bA"</f>
        <v>#REF!</v>
      </c>
      <c r="GT21" t="e">
        <f>#REF!-";Hb!bB"</f>
        <v>#REF!</v>
      </c>
      <c r="GU21" t="e">
        <f>#REF!-";Hb!bC"</f>
        <v>#REF!</v>
      </c>
      <c r="GV21" t="e">
        <f>#REF!-";Hb!bD"</f>
        <v>#REF!</v>
      </c>
      <c r="GW21" t="e">
        <f>#REF!-";Hb!bE"</f>
        <v>#REF!</v>
      </c>
      <c r="GX21" t="e">
        <f>#REF!-";Hb!bF"</f>
        <v>#REF!</v>
      </c>
      <c r="GY21" t="e">
        <f>#REF!-";Hb!bG"</f>
        <v>#REF!</v>
      </c>
      <c r="GZ21" t="e">
        <f>#REF!-";Hb!bH"</f>
        <v>#REF!</v>
      </c>
      <c r="HA21" t="e">
        <f>#REF!-";Hb!bI"</f>
        <v>#REF!</v>
      </c>
      <c r="HB21" t="e">
        <f>#REF!-";Hb!bJ"</f>
        <v>#REF!</v>
      </c>
      <c r="HC21" t="e">
        <f>#REF!-";Hb!bK"</f>
        <v>#REF!</v>
      </c>
      <c r="HD21" t="e">
        <f>#REF!-";Hb!bL"</f>
        <v>#REF!</v>
      </c>
      <c r="HE21" t="e">
        <f>#REF!-";Hb!bM"</f>
        <v>#REF!</v>
      </c>
      <c r="HF21" t="e">
        <f>#REF!-";Hb!bN"</f>
        <v>#REF!</v>
      </c>
      <c r="HG21" t="e">
        <f>#REF!-";Hb!bO"</f>
        <v>#REF!</v>
      </c>
      <c r="HH21" t="e">
        <f>#REF!-";Hb!bP"</f>
        <v>#REF!</v>
      </c>
      <c r="HI21" t="e">
        <f>#REF!-";Hb!bQ"</f>
        <v>#REF!</v>
      </c>
      <c r="HJ21" t="e">
        <f>#REF!-";Hb!bR"</f>
        <v>#REF!</v>
      </c>
      <c r="HK21" t="e">
        <f>#REF!-";Hb!bS"</f>
        <v>#REF!</v>
      </c>
      <c r="HL21" t="e">
        <f>#REF!-";Hb!bT"</f>
        <v>#REF!</v>
      </c>
      <c r="HM21" t="e">
        <f>#REF!-";Hb!bU"</f>
        <v>#REF!</v>
      </c>
      <c r="HN21" t="e">
        <f>#REF!-";Hb!bV"</f>
        <v>#REF!</v>
      </c>
      <c r="HO21" t="e">
        <f>#REF!-";Hb!bW"</f>
        <v>#REF!</v>
      </c>
      <c r="HP21" t="e">
        <f>#REF!-";Hb!bX"</f>
        <v>#REF!</v>
      </c>
      <c r="HQ21" t="e">
        <f>#REF!-";Hb!bY"</f>
        <v>#REF!</v>
      </c>
      <c r="HR21" t="e">
        <f>#REF!-";Hb!bZ"</f>
        <v>#REF!</v>
      </c>
      <c r="HS21" t="e">
        <f>#REF!-";Hb!b["</f>
        <v>#REF!</v>
      </c>
      <c r="HT21" t="e">
        <f>#REF!-";Hb!b\"</f>
        <v>#REF!</v>
      </c>
      <c r="HU21" t="e">
        <f>#REF!-";Hb!b]"</f>
        <v>#REF!</v>
      </c>
      <c r="HV21" t="e">
        <f>#REF!-";Hb!b^"</f>
        <v>#REF!</v>
      </c>
      <c r="HW21" t="e">
        <f>#REF!-";Hb!b_"</f>
        <v>#REF!</v>
      </c>
      <c r="HX21" t="e">
        <f>#REF!-";Hb!b`"</f>
        <v>#REF!</v>
      </c>
      <c r="HY21" t="e">
        <f>#REF!-";Hb!ba"</f>
        <v>#REF!</v>
      </c>
      <c r="HZ21" t="e">
        <f>#REF!-";Hb!bb"</f>
        <v>#REF!</v>
      </c>
      <c r="IA21" t="e">
        <f>#REF!-";Hb!bc"</f>
        <v>#REF!</v>
      </c>
      <c r="IB21" t="e">
        <f>#REF!-";Hb!bd"</f>
        <v>#REF!</v>
      </c>
      <c r="IC21" t="e">
        <f>#REF!-";Hb!be"</f>
        <v>#REF!</v>
      </c>
      <c r="ID21" t="e">
        <f>#REF!-";Hb!bf"</f>
        <v>#REF!</v>
      </c>
      <c r="IE21" t="e">
        <f>#REF!-";Hb!bg"</f>
        <v>#REF!</v>
      </c>
      <c r="IF21" t="e">
        <f>#REF!-";Hb!bh"</f>
        <v>#REF!</v>
      </c>
      <c r="IG21" t="e">
        <f>#REF!-";Hb!bi"</f>
        <v>#REF!</v>
      </c>
      <c r="IH21" t="e">
        <f>#REF!-";Hb!bj"</f>
        <v>#REF!</v>
      </c>
      <c r="II21" t="e">
        <f>#REF!-";Hb!bk"</f>
        <v>#REF!</v>
      </c>
      <c r="IJ21" t="e">
        <f>#REF!-";Hb!bl"</f>
        <v>#REF!</v>
      </c>
      <c r="IK21" t="e">
        <f>#REF!-";Hb!bm"</f>
        <v>#REF!</v>
      </c>
      <c r="IL21" t="e">
        <f>#REF!-";Hb!bn"</f>
        <v>#REF!</v>
      </c>
      <c r="IM21" t="e">
        <f>#REF!-";Hb!bo"</f>
        <v>#REF!</v>
      </c>
      <c r="IN21" t="e">
        <f>#REF!-";Hb!bp"</f>
        <v>#REF!</v>
      </c>
      <c r="IO21" t="e">
        <f>#REF!-";Hb!bq"</f>
        <v>#REF!</v>
      </c>
      <c r="IP21" t="e">
        <f>#REF!-";Hb!br"</f>
        <v>#REF!</v>
      </c>
      <c r="IQ21" t="e">
        <f>#REF!-";Hb!bs"</f>
        <v>#REF!</v>
      </c>
      <c r="IR21" t="e">
        <f>#REF!-";Hb!bt"</f>
        <v>#REF!</v>
      </c>
      <c r="IS21" t="e">
        <f>#REF!-";Hb!bu"</f>
        <v>#REF!</v>
      </c>
      <c r="IT21" t="e">
        <f>#REF!-";Hb!bv"</f>
        <v>#REF!</v>
      </c>
      <c r="IU21" t="e">
        <f>#REF!-";Hb!bw"</f>
        <v>#REF!</v>
      </c>
      <c r="IV21" t="e">
        <f>#REF!-";Hb!bx"</f>
        <v>#REF!</v>
      </c>
    </row>
    <row r="22" spans="6:256" x14ac:dyDescent="0.25">
      <c r="F22" t="e">
        <f>#REF!-";Hb!by"</f>
        <v>#REF!</v>
      </c>
      <c r="G22" t="e">
        <f>#REF!-";Hb!bz"</f>
        <v>#REF!</v>
      </c>
      <c r="H22" t="e">
        <f>#REF!-";Hb!b{"</f>
        <v>#REF!</v>
      </c>
      <c r="I22" t="e">
        <f>#REF!-";Hb!b|"</f>
        <v>#REF!</v>
      </c>
      <c r="J22" t="e">
        <f>#REF!-";Hb!b}"</f>
        <v>#REF!</v>
      </c>
      <c r="K22" t="e">
        <f>#REF!-";Hb!b~"</f>
        <v>#REF!</v>
      </c>
      <c r="L22" t="e">
        <f>#REF!-";Hb!c#"</f>
        <v>#REF!</v>
      </c>
      <c r="M22" t="e">
        <f>#REF!-";Hb!c$"</f>
        <v>#REF!</v>
      </c>
      <c r="N22" t="e">
        <f>#REF!-";Hb!c%"</f>
        <v>#REF!</v>
      </c>
      <c r="O22" t="e">
        <f>#REF!-";Hb!c&amp;"</f>
        <v>#REF!</v>
      </c>
      <c r="P22" t="e">
        <f>#REF!-";Hb!c'"</f>
        <v>#REF!</v>
      </c>
      <c r="Q22" t="e">
        <f>#REF!-";Hb!c("</f>
        <v>#REF!</v>
      </c>
      <c r="R22" t="e">
        <f>#REF!-";Hb!c)"</f>
        <v>#REF!</v>
      </c>
      <c r="S22" t="e">
        <f>#REF!-";Hb!c."</f>
        <v>#REF!</v>
      </c>
      <c r="T22" t="e">
        <f>#REF!-";Hb!c/"</f>
        <v>#REF!</v>
      </c>
      <c r="U22" t="e">
        <f>#REF!-";Hb!c0"</f>
        <v>#REF!</v>
      </c>
      <c r="V22" t="e">
        <f>#REF!-";Hb!c1"</f>
        <v>#REF!</v>
      </c>
      <c r="W22" t="e">
        <f>#REF!-";Hb!c2"</f>
        <v>#REF!</v>
      </c>
      <c r="X22" t="e">
        <f>#REF!-";Hb!c3"</f>
        <v>#REF!</v>
      </c>
      <c r="Y22" t="e">
        <f>#REF!-";Hb!c4"</f>
        <v>#REF!</v>
      </c>
      <c r="Z22" t="e">
        <f>#REF!-";Hb!c5"</f>
        <v>#REF!</v>
      </c>
      <c r="AA22" t="e">
        <f>#REF!-";Hb!c6"</f>
        <v>#REF!</v>
      </c>
      <c r="AB22" t="e">
        <f>#REF!-";Hb!c7"</f>
        <v>#REF!</v>
      </c>
      <c r="AC22" t="e">
        <f>#REF!-";Hb!c8"</f>
        <v>#REF!</v>
      </c>
      <c r="AD22" t="e">
        <f>#REF!-";Hb!c9"</f>
        <v>#REF!</v>
      </c>
      <c r="AE22" t="e">
        <f>#REF!-";Hb!c:"</f>
        <v>#REF!</v>
      </c>
      <c r="AF22" t="e">
        <f>#REF!-";Hb!c;"</f>
        <v>#REF!</v>
      </c>
      <c r="AG22" t="e">
        <f>#REF!-";Hb!c&lt;"</f>
        <v>#REF!</v>
      </c>
      <c r="AH22" t="e">
        <f>#REF!-";Hb!c="</f>
        <v>#REF!</v>
      </c>
      <c r="AI22" t="e">
        <f>#REF!-";Hb!c&gt;"</f>
        <v>#REF!</v>
      </c>
      <c r="AJ22" t="e">
        <f>#REF!-";Hb!c?"</f>
        <v>#REF!</v>
      </c>
      <c r="AK22" t="e">
        <f>#REF!-";Hb!c@"</f>
        <v>#REF!</v>
      </c>
      <c r="AL22" t="e">
        <f>#REF!-";Hb!cA"</f>
        <v>#REF!</v>
      </c>
      <c r="AM22" t="e">
        <f>#REF!-";Hb!cB"</f>
        <v>#REF!</v>
      </c>
      <c r="AN22" t="e">
        <f>#REF!-";Hb!cC"</f>
        <v>#REF!</v>
      </c>
      <c r="AO22" t="e">
        <f>#REF!-";Hb!cD"</f>
        <v>#REF!</v>
      </c>
      <c r="AP22" t="e">
        <f>#REF!-";Hb!cE"</f>
        <v>#REF!</v>
      </c>
      <c r="AQ22" t="e">
        <f>#REF!-";Hb!cF"</f>
        <v>#REF!</v>
      </c>
      <c r="AR22" t="e">
        <f>#REF!-";Hb!cG"</f>
        <v>#REF!</v>
      </c>
      <c r="AS22" t="e">
        <f>#REF!-";Hb!cH"</f>
        <v>#REF!</v>
      </c>
      <c r="AT22" t="e">
        <f>#REF!-";Hb!cI"</f>
        <v>#REF!</v>
      </c>
      <c r="AU22" t="e">
        <f>#REF!-";Hb!cJ"</f>
        <v>#REF!</v>
      </c>
      <c r="AV22" t="e">
        <f>#REF!-";Hb!cK"</f>
        <v>#REF!</v>
      </c>
      <c r="AW22" t="e">
        <f>#REF!-";Hb!cL"</f>
        <v>#REF!</v>
      </c>
      <c r="AX22" t="e">
        <f>#REF!-";Hb!cM"</f>
        <v>#REF!</v>
      </c>
      <c r="AY22" t="e">
        <f>#REF!-";Hb!cN"</f>
        <v>#REF!</v>
      </c>
      <c r="AZ22" t="e">
        <f>#REF!-";Hb!cO"</f>
        <v>#REF!</v>
      </c>
      <c r="BA22" t="e">
        <f>#REF!-";Hb!cP"</f>
        <v>#REF!</v>
      </c>
      <c r="BB22" t="e">
        <f>#REF!-";Hb!cQ"</f>
        <v>#REF!</v>
      </c>
      <c r="BC22" t="e">
        <f>#REF!-";Hb!cR"</f>
        <v>#REF!</v>
      </c>
      <c r="BD22" t="e">
        <f>#REF!-";Hb!cS"</f>
        <v>#REF!</v>
      </c>
      <c r="BE22" t="e">
        <f>#REF!-";Hb!cT"</f>
        <v>#REF!</v>
      </c>
      <c r="BF22" t="e">
        <f>#REF!-";Hb!cU"</f>
        <v>#REF!</v>
      </c>
      <c r="BG22" t="e">
        <f>#REF!-";Hb!cV"</f>
        <v>#REF!</v>
      </c>
      <c r="BH22" t="e">
        <f>#REF!-";Hb!cW"</f>
        <v>#REF!</v>
      </c>
      <c r="BI22" t="e">
        <f>#REF!-";Hb!cX"</f>
        <v>#REF!</v>
      </c>
      <c r="BJ22" t="e">
        <f>#REF!-";Hb!cY"</f>
        <v>#REF!</v>
      </c>
      <c r="BK22" t="e">
        <f>#REF!-";Hb!cZ"</f>
        <v>#REF!</v>
      </c>
      <c r="BL22" t="e">
        <f>#REF!-";Hb!c["</f>
        <v>#REF!</v>
      </c>
      <c r="BM22" t="e">
        <f>#REF!-";Hb!c\"</f>
        <v>#REF!</v>
      </c>
      <c r="BN22" t="e">
        <f>#REF!-";Hb!c]"</f>
        <v>#REF!</v>
      </c>
      <c r="BO22" t="e">
        <f>#REF!-";Hb!c^"</f>
        <v>#REF!</v>
      </c>
      <c r="BP22" t="e">
        <f>#REF!-";Hb!c_"</f>
        <v>#REF!</v>
      </c>
      <c r="BQ22" t="e">
        <f>#REF!-";Hb!c`"</f>
        <v>#REF!</v>
      </c>
      <c r="BR22" t="e">
        <f>#REF!-";Hb!ca"</f>
        <v>#REF!</v>
      </c>
      <c r="BS22" t="e">
        <f>#REF!-";Hb!cb"</f>
        <v>#REF!</v>
      </c>
      <c r="BT22" t="e">
        <f>#REF!-";Hb!cc"</f>
        <v>#REF!</v>
      </c>
      <c r="BU22" t="e">
        <f>#REF!-";Hb!cd"</f>
        <v>#REF!</v>
      </c>
      <c r="BV22" t="e">
        <f>#REF!-";Hb!ce"</f>
        <v>#REF!</v>
      </c>
      <c r="BW22" t="e">
        <f>#REF!-";Hb!cf"</f>
        <v>#REF!</v>
      </c>
      <c r="BX22" t="e">
        <f>#REF!-";Hb!cg"</f>
        <v>#REF!</v>
      </c>
      <c r="BY22" t="e">
        <f>#REF!-";Hb!ch"</f>
        <v>#REF!</v>
      </c>
      <c r="BZ22" t="e">
        <f>#REF!-";Hb!ci"</f>
        <v>#REF!</v>
      </c>
      <c r="CA22" t="e">
        <f>#REF!-";Hb!cj"</f>
        <v>#REF!</v>
      </c>
      <c r="CB22" t="e">
        <f>#REF!-";Hb!ck"</f>
        <v>#REF!</v>
      </c>
      <c r="CC22" t="e">
        <f>#REF!-";Hb!cl"</f>
        <v>#REF!</v>
      </c>
      <c r="CD22" t="e">
        <f>#REF!-";Hb!cm"</f>
        <v>#REF!</v>
      </c>
      <c r="CE22" t="e">
        <f>#REF!-";Hb!cn"</f>
        <v>#REF!</v>
      </c>
      <c r="CF22" t="e">
        <f>#REF!-";Hb!co"</f>
        <v>#REF!</v>
      </c>
      <c r="CG22" t="e">
        <f>#REF!-";Hb!cp"</f>
        <v>#REF!</v>
      </c>
      <c r="CH22" t="e">
        <f>#REF!-";Hb!cq"</f>
        <v>#REF!</v>
      </c>
      <c r="CI22" t="e">
        <f>#REF!-";Hb!cr"</f>
        <v>#REF!</v>
      </c>
      <c r="CJ22" t="e">
        <f>#REF!-";Hb!cs"</f>
        <v>#REF!</v>
      </c>
      <c r="CK22" t="e">
        <f>#REF!-";Hb!ct"</f>
        <v>#REF!</v>
      </c>
      <c r="CL22" t="e">
        <f>#REF!-";Hb!cu"</f>
        <v>#REF!</v>
      </c>
      <c r="CM22" t="e">
        <f>#REF!-";Hb!cv"</f>
        <v>#REF!</v>
      </c>
      <c r="CN22" t="e">
        <f>#REF!-";Hb!cw"</f>
        <v>#REF!</v>
      </c>
      <c r="CO22" t="e">
        <f>#REF!-";Hb!cx"</f>
        <v>#REF!</v>
      </c>
      <c r="CP22" t="e">
        <f>#REF!-";Hb!cy"</f>
        <v>#REF!</v>
      </c>
      <c r="CQ22" t="e">
        <f>#REF!-";Hb!cz"</f>
        <v>#REF!</v>
      </c>
      <c r="CR22" t="e">
        <f>#REF!-";Hb!c{"</f>
        <v>#REF!</v>
      </c>
      <c r="CS22" t="e">
        <f>#REF!-";Hb!c|"</f>
        <v>#REF!</v>
      </c>
      <c r="CT22" t="e">
        <f>#REF!-";Hb!c}"</f>
        <v>#REF!</v>
      </c>
      <c r="CU22" t="e">
        <f>#REF!-";Hb!c~"</f>
        <v>#REF!</v>
      </c>
      <c r="CV22" t="e">
        <f>#REF!-";Hb!d#"</f>
        <v>#REF!</v>
      </c>
      <c r="CW22" t="e">
        <f>#REF!-";Hb!d$"</f>
        <v>#REF!</v>
      </c>
      <c r="CX22" t="e">
        <f>#REF!-";Hb!d%"</f>
        <v>#REF!</v>
      </c>
      <c r="CY22" t="e">
        <f>#REF!-";Hb!d&amp;"</f>
        <v>#REF!</v>
      </c>
      <c r="CZ22" t="e">
        <f>#REF!-";Hb!d'"</f>
        <v>#REF!</v>
      </c>
      <c r="DA22" t="e">
        <f>#REF!-";Hb!d("</f>
        <v>#REF!</v>
      </c>
      <c r="DB22" t="e">
        <f>#REF!-";Hb!d)"</f>
        <v>#REF!</v>
      </c>
      <c r="DC22" t="e">
        <f>#REF!-";Hb!d."</f>
        <v>#REF!</v>
      </c>
      <c r="DD22" t="e">
        <f>#REF!-";Hb!d/"</f>
        <v>#REF!</v>
      </c>
      <c r="DE22" t="e">
        <f>#REF!-";Hb!d0"</f>
        <v>#REF!</v>
      </c>
      <c r="DF22" t="e">
        <f>#REF!-";Hb!d1"</f>
        <v>#REF!</v>
      </c>
      <c r="DG22" t="e">
        <f>#REF!-";Hb!d2"</f>
        <v>#REF!</v>
      </c>
      <c r="DH22" t="e">
        <f>#REF!-";Hb!d3"</f>
        <v>#REF!</v>
      </c>
      <c r="DI22" t="e">
        <f>#REF!-";Hb!d4"</f>
        <v>#REF!</v>
      </c>
      <c r="DJ22" t="e">
        <f>#REF!-";Hb!d5"</f>
        <v>#REF!</v>
      </c>
      <c r="DK22" t="e">
        <f>#REF!-";Hb!d6"</f>
        <v>#REF!</v>
      </c>
      <c r="DL22" t="e">
        <f>#REF!-";Hb!d7"</f>
        <v>#REF!</v>
      </c>
      <c r="DM22" t="e">
        <f>#REF!-";Hb!d8"</f>
        <v>#REF!</v>
      </c>
      <c r="DN22" t="e">
        <f>#REF!-";Hb!d9"</f>
        <v>#REF!</v>
      </c>
      <c r="DO22" t="e">
        <f>#REF!-";Hb!d:"</f>
        <v>#REF!</v>
      </c>
      <c r="DP22" t="e">
        <f>#REF!-";Hb!d;"</f>
        <v>#REF!</v>
      </c>
      <c r="DQ22" t="e">
        <f>#REF!-";Hb!d&lt;"</f>
        <v>#REF!</v>
      </c>
      <c r="DR22" t="e">
        <f>#REF!-";Hb!d="</f>
        <v>#REF!</v>
      </c>
      <c r="DS22" t="e">
        <f>#REF!-";Hb!d&gt;"</f>
        <v>#REF!</v>
      </c>
      <c r="DT22" t="e">
        <f>#REF!-";Hb!d?"</f>
        <v>#REF!</v>
      </c>
      <c r="DU22" t="e">
        <f>#REF!-";Hb!d@"</f>
        <v>#REF!</v>
      </c>
      <c r="DV22" t="e">
        <f>#REF!-";Hb!dA"</f>
        <v>#REF!</v>
      </c>
      <c r="DW22" t="e">
        <f>#REF!-";Hb!dB"</f>
        <v>#REF!</v>
      </c>
      <c r="DX22" t="e">
        <f>#REF!-";Hb!dC"</f>
        <v>#REF!</v>
      </c>
      <c r="DY22" t="e">
        <f>#REF!-";Hb!dD"</f>
        <v>#REF!</v>
      </c>
      <c r="DZ22" t="e">
        <f>#REF!-";Hb!dE"</f>
        <v>#REF!</v>
      </c>
      <c r="EA22" t="e">
        <f>#REF!-";Hb!dF"</f>
        <v>#REF!</v>
      </c>
      <c r="EB22" t="e">
        <f>#REF!-";Hb!dG"</f>
        <v>#REF!</v>
      </c>
      <c r="EC22" t="e">
        <f>#REF!-";Hb!dH"</f>
        <v>#REF!</v>
      </c>
      <c r="ED22" t="e">
        <f>#REF!-";Hb!dI"</f>
        <v>#REF!</v>
      </c>
      <c r="EE22" t="e">
        <f>#REF!-";Hb!dJ"</f>
        <v>#REF!</v>
      </c>
      <c r="EF22" t="e">
        <f>#REF!-";Hb!dK"</f>
        <v>#REF!</v>
      </c>
      <c r="EG22" t="e">
        <f>#REF!-";Hb!dL"</f>
        <v>#REF!</v>
      </c>
      <c r="EH22" t="e">
        <f>#REF!-";Hb!dM"</f>
        <v>#REF!</v>
      </c>
      <c r="EI22" t="e">
        <f>#REF!-";Hb!dN"</f>
        <v>#REF!</v>
      </c>
      <c r="EJ22" t="e">
        <f>#REF!-";Hb!dO"</f>
        <v>#REF!</v>
      </c>
      <c r="EK22" t="e">
        <f>#REF!-";Hb!dP"</f>
        <v>#REF!</v>
      </c>
      <c r="EL22" t="e">
        <f>#REF!-";Hb!dQ"</f>
        <v>#REF!</v>
      </c>
      <c r="EM22" t="e">
        <f>#REF!-";Hb!dR"</f>
        <v>#REF!</v>
      </c>
      <c r="EN22" t="e">
        <f>#REF!-";Hb!dS"</f>
        <v>#REF!</v>
      </c>
      <c r="EO22" t="e">
        <f>#REF!-";Hb!dT"</f>
        <v>#REF!</v>
      </c>
      <c r="EP22" t="e">
        <f>#REF!-";Hb!dU"</f>
        <v>#REF!</v>
      </c>
      <c r="EQ22" t="e">
        <f>#REF!-";Hb!dV"</f>
        <v>#REF!</v>
      </c>
      <c r="ER22" t="e">
        <f>#REF!-";Hb!dW"</f>
        <v>#REF!</v>
      </c>
      <c r="ES22" t="e">
        <f>#REF!-";Hb!dX"</f>
        <v>#REF!</v>
      </c>
      <c r="ET22" t="e">
        <f>#REF!-";Hb!dY"</f>
        <v>#REF!</v>
      </c>
      <c r="EU22" t="e">
        <f>#REF!-";Hb!dZ"</f>
        <v>#REF!</v>
      </c>
      <c r="EV22" t="e">
        <f>#REF!-";Hb!d["</f>
        <v>#REF!</v>
      </c>
      <c r="EW22" t="e">
        <f>#REF!-";Hb!d\"</f>
        <v>#REF!</v>
      </c>
      <c r="EX22" t="e">
        <f>#REF!-";Hb!d]"</f>
        <v>#REF!</v>
      </c>
      <c r="EY22" t="e">
        <f>#REF!-";Hb!d^"</f>
        <v>#REF!</v>
      </c>
      <c r="EZ22" t="e">
        <f>#REF!-";Hb!d_"</f>
        <v>#REF!</v>
      </c>
      <c r="FA22" t="e">
        <f>#REF!-";Hb!d`"</f>
        <v>#REF!</v>
      </c>
      <c r="FB22" t="e">
        <f>#REF!-";Hb!da"</f>
        <v>#REF!</v>
      </c>
      <c r="FC22" t="e">
        <f>#REF!-";Hb!db"</f>
        <v>#REF!</v>
      </c>
      <c r="FD22" t="e">
        <f>#REF!-";Hb!dc"</f>
        <v>#REF!</v>
      </c>
      <c r="FE22" t="e">
        <f>#REF!-";Hb!dd"</f>
        <v>#REF!</v>
      </c>
      <c r="FF22" t="e">
        <f>#REF!-";Hb!de"</f>
        <v>#REF!</v>
      </c>
      <c r="FG22" t="e">
        <f>#REF!-";Hb!df"</f>
        <v>#REF!</v>
      </c>
      <c r="FH22" t="e">
        <f>#REF!-";Hb!dg"</f>
        <v>#REF!</v>
      </c>
      <c r="FI22" t="e">
        <f>#REF!-";Hb!dh"</f>
        <v>#REF!</v>
      </c>
      <c r="FJ22" t="e">
        <f>#REF!-";Hb!di"</f>
        <v>#REF!</v>
      </c>
      <c r="FK22" t="e">
        <f>#REF!-";Hb!dj"</f>
        <v>#REF!</v>
      </c>
      <c r="FL22" t="e">
        <f>#REF!-";Hb!dk"</f>
        <v>#REF!</v>
      </c>
      <c r="FM22" t="e">
        <f>#REF!-";Hb!dl"</f>
        <v>#REF!</v>
      </c>
      <c r="FN22" t="e">
        <f>#REF!-";Hb!dm"</f>
        <v>#REF!</v>
      </c>
      <c r="FO22" t="e">
        <f>#REF!-";Hb!dn"</f>
        <v>#REF!</v>
      </c>
      <c r="FP22" t="e">
        <f>#REF!-";Hb!do"</f>
        <v>#REF!</v>
      </c>
      <c r="FQ22" t="e">
        <f>#REF!-";Hb!dp"</f>
        <v>#REF!</v>
      </c>
      <c r="FR22" t="e">
        <f>#REF!-";Hb!dq"</f>
        <v>#REF!</v>
      </c>
      <c r="FS22" t="e">
        <f>#REF!-";Hb!dr"</f>
        <v>#REF!</v>
      </c>
      <c r="FT22" t="e">
        <f>#REF!-";Hb!ds"</f>
        <v>#REF!</v>
      </c>
      <c r="FU22" t="e">
        <f>#REF!-";Hb!dt"</f>
        <v>#REF!</v>
      </c>
      <c r="FV22" t="e">
        <f>#REF!-";Hb!du"</f>
        <v>#REF!</v>
      </c>
      <c r="FW22" t="e">
        <f>#REF!-";Hb!dv"</f>
        <v>#REF!</v>
      </c>
      <c r="FX22" t="e">
        <f>#REF!-";Hb!dw"</f>
        <v>#REF!</v>
      </c>
      <c r="FY22" t="e">
        <f>#REF!-";Hb!dx"</f>
        <v>#REF!</v>
      </c>
      <c r="FZ22" t="e">
        <f>#REF!-";Hb!dy"</f>
        <v>#REF!</v>
      </c>
      <c r="GA22" t="e">
        <f>#REF!-";Hb!dz"</f>
        <v>#REF!</v>
      </c>
      <c r="GB22" t="e">
        <f>#REF!-";Hb!d{"</f>
        <v>#REF!</v>
      </c>
      <c r="GC22" t="e">
        <f>#REF!-";Hb!d|"</f>
        <v>#REF!</v>
      </c>
      <c r="GD22" t="e">
        <f>#REF!-";Hb!d}"</f>
        <v>#REF!</v>
      </c>
      <c r="GE22" t="e">
        <f>#REF!-";Hb!d~"</f>
        <v>#REF!</v>
      </c>
      <c r="GF22" t="e">
        <f>#REF!-";Hb!e#"</f>
        <v>#REF!</v>
      </c>
      <c r="GG22" t="e">
        <f>#REF!-";Hb!e$"</f>
        <v>#REF!</v>
      </c>
      <c r="GH22" t="e">
        <f>#REF!-";Hb!e%"</f>
        <v>#REF!</v>
      </c>
      <c r="GI22" t="e">
        <f>#REF!-";Hb!e&amp;"</f>
        <v>#REF!</v>
      </c>
      <c r="GJ22" t="e">
        <f>#REF!-";Hb!e'"</f>
        <v>#REF!</v>
      </c>
      <c r="GK22" t="e">
        <f>#REF!-";Hb!e("</f>
        <v>#REF!</v>
      </c>
      <c r="GL22" t="e">
        <f>#REF!-";Hb!e)"</f>
        <v>#REF!</v>
      </c>
      <c r="GM22" t="e">
        <f>#REF!-";Hb!e."</f>
        <v>#REF!</v>
      </c>
      <c r="GN22" t="e">
        <f>#REF!-";Hb!e/"</f>
        <v>#REF!</v>
      </c>
      <c r="GO22" t="e">
        <f>#REF!-";Hb!e0"</f>
        <v>#REF!</v>
      </c>
      <c r="GP22" t="e">
        <f>#REF!-";Hb!e1"</f>
        <v>#REF!</v>
      </c>
      <c r="GQ22" t="e">
        <f>#REF!-";Hb!e2"</f>
        <v>#REF!</v>
      </c>
      <c r="GR22" t="e">
        <f>#REF!-";Hb!e3"</f>
        <v>#REF!</v>
      </c>
      <c r="GS22" t="e">
        <f>#REF!-";Hb!e4"</f>
        <v>#REF!</v>
      </c>
      <c r="GT22" t="e">
        <f>#REF!-";Hb!e5"</f>
        <v>#REF!</v>
      </c>
      <c r="GU22" t="e">
        <f>#REF!-";Hb!e6"</f>
        <v>#REF!</v>
      </c>
      <c r="GV22" t="e">
        <f>#REF!-";Hb!e7"</f>
        <v>#REF!</v>
      </c>
      <c r="GW22" t="e">
        <f>#REF!-";Hb!e8"</f>
        <v>#REF!</v>
      </c>
      <c r="GX22" t="e">
        <f>#REF!-";Hb!e9"</f>
        <v>#REF!</v>
      </c>
      <c r="GY22" t="e">
        <f>#REF!-";Hb!e:"</f>
        <v>#REF!</v>
      </c>
      <c r="GZ22" t="e">
        <f>#REF!-";Hb!e;"</f>
        <v>#REF!</v>
      </c>
      <c r="HA22" t="e">
        <f>#REF!-";Hb!e&lt;"</f>
        <v>#REF!</v>
      </c>
      <c r="HB22" t="e">
        <f>#REF!-";Hb!e="</f>
        <v>#REF!</v>
      </c>
      <c r="HC22" t="e">
        <f>#REF!-";Hb!e&gt;"</f>
        <v>#REF!</v>
      </c>
      <c r="HD22" t="e">
        <f>#REF!-";Hb!e?"</f>
        <v>#REF!</v>
      </c>
      <c r="HE22" t="e">
        <f>#REF!-";Hb!e@"</f>
        <v>#REF!</v>
      </c>
      <c r="HF22" t="e">
        <f>#REF!-";Hb!eA"</f>
        <v>#REF!</v>
      </c>
      <c r="HG22" t="e">
        <f>#REF!-";Hb!eB"</f>
        <v>#REF!</v>
      </c>
      <c r="HH22" t="e">
        <f>#REF!-";Hb!eC"</f>
        <v>#REF!</v>
      </c>
      <c r="HI22" t="e">
        <f>#REF!-";Hb!eD"</f>
        <v>#REF!</v>
      </c>
      <c r="HJ22" t="e">
        <f>#REF!-";Hb!eE"</f>
        <v>#REF!</v>
      </c>
      <c r="HK22" t="e">
        <f>#REF!-";Hb!eF"</f>
        <v>#REF!</v>
      </c>
      <c r="HL22" t="e">
        <f>#REF!-";Hb!eG"</f>
        <v>#REF!</v>
      </c>
      <c r="HM22" t="e">
        <f>#REF!-";Hb!eH"</f>
        <v>#REF!</v>
      </c>
      <c r="HN22" t="e">
        <f>#REF!-";Hb!eI"</f>
        <v>#REF!</v>
      </c>
      <c r="HO22" t="e">
        <f>#REF!-";Hb!eJ"</f>
        <v>#REF!</v>
      </c>
      <c r="HP22" t="e">
        <f>#REF!-";Hb!eK"</f>
        <v>#REF!</v>
      </c>
      <c r="HQ22" t="e">
        <f>#REF!-";Hb!eL"</f>
        <v>#REF!</v>
      </c>
      <c r="HR22" t="e">
        <f>#REF!-";Hb!eM"</f>
        <v>#REF!</v>
      </c>
      <c r="HS22" t="e">
        <f>#REF!-";Hb!eN"</f>
        <v>#REF!</v>
      </c>
      <c r="HT22" t="e">
        <f>#REF!-";Hb!eO"</f>
        <v>#REF!</v>
      </c>
      <c r="HU22" t="e">
        <f>#REF!-";Hb!eP"</f>
        <v>#REF!</v>
      </c>
      <c r="HV22" t="e">
        <f>#REF!-";Hb!eQ"</f>
        <v>#REF!</v>
      </c>
      <c r="HW22" t="e">
        <f>#REF!-";Hb!eR"</f>
        <v>#REF!</v>
      </c>
      <c r="HX22" t="e">
        <f>#REF!-";Hb!eS"</f>
        <v>#REF!</v>
      </c>
      <c r="HY22" t="e">
        <f>#REF!-";Hb!eT"</f>
        <v>#REF!</v>
      </c>
      <c r="HZ22" t="e">
        <f>#REF!-";Hb!eU"</f>
        <v>#REF!</v>
      </c>
      <c r="IA22" t="e">
        <f>#REF!-";Hb!eV"</f>
        <v>#REF!</v>
      </c>
      <c r="IB22" t="e">
        <f>#REF!-";Hb!eW"</f>
        <v>#REF!</v>
      </c>
      <c r="IC22" t="e">
        <f>#REF!-";Hb!eX"</f>
        <v>#REF!</v>
      </c>
      <c r="ID22" t="e">
        <f>#REF!-";Hb!eY"</f>
        <v>#REF!</v>
      </c>
      <c r="IE22" t="e">
        <f>#REF!-";Hb!eZ"</f>
        <v>#REF!</v>
      </c>
      <c r="IF22" t="e">
        <f>#REF!-";Hb!e["</f>
        <v>#REF!</v>
      </c>
      <c r="IG22" t="e">
        <f>#REF!-";Hb!e\"</f>
        <v>#REF!</v>
      </c>
      <c r="IH22" t="e">
        <f>#REF!-";Hb!e]"</f>
        <v>#REF!</v>
      </c>
      <c r="II22" t="e">
        <f>#REF!-";Hb!e^"</f>
        <v>#REF!</v>
      </c>
      <c r="IJ22" t="e">
        <f>#REF!-";Hb!e_"</f>
        <v>#REF!</v>
      </c>
      <c r="IK22" t="e">
        <f>#REF!-";Hb!e`"</f>
        <v>#REF!</v>
      </c>
      <c r="IL22" t="e">
        <f>#REF!-";Hb!ea"</f>
        <v>#REF!</v>
      </c>
      <c r="IM22" t="e">
        <f>#REF!-";Hb!eb"</f>
        <v>#REF!</v>
      </c>
      <c r="IN22" t="e">
        <f>#REF!-";Hb!ec"</f>
        <v>#REF!</v>
      </c>
      <c r="IO22" t="e">
        <f>#REF!-";Hb!ed"</f>
        <v>#REF!</v>
      </c>
      <c r="IP22" t="e">
        <f>#REF!-";Hb!ee"</f>
        <v>#REF!</v>
      </c>
      <c r="IQ22" t="e">
        <f>#REF!-";Hb!ef"</f>
        <v>#REF!</v>
      </c>
      <c r="IR22" t="e">
        <f>#REF!-";Hb!eg"</f>
        <v>#REF!</v>
      </c>
      <c r="IS22" t="e">
        <f>#REF!-";Hb!eh"</f>
        <v>#REF!</v>
      </c>
      <c r="IT22" t="e">
        <f>#REF!-";Hb!ei"</f>
        <v>#REF!</v>
      </c>
      <c r="IU22" t="e">
        <f>#REF!-";Hb!ej"</f>
        <v>#REF!</v>
      </c>
      <c r="IV22" t="e">
        <f>#REF!-";Hb!ek"</f>
        <v>#REF!</v>
      </c>
    </row>
    <row r="23" spans="6:256" x14ac:dyDescent="0.25">
      <c r="F23" t="e">
        <f>#REF!-";Hb!el"</f>
        <v>#REF!</v>
      </c>
      <c r="G23" t="e">
        <f>#REF!-";Hb!em"</f>
        <v>#REF!</v>
      </c>
      <c r="H23" t="e">
        <f>#REF!-";Hb!en"</f>
        <v>#REF!</v>
      </c>
      <c r="I23" t="e">
        <f>#REF!-";Hb!eo"</f>
        <v>#REF!</v>
      </c>
      <c r="J23" t="e">
        <f>#REF!-";Hb!ep"</f>
        <v>#REF!</v>
      </c>
      <c r="K23" t="e">
        <f>#REF!-";Hb!eq"</f>
        <v>#REF!</v>
      </c>
      <c r="L23" t="e">
        <f>#REF!-";Hb!er"</f>
        <v>#REF!</v>
      </c>
      <c r="M23" t="e">
        <f>#REF!-";Hb!es"</f>
        <v>#REF!</v>
      </c>
      <c r="N23" t="e">
        <f>#REF!-";Hb!et"</f>
        <v>#REF!</v>
      </c>
      <c r="O23" t="e">
        <f>#REF!-";Hb!eu"</f>
        <v>#REF!</v>
      </c>
      <c r="P23" t="e">
        <f>#REF!-";Hb!ev"</f>
        <v>#REF!</v>
      </c>
      <c r="Q23" t="e">
        <f>#REF!-";Hb!ew"</f>
        <v>#REF!</v>
      </c>
      <c r="R23" t="e">
        <f>#REF!-";Hb!ex"</f>
        <v>#REF!</v>
      </c>
      <c r="S23" t="e">
        <f>#REF!-";Hb!ey"</f>
        <v>#REF!</v>
      </c>
      <c r="T23" t="e">
        <f>#REF!-";Hb!ez"</f>
        <v>#REF!</v>
      </c>
      <c r="U23" t="e">
        <f>#REF!-";Hb!e{"</f>
        <v>#REF!</v>
      </c>
      <c r="V23" t="e">
        <f>#REF!-";Hb!e|"</f>
        <v>#REF!</v>
      </c>
      <c r="W23" t="e">
        <f>#REF!-";Hb!e}"</f>
        <v>#REF!</v>
      </c>
      <c r="X23" t="e">
        <f>#REF!-";Hb!e~"</f>
        <v>#REF!</v>
      </c>
      <c r="Y23" t="e">
        <f>#REF!-";Hb!f#"</f>
        <v>#REF!</v>
      </c>
      <c r="Z23" t="e">
        <f>#REF!-";Hb!f$"</f>
        <v>#REF!</v>
      </c>
      <c r="AA23" t="e">
        <f>#REF!-";Hb!f%"</f>
        <v>#REF!</v>
      </c>
      <c r="AB23" t="e">
        <f>#REF!-";Hb!f&amp;"</f>
        <v>#REF!</v>
      </c>
      <c r="AC23" t="e">
        <f>#REF!-";Hb!f'"</f>
        <v>#REF!</v>
      </c>
      <c r="AD23" t="e">
        <f>#REF!-";Hb!f("</f>
        <v>#REF!</v>
      </c>
      <c r="AE23" t="e">
        <f>#REF!-";Hb!f)"</f>
        <v>#REF!</v>
      </c>
      <c r="AF23" t="e">
        <f>#REF!-";Hb!f."</f>
        <v>#REF!</v>
      </c>
      <c r="AG23" t="e">
        <f>#REF!-";Hb!f/"</f>
        <v>#REF!</v>
      </c>
      <c r="AH23" t="e">
        <f>#REF!-";Hb!f0"</f>
        <v>#REF!</v>
      </c>
      <c r="AI23" t="e">
        <f>#REF!-";Hb!f1"</f>
        <v>#REF!</v>
      </c>
      <c r="AJ23" t="e">
        <f>#REF!-";Hb!f2"</f>
        <v>#REF!</v>
      </c>
      <c r="AK23" t="e">
        <f>#REF!-";Hb!f3"</f>
        <v>#REF!</v>
      </c>
      <c r="AL23" t="e">
        <f>#REF!-";Hb!f4"</f>
        <v>#REF!</v>
      </c>
      <c r="AM23" t="e">
        <f>#REF!-";Hb!f5"</f>
        <v>#REF!</v>
      </c>
      <c r="AN23" t="e">
        <f>#REF!-";Hb!f6"</f>
        <v>#REF!</v>
      </c>
      <c r="AO23" t="e">
        <f>#REF!-";Hb!f7"</f>
        <v>#REF!</v>
      </c>
      <c r="AP23" t="e">
        <f>#REF!-";Hb!f8"</f>
        <v>#REF!</v>
      </c>
      <c r="AQ23" t="e">
        <f>#REF!-";Hb!f9"</f>
        <v>#REF!</v>
      </c>
      <c r="AR23" t="e">
        <f>#REF!-";Hb!f:"</f>
        <v>#REF!</v>
      </c>
      <c r="AS23" t="e">
        <f>#REF!-";Hb!f;"</f>
        <v>#REF!</v>
      </c>
      <c r="AT23" t="e">
        <f>#REF!-";Hb!f&lt;"</f>
        <v>#REF!</v>
      </c>
      <c r="AU23" t="e">
        <f>#REF!-";Hb!f="</f>
        <v>#REF!</v>
      </c>
      <c r="AV23" t="e">
        <f>#REF!-";Hb!f&gt;"</f>
        <v>#REF!</v>
      </c>
      <c r="AW23" t="e">
        <f>#REF!-";Hb!f?"</f>
        <v>#REF!</v>
      </c>
      <c r="AX23" t="e">
        <f>#REF!-";Hb!f@"</f>
        <v>#REF!</v>
      </c>
      <c r="AY23" t="e">
        <f>#REF!-";Hb!fA"</f>
        <v>#REF!</v>
      </c>
      <c r="AZ23" t="e">
        <f>#REF!-";Hb!fB"</f>
        <v>#REF!</v>
      </c>
      <c r="BA23" t="e">
        <f>#REF!-";Hb!fC"</f>
        <v>#REF!</v>
      </c>
      <c r="BB23" t="e">
        <f>#REF!-";Hb!fD"</f>
        <v>#REF!</v>
      </c>
      <c r="BC23" t="e">
        <f>#REF!-";Hb!fE"</f>
        <v>#REF!</v>
      </c>
      <c r="BD23" t="e">
        <f>#REF!-";Hb!fF"</f>
        <v>#REF!</v>
      </c>
      <c r="BE23" t="e">
        <f>#REF!-";Hb!fG"</f>
        <v>#REF!</v>
      </c>
      <c r="BF23" t="e">
        <f>#REF!-";Hb!fH"</f>
        <v>#REF!</v>
      </c>
      <c r="BG23" t="e">
        <f>#REF!-";Hb!fI"</f>
        <v>#REF!</v>
      </c>
      <c r="BH23" t="e">
        <f>#REF!-";Hb!fJ"</f>
        <v>#REF!</v>
      </c>
      <c r="BI23" t="e">
        <f>#REF!-";Hb!fK"</f>
        <v>#REF!</v>
      </c>
      <c r="BJ23" t="e">
        <f>#REF!-";Hb!fL"</f>
        <v>#REF!</v>
      </c>
      <c r="BK23" t="e">
        <f>#REF!-";Hb!fM"</f>
        <v>#REF!</v>
      </c>
      <c r="BL23" t="e">
        <f>#REF!-";Hb!fN"</f>
        <v>#REF!</v>
      </c>
      <c r="BM23" t="e">
        <f>#REF!-";Hb!fO"</f>
        <v>#REF!</v>
      </c>
      <c r="BN23" t="e">
        <f>#REF!-";Hb!fP"</f>
        <v>#REF!</v>
      </c>
      <c r="BO23" t="e">
        <f>#REF!-";Hb!fQ"</f>
        <v>#REF!</v>
      </c>
      <c r="BP23" t="e">
        <f>#REF!-";Hb!fR"</f>
        <v>#REF!</v>
      </c>
      <c r="BQ23" t="e">
        <f>#REF!-";Hb!fS"</f>
        <v>#REF!</v>
      </c>
      <c r="BR23" t="e">
        <f>#REF!-";Hb!fT"</f>
        <v>#REF!</v>
      </c>
      <c r="BS23" t="e">
        <f>#REF!-";Hb!fU"</f>
        <v>#REF!</v>
      </c>
      <c r="BT23" t="e">
        <f>#REF!-";Hb!fV"</f>
        <v>#REF!</v>
      </c>
      <c r="BU23" t="e">
        <f>#REF!-";Hb!fW"</f>
        <v>#REF!</v>
      </c>
      <c r="BV23" t="e">
        <f>#REF!-";Hb!fX"</f>
        <v>#REF!</v>
      </c>
      <c r="BW23" t="e">
        <f>#REF!-";Hb!fY"</f>
        <v>#REF!</v>
      </c>
      <c r="BX23" t="e">
        <f>#REF!-";Hb!fZ"</f>
        <v>#REF!</v>
      </c>
      <c r="BY23" t="e">
        <f>#REF!-";Hb!f["</f>
        <v>#REF!</v>
      </c>
      <c r="BZ23" t="e">
        <f>#REF!-";Hb!f\"</f>
        <v>#REF!</v>
      </c>
      <c r="CA23" t="e">
        <f>#REF!-";Hb!f]"</f>
        <v>#REF!</v>
      </c>
      <c r="CB23" t="e">
        <f>#REF!-";Hb!f^"</f>
        <v>#REF!</v>
      </c>
      <c r="CC23" t="e">
        <f>#REF!-";Hb!f_"</f>
        <v>#REF!</v>
      </c>
      <c r="CD23" t="e">
        <f>#REF!-";Hb!f`"</f>
        <v>#REF!</v>
      </c>
      <c r="CE23" t="e">
        <f>#REF!-";Hb!fa"</f>
        <v>#REF!</v>
      </c>
      <c r="CF23" t="e">
        <f>#REF!-";Hb!fb"</f>
        <v>#REF!</v>
      </c>
      <c r="CG23" t="e">
        <f>#REF!-";Hb!fc"</f>
        <v>#REF!</v>
      </c>
      <c r="CH23" t="e">
        <f>#REF!-";Hb!fd"</f>
        <v>#REF!</v>
      </c>
      <c r="CI23" t="e">
        <f>#REF!-";Hb!fe"</f>
        <v>#REF!</v>
      </c>
      <c r="CJ23" t="e">
        <f>#REF!-";Hb!ff"</f>
        <v>#REF!</v>
      </c>
      <c r="CK23" t="e">
        <f>#REF!-";Hb!fg"</f>
        <v>#REF!</v>
      </c>
      <c r="CL23" t="e">
        <f>#REF!-";Hb!fh"</f>
        <v>#REF!</v>
      </c>
      <c r="CM23" t="e">
        <f>#REF!-";Hb!fi"</f>
        <v>#REF!</v>
      </c>
      <c r="CN23" t="e">
        <f>#REF!-";Hb!fj"</f>
        <v>#REF!</v>
      </c>
      <c r="CO23" t="e">
        <f>#REF!-";Hb!fk"</f>
        <v>#REF!</v>
      </c>
      <c r="CP23" t="e">
        <f>#REF!-";Hb!fl"</f>
        <v>#REF!</v>
      </c>
      <c r="CQ23" t="e">
        <f>#REF!-";Hb!fm"</f>
        <v>#REF!</v>
      </c>
      <c r="CR23" t="e">
        <f>#REF!-";Hb!fn"</f>
        <v>#REF!</v>
      </c>
      <c r="CS23" t="e">
        <f>#REF!-";Hb!fo"</f>
        <v>#REF!</v>
      </c>
      <c r="CT23" t="e">
        <f>#REF!-";Hb!fp"</f>
        <v>#REF!</v>
      </c>
      <c r="CU23" t="e">
        <f>#REF!-";Hb!fq"</f>
        <v>#REF!</v>
      </c>
      <c r="CV23" t="e">
        <f>#REF!-";Hb!fr"</f>
        <v>#REF!</v>
      </c>
      <c r="CW23" t="e">
        <f>#REF!-";Hb!fs"</f>
        <v>#REF!</v>
      </c>
      <c r="CX23" t="e">
        <f>#REF!-";Hb!ft"</f>
        <v>#REF!</v>
      </c>
      <c r="CY23" t="e">
        <f>#REF!-";Hb!fu"</f>
        <v>#REF!</v>
      </c>
      <c r="CZ23" t="e">
        <f>#REF!-";Hb!fv"</f>
        <v>#REF!</v>
      </c>
      <c r="DA23" t="e">
        <f>#REF!-";Hb!fw"</f>
        <v>#REF!</v>
      </c>
      <c r="DB23" t="e">
        <f>#REF!-";Hb!fx"</f>
        <v>#REF!</v>
      </c>
      <c r="DC23" t="e">
        <f>#REF!-";Hb!fy"</f>
        <v>#REF!</v>
      </c>
      <c r="DD23" t="e">
        <f>#REF!-";Hb!fz"</f>
        <v>#REF!</v>
      </c>
      <c r="DE23" t="e">
        <f>#REF!-";Hb!f{"</f>
        <v>#REF!</v>
      </c>
      <c r="DF23" t="e">
        <f>#REF!-";Hb!f|"</f>
        <v>#REF!</v>
      </c>
      <c r="DG23" t="e">
        <f>#REF!-";Hb!f}"</f>
        <v>#REF!</v>
      </c>
      <c r="DH23" t="e">
        <f>#REF!-";Hb!f~"</f>
        <v>#REF!</v>
      </c>
      <c r="DI23" t="e">
        <f>#REF!-";Hb!g#"</f>
        <v>#REF!</v>
      </c>
      <c r="DJ23" t="e">
        <f>#REF!-";Hb!g$"</f>
        <v>#REF!</v>
      </c>
      <c r="DK23" t="e">
        <f>#REF!-";Hb!g%"</f>
        <v>#REF!</v>
      </c>
      <c r="DL23" t="e">
        <f>#REF!-";Hb!g&amp;"</f>
        <v>#REF!</v>
      </c>
      <c r="DM23" t="e">
        <f>#REF!-";Hb!g'"</f>
        <v>#REF!</v>
      </c>
      <c r="DN23" t="e">
        <f>#REF!-";Hb!g("</f>
        <v>#REF!</v>
      </c>
      <c r="DO23" t="e">
        <f>#REF!-";Hb!g)"</f>
        <v>#REF!</v>
      </c>
      <c r="DP23" t="e">
        <f>#REF!-";Hb!g."</f>
        <v>#REF!</v>
      </c>
      <c r="DQ23" t="e">
        <f>#REF!-";Hb!g/"</f>
        <v>#REF!</v>
      </c>
      <c r="DR23" t="e">
        <f>#REF!-";Hb!g0"</f>
        <v>#REF!</v>
      </c>
      <c r="DS23" t="e">
        <f>#REF!-";Hb!g1"</f>
        <v>#REF!</v>
      </c>
      <c r="DT23" t="e">
        <f>#REF!-";Hb!g2"</f>
        <v>#REF!</v>
      </c>
      <c r="DU23" t="e">
        <f>#REF!-";Hb!g3"</f>
        <v>#REF!</v>
      </c>
      <c r="DV23" t="e">
        <f>#REF!-";Hb!g4"</f>
        <v>#REF!</v>
      </c>
      <c r="DW23" t="e">
        <f>#REF!-";Hb!g5"</f>
        <v>#REF!</v>
      </c>
      <c r="DX23" t="e">
        <f>#REF!-";Hb!g6"</f>
        <v>#REF!</v>
      </c>
      <c r="DY23" t="e">
        <f>#REF!-";Hb!g7"</f>
        <v>#REF!</v>
      </c>
      <c r="DZ23" t="e">
        <f>#REF!-";Hb!g8"</f>
        <v>#REF!</v>
      </c>
      <c r="EA23" t="e">
        <f>#REF!-";Hb!g9"</f>
        <v>#REF!</v>
      </c>
      <c r="EB23" t="e">
        <f>#REF!-";Hb!g:"</f>
        <v>#REF!</v>
      </c>
      <c r="EC23" t="e">
        <f>#REF!-";Hb!g;"</f>
        <v>#REF!</v>
      </c>
      <c r="ED23" t="e">
        <f>#REF!-";Hb!g&lt;"</f>
        <v>#REF!</v>
      </c>
      <c r="EE23" t="e">
        <f>#REF!-";Hb!g="</f>
        <v>#REF!</v>
      </c>
      <c r="EF23" t="e">
        <f>#REF!-";Hb!g&gt;"</f>
        <v>#REF!</v>
      </c>
      <c r="EG23" t="e">
        <f>#REF!-";Hb!g?"</f>
        <v>#REF!</v>
      </c>
      <c r="EH23" t="e">
        <f>#REF!-";Hb!g@"</f>
        <v>#REF!</v>
      </c>
      <c r="EI23" t="e">
        <f>#REF!-";Hb!gA"</f>
        <v>#REF!</v>
      </c>
      <c r="EJ23" t="e">
        <f>#REF!-";Hb!gB"</f>
        <v>#REF!</v>
      </c>
      <c r="EK23" t="e">
        <f>#REF!-";Hb!gC"</f>
        <v>#REF!</v>
      </c>
      <c r="EL23" t="e">
        <f>#REF!-";Hb!gD"</f>
        <v>#REF!</v>
      </c>
      <c r="EM23" t="e">
        <f>#REF!-";Hb!gE"</f>
        <v>#REF!</v>
      </c>
      <c r="EN23" t="e">
        <f>#REF!-";Hb!gF"</f>
        <v>#REF!</v>
      </c>
      <c r="EO23" t="e">
        <f>#REF!-";Hb!gG"</f>
        <v>#REF!</v>
      </c>
      <c r="EP23" t="e">
        <f>#REF!-";Hb!gH"</f>
        <v>#REF!</v>
      </c>
      <c r="EQ23" t="e">
        <f>#REF!-";Hb!gI"</f>
        <v>#REF!</v>
      </c>
      <c r="ER23" t="e">
        <f>#REF!-";Hb!gJ"</f>
        <v>#REF!</v>
      </c>
      <c r="ES23" t="e">
        <f>#REF!-";Hb!gK"</f>
        <v>#REF!</v>
      </c>
      <c r="ET23" t="e">
        <f>#REF!-";Hb!gL"</f>
        <v>#REF!</v>
      </c>
      <c r="EU23" t="e">
        <f>#REF!-";Hb!gM"</f>
        <v>#REF!</v>
      </c>
      <c r="EV23" t="e">
        <f>#REF!-";Hb!gN"</f>
        <v>#REF!</v>
      </c>
      <c r="EW23" t="e">
        <f>#REF!-";Hb!gO"</f>
        <v>#REF!</v>
      </c>
      <c r="EX23" t="e">
        <f>#REF!-";Hb!gP"</f>
        <v>#REF!</v>
      </c>
      <c r="EY23" t="e">
        <f>#REF!-";Hb!gQ"</f>
        <v>#REF!</v>
      </c>
      <c r="EZ23" t="e">
        <f>#REF!-";Hb!gR"</f>
        <v>#REF!</v>
      </c>
      <c r="FA23" t="e">
        <f>#REF!-";Hb!gS"</f>
        <v>#REF!</v>
      </c>
      <c r="FB23" t="e">
        <f>#REF!-";Hb!gT"</f>
        <v>#REF!</v>
      </c>
      <c r="FC23" t="e">
        <f>#REF!-";Hb!gU"</f>
        <v>#REF!</v>
      </c>
      <c r="FD23" t="e">
        <f>#REF!-";Hb!gV"</f>
        <v>#REF!</v>
      </c>
      <c r="FE23" t="e">
        <f>#REF!-";Hb!gW"</f>
        <v>#REF!</v>
      </c>
      <c r="FF23" t="e">
        <f>#REF!-";Hb!gX"</f>
        <v>#REF!</v>
      </c>
      <c r="FG23" t="e">
        <f>#REF!-";Hb!gY"</f>
        <v>#REF!</v>
      </c>
      <c r="FH23" t="e">
        <f>#REF!-";Hb!gZ"</f>
        <v>#REF!</v>
      </c>
      <c r="FI23" t="e">
        <f>#REF!-";Hb!g["</f>
        <v>#REF!</v>
      </c>
      <c r="FJ23" t="e">
        <f>#REF!-";Hb!g\"</f>
        <v>#REF!</v>
      </c>
      <c r="FK23" t="e">
        <f>#REF!-";Hb!g]"</f>
        <v>#REF!</v>
      </c>
      <c r="FL23" t="e">
        <f>#REF!-";Hb!g^"</f>
        <v>#REF!</v>
      </c>
      <c r="FM23" t="e">
        <f>#REF!-";Hb!g_"</f>
        <v>#REF!</v>
      </c>
      <c r="FN23" t="e">
        <f>#REF!-";Hb!g`"</f>
        <v>#REF!</v>
      </c>
      <c r="FO23" t="e">
        <f>#REF!-";Hb!ga"</f>
        <v>#REF!</v>
      </c>
      <c r="FP23" t="e">
        <f>#REF!-";Hb!gb"</f>
        <v>#REF!</v>
      </c>
      <c r="FQ23" t="e">
        <f>#REF!-";Hb!gc"</f>
        <v>#REF!</v>
      </c>
      <c r="FR23" t="e">
        <f>#REF!-";Hb!gd"</f>
        <v>#REF!</v>
      </c>
      <c r="FS23" t="e">
        <f>#REF!-";Hb!ge"</f>
        <v>#REF!</v>
      </c>
      <c r="FT23" t="e">
        <f>#REF!-";Hb!gf"</f>
        <v>#REF!</v>
      </c>
      <c r="FU23" t="e">
        <f>#REF!-";Hb!gg"</f>
        <v>#REF!</v>
      </c>
      <c r="FV23" t="e">
        <f>#REF!-";Hb!gh"</f>
        <v>#REF!</v>
      </c>
      <c r="FW23" t="e">
        <f>#REF!-";Hb!gi"</f>
        <v>#REF!</v>
      </c>
      <c r="FX23" t="e">
        <f>#REF!-";Hb!gj"</f>
        <v>#REF!</v>
      </c>
      <c r="FY23" t="e">
        <f>#REF!-";Hb!gk"</f>
        <v>#REF!</v>
      </c>
      <c r="FZ23" t="e">
        <f>#REF!-";Hb!gl"</f>
        <v>#REF!</v>
      </c>
      <c r="GA23" t="e">
        <f>#REF!-";Hb!gm"</f>
        <v>#REF!</v>
      </c>
      <c r="GB23" t="e">
        <f>#REF!-";Hb!gn"</f>
        <v>#REF!</v>
      </c>
      <c r="GC23" t="e">
        <f>#REF!-";Hb!go"</f>
        <v>#REF!</v>
      </c>
      <c r="GD23" t="e">
        <f>#REF!-";Hb!gp"</f>
        <v>#REF!</v>
      </c>
      <c r="GE23" t="e">
        <f>#REF!-";Hb!gq"</f>
        <v>#REF!</v>
      </c>
      <c r="GF23" t="e">
        <f>#REF!-";Hb!gr"</f>
        <v>#REF!</v>
      </c>
      <c r="GG23" t="e">
        <f>#REF!-";Hb!gs"</f>
        <v>#REF!</v>
      </c>
      <c r="GH23" t="e">
        <f>#REF!-";Hb!gt"</f>
        <v>#REF!</v>
      </c>
      <c r="GI23" t="e">
        <f>#REF!-";Hb!gu"</f>
        <v>#REF!</v>
      </c>
      <c r="GJ23" t="e">
        <f>#REF!-";Hb!gv"</f>
        <v>#REF!</v>
      </c>
      <c r="GK23" t="e">
        <f>#REF!-";Hb!gw"</f>
        <v>#REF!</v>
      </c>
      <c r="GL23" t="e">
        <f>#REF!-";Hb!gx"</f>
        <v>#REF!</v>
      </c>
      <c r="GM23" t="e">
        <f>#REF!-";Hb!gy"</f>
        <v>#REF!</v>
      </c>
      <c r="GN23" t="e">
        <f>#REF!-";Hb!gz"</f>
        <v>#REF!</v>
      </c>
      <c r="GO23" t="e">
        <f>#REF!-";Hb!g{"</f>
        <v>#REF!</v>
      </c>
      <c r="GP23" t="e">
        <f>#REF!-";Hb!g|"</f>
        <v>#REF!</v>
      </c>
      <c r="GQ23" t="e">
        <f>#REF!-";Hb!g}"</f>
        <v>#REF!</v>
      </c>
      <c r="GR23" t="e">
        <f>#REF!-";Hb!g~"</f>
        <v>#REF!</v>
      </c>
      <c r="GS23" t="e">
        <f>#REF!-";Hb!h#"</f>
        <v>#REF!</v>
      </c>
      <c r="GT23" t="e">
        <f>#REF!-";Hb!h$"</f>
        <v>#REF!</v>
      </c>
      <c r="GU23" t="e">
        <f>#REF!-";Hb!h%"</f>
        <v>#REF!</v>
      </c>
      <c r="GV23" t="e">
        <f>#REF!-";Hb!h&amp;"</f>
        <v>#REF!</v>
      </c>
      <c r="GW23" t="e">
        <f>#REF!-";Hb!h'"</f>
        <v>#REF!</v>
      </c>
      <c r="GX23" t="e">
        <f>#REF!-";Hb!h("</f>
        <v>#REF!</v>
      </c>
      <c r="GY23" t="e">
        <f>#REF!-";Hb!h)"</f>
        <v>#REF!</v>
      </c>
      <c r="GZ23" t="e">
        <f>#REF!-";Hb!h."</f>
        <v>#REF!</v>
      </c>
      <c r="HA23" t="e">
        <f>#REF!-";Hb!h/"</f>
        <v>#REF!</v>
      </c>
      <c r="HB23" t="e">
        <f>#REF!-";Hb!h0"</f>
        <v>#REF!</v>
      </c>
      <c r="HC23" t="e">
        <f>#REF!-";Hb!h1"</f>
        <v>#REF!</v>
      </c>
      <c r="HD23" t="e">
        <f>#REF!-";Hb!h2"</f>
        <v>#REF!</v>
      </c>
      <c r="HE23" t="e">
        <f>#REF!-";Hb!h3"</f>
        <v>#REF!</v>
      </c>
      <c r="HF23" t="e">
        <f>#REF!-";Hb!h4"</f>
        <v>#REF!</v>
      </c>
      <c r="HG23" t="e">
        <f>#REF!-";Hb!h5"</f>
        <v>#REF!</v>
      </c>
      <c r="HH23" t="e">
        <f>#REF!-";Hb!h6"</f>
        <v>#REF!</v>
      </c>
      <c r="HI23" t="e">
        <f>#REF!-";Hb!h7"</f>
        <v>#REF!</v>
      </c>
      <c r="HJ23" t="e">
        <f>#REF!-";Hb!h8"</f>
        <v>#REF!</v>
      </c>
      <c r="HK23" t="e">
        <f>#REF!-";Hb!h9"</f>
        <v>#REF!</v>
      </c>
      <c r="HL23" t="e">
        <f>#REF!-";Hb!h:"</f>
        <v>#REF!</v>
      </c>
      <c r="HM23" t="e">
        <f>#REF!-";Hb!h;"</f>
        <v>#REF!</v>
      </c>
      <c r="HN23" t="e">
        <f>#REF!-";Hb!h&lt;"</f>
        <v>#REF!</v>
      </c>
      <c r="HO23" t="e">
        <f>#REF!-";Hb!h="</f>
        <v>#REF!</v>
      </c>
      <c r="HP23" t="e">
        <f>#REF!-";Hb!h&gt;"</f>
        <v>#REF!</v>
      </c>
      <c r="HQ23" t="e">
        <f>#REF!-";Hb!h?"</f>
        <v>#REF!</v>
      </c>
      <c r="HR23" t="e">
        <f>#REF!-";Hb!h@"</f>
        <v>#REF!</v>
      </c>
      <c r="HS23" t="e">
        <f>#REF!-";Hb!hA"</f>
        <v>#REF!</v>
      </c>
      <c r="HT23" t="e">
        <f>#REF!-";Hb!hB"</f>
        <v>#REF!</v>
      </c>
      <c r="HU23" t="e">
        <f>#REF!-";Hb!hC"</f>
        <v>#REF!</v>
      </c>
      <c r="HV23" t="e">
        <f>#REF!-";Hb!hD"</f>
        <v>#REF!</v>
      </c>
      <c r="HW23" t="e">
        <f>#REF!-";Hb!hE"</f>
        <v>#REF!</v>
      </c>
      <c r="HX23" t="e">
        <f>#REF!-";Hb!hF"</f>
        <v>#REF!</v>
      </c>
      <c r="HY23" t="e">
        <f>#REF!-";Hb!hG"</f>
        <v>#REF!</v>
      </c>
      <c r="HZ23" t="e">
        <f>#REF!-";Hb!hH"</f>
        <v>#REF!</v>
      </c>
      <c r="IA23" t="e">
        <f>#REF!-";Hb!hI"</f>
        <v>#REF!</v>
      </c>
      <c r="IB23" t="e">
        <f>#REF!-";Hb!hJ"</f>
        <v>#REF!</v>
      </c>
      <c r="IC23" t="e">
        <f>#REF!-";Hb!hK"</f>
        <v>#REF!</v>
      </c>
      <c r="ID23" t="e">
        <f>#REF!-";Hb!hL"</f>
        <v>#REF!</v>
      </c>
      <c r="IE23" t="e">
        <f>#REF!-";Hb!hM"</f>
        <v>#REF!</v>
      </c>
      <c r="IF23" t="e">
        <f>#REF!-";Hb!hN"</f>
        <v>#REF!</v>
      </c>
      <c r="IG23" t="e">
        <f>#REF!-";Hb!hO"</f>
        <v>#REF!</v>
      </c>
      <c r="IH23" t="e">
        <f>#REF!-";Hb!hP"</f>
        <v>#REF!</v>
      </c>
      <c r="II23" t="e">
        <f>#REF!-";Hb!hQ"</f>
        <v>#REF!</v>
      </c>
      <c r="IJ23" t="e">
        <f>#REF!-";Hb!hR"</f>
        <v>#REF!</v>
      </c>
      <c r="IK23" t="e">
        <f>#REF!-";Hb!hS"</f>
        <v>#REF!</v>
      </c>
      <c r="IL23" t="e">
        <f>#REF!-";Hb!hT"</f>
        <v>#REF!</v>
      </c>
      <c r="IM23" t="e">
        <f>#REF!-";Hb!hU"</f>
        <v>#REF!</v>
      </c>
      <c r="IN23" t="e">
        <f>#REF!-";Hb!hV"</f>
        <v>#REF!</v>
      </c>
      <c r="IO23" t="e">
        <f>#REF!-";Hb!hW"</f>
        <v>#REF!</v>
      </c>
      <c r="IP23" t="e">
        <f>#REF!-";Hb!hX"</f>
        <v>#REF!</v>
      </c>
      <c r="IQ23" t="e">
        <f>#REF!-";Hb!hY"</f>
        <v>#REF!</v>
      </c>
      <c r="IR23" t="e">
        <f>#REF!-";Hb!hZ"</f>
        <v>#REF!</v>
      </c>
      <c r="IS23" t="e">
        <f>#REF!-";Hb!h["</f>
        <v>#REF!</v>
      </c>
      <c r="IT23" t="e">
        <f>#REF!-";Hb!h\"</f>
        <v>#REF!</v>
      </c>
      <c r="IU23" t="e">
        <f>#REF!-";Hb!h]"</f>
        <v>#REF!</v>
      </c>
      <c r="IV23" t="e">
        <f>#REF!-";Hb!h^"</f>
        <v>#REF!</v>
      </c>
    </row>
    <row r="24" spans="6:256" x14ac:dyDescent="0.25">
      <c r="F24" t="e">
        <f>#REF!-";Hb!h_"</f>
        <v>#REF!</v>
      </c>
      <c r="G24" t="e">
        <f>#REF!-";Hb!h`"</f>
        <v>#REF!</v>
      </c>
      <c r="H24" t="e">
        <f>#REF!-";Hb!ha"</f>
        <v>#REF!</v>
      </c>
      <c r="I24" t="e">
        <f>#REF!-";Hb!hb"</f>
        <v>#REF!</v>
      </c>
      <c r="J24" t="e">
        <f>#REF!-";Hb!hc"</f>
        <v>#REF!</v>
      </c>
      <c r="K24" t="e">
        <f>#REF!-";Hb!hd"</f>
        <v>#REF!</v>
      </c>
      <c r="L24" t="e">
        <f>#REF!-";Hb!he"</f>
        <v>#REF!</v>
      </c>
      <c r="M24" t="e">
        <f>#REF!-";Hb!hf"</f>
        <v>#REF!</v>
      </c>
      <c r="N24" t="e">
        <f>#REF!-";Hb!hg"</f>
        <v>#REF!</v>
      </c>
      <c r="O24" t="e">
        <f>#REF!-";Hb!hh"</f>
        <v>#REF!</v>
      </c>
      <c r="P24" t="e">
        <f>#REF!-";Hb!hi"</f>
        <v>#REF!</v>
      </c>
      <c r="Q24" t="e">
        <f>#REF!-";Hb!hj"</f>
        <v>#REF!</v>
      </c>
      <c r="R24" t="e">
        <f>#REF!-";Hb!hk"</f>
        <v>#REF!</v>
      </c>
      <c r="S24" t="e">
        <f>#REF!-";Hb!hl"</f>
        <v>#REF!</v>
      </c>
      <c r="T24" t="e">
        <f>#REF!-";Hb!hm"</f>
        <v>#REF!</v>
      </c>
      <c r="U24" t="e">
        <f>#REF!-";Hb!hn"</f>
        <v>#REF!</v>
      </c>
      <c r="V24" t="e">
        <f>#REF!-";Hb!ho"</f>
        <v>#REF!</v>
      </c>
      <c r="W24" t="e">
        <f>#REF!-";Hb!hp"</f>
        <v>#REF!</v>
      </c>
      <c r="X24" t="e">
        <f>#REF!-";Hb!hq"</f>
        <v>#REF!</v>
      </c>
      <c r="Y24" t="e">
        <f>#REF!-";Hb!hr"</f>
        <v>#REF!</v>
      </c>
      <c r="Z24" t="e">
        <f>#REF!-";Hb!hs"</f>
        <v>#REF!</v>
      </c>
      <c r="AA24" t="e">
        <f>#REF!-";Hb!ht"</f>
        <v>#REF!</v>
      </c>
      <c r="AB24" t="e">
        <f>#REF!-";Hb!hu"</f>
        <v>#REF!</v>
      </c>
      <c r="AC24" t="e">
        <f>#REF!-";Hb!hv"</f>
        <v>#REF!</v>
      </c>
      <c r="AD24" t="e">
        <f>#REF!-";Hb!hw"</f>
        <v>#REF!</v>
      </c>
      <c r="AE24" t="e">
        <f>#REF!-";Hb!hx"</f>
        <v>#REF!</v>
      </c>
      <c r="AF24" t="e">
        <f>#REF!-";Hb!hy"</f>
        <v>#REF!</v>
      </c>
      <c r="AG24" t="e">
        <f>#REF!-";Hb!hz"</f>
        <v>#REF!</v>
      </c>
      <c r="AH24" t="e">
        <f>#REF!-";Hb!h{"</f>
        <v>#REF!</v>
      </c>
      <c r="AI24" t="e">
        <f>#REF!-";Hb!h|"</f>
        <v>#REF!</v>
      </c>
      <c r="AJ24" t="e">
        <f>#REF!-";Hb!h}"</f>
        <v>#REF!</v>
      </c>
      <c r="AK24" t="e">
        <f>#REF!-";Hb!h~"</f>
        <v>#REF!</v>
      </c>
      <c r="AL24" t="e">
        <f>#REF!-";Hb!i#"</f>
        <v>#REF!</v>
      </c>
      <c r="AM24" t="e">
        <f>#REF!-";Hb!i$"</f>
        <v>#REF!</v>
      </c>
      <c r="AN24" t="e">
        <f>#REF!-";Hb!i%"</f>
        <v>#REF!</v>
      </c>
      <c r="AO24" t="e">
        <f>#REF!-";Hb!i&amp;"</f>
        <v>#REF!</v>
      </c>
      <c r="AP24" t="e">
        <f>#REF!-";Hb!i'"</f>
        <v>#REF!</v>
      </c>
      <c r="AQ24" t="e">
        <f>#REF!-";Hb!i("</f>
        <v>#REF!</v>
      </c>
      <c r="AR24" t="e">
        <f>#REF!-";Hb!i)"</f>
        <v>#REF!</v>
      </c>
      <c r="AS24" t="e">
        <f>#REF!-";Hb!i."</f>
        <v>#REF!</v>
      </c>
      <c r="AT24" t="e">
        <f>#REF!-";Hb!i/"</f>
        <v>#REF!</v>
      </c>
      <c r="AU24" t="e">
        <f>#REF!-";Hb!i0"</f>
        <v>#REF!</v>
      </c>
      <c r="AV24" t="e">
        <f>#REF!-";Hb!i1"</f>
        <v>#REF!</v>
      </c>
      <c r="AW24" t="e">
        <f>#REF!-";Hb!i2"</f>
        <v>#REF!</v>
      </c>
      <c r="AX24" t="e">
        <f>#REF!-";Hb!i3"</f>
        <v>#REF!</v>
      </c>
      <c r="AY24" t="e">
        <f>#REF!-";Hb!i4"</f>
        <v>#REF!</v>
      </c>
      <c r="AZ24" t="e">
        <f>#REF!-";Hb!i5"</f>
        <v>#REF!</v>
      </c>
      <c r="BA24" t="e">
        <f>#REF!-";Hb!i6"</f>
        <v>#REF!</v>
      </c>
      <c r="BB24" t="e">
        <f>#REF!-";Hb!i7"</f>
        <v>#REF!</v>
      </c>
      <c r="BC24" t="e">
        <f>#REF!-";Hb!i8"</f>
        <v>#REF!</v>
      </c>
      <c r="BD24" t="e">
        <f>#REF!-";Hb!i9"</f>
        <v>#REF!</v>
      </c>
      <c r="BE24" t="e">
        <f>#REF!-";Hb!i:"</f>
        <v>#REF!</v>
      </c>
      <c r="BF24" t="e">
        <f>#REF!-";Hb!i;"</f>
        <v>#REF!</v>
      </c>
      <c r="BG24" t="e">
        <f>#REF!-";Hb!i&lt;"</f>
        <v>#REF!</v>
      </c>
      <c r="BH24" t="e">
        <f>#REF!-";Hb!i="</f>
        <v>#REF!</v>
      </c>
      <c r="BI24" t="e">
        <f>#REF!-";Hb!i&gt;"</f>
        <v>#REF!</v>
      </c>
      <c r="BJ24" t="e">
        <f>#REF!-";Hb!i?"</f>
        <v>#REF!</v>
      </c>
      <c r="BK24" t="e">
        <f>#REF!-";Hb!i@"</f>
        <v>#REF!</v>
      </c>
      <c r="BL24" t="e">
        <f>#REF!-";Hb!iA"</f>
        <v>#REF!</v>
      </c>
      <c r="BM24" t="e">
        <f>#REF!-";Hb!iB"</f>
        <v>#REF!</v>
      </c>
      <c r="BN24" t="e">
        <f>#REF!-";Hb!iC"</f>
        <v>#REF!</v>
      </c>
      <c r="BO24" t="e">
        <f>#REF!-";Hb!iD"</f>
        <v>#REF!</v>
      </c>
      <c r="BP24" t="e">
        <f>#REF!-";Hb!iE"</f>
        <v>#REF!</v>
      </c>
      <c r="BQ24" t="e">
        <f>#REF!-";Hb!iF"</f>
        <v>#REF!</v>
      </c>
      <c r="BR24" t="e">
        <f>#REF!-";Hb!iG"</f>
        <v>#REF!</v>
      </c>
      <c r="BS24" t="e">
        <f>#REF!-";Hb!iH"</f>
        <v>#REF!</v>
      </c>
      <c r="BT24" t="e">
        <f>#REF!-";Hb!iI"</f>
        <v>#REF!</v>
      </c>
      <c r="BU24" t="e">
        <f>#REF!-";Hb!iJ"</f>
        <v>#REF!</v>
      </c>
      <c r="BV24" t="e">
        <f>#REF!-";Hb!iK"</f>
        <v>#REF!</v>
      </c>
      <c r="BW24" t="e">
        <f>#REF!-";Hb!iL"</f>
        <v>#REF!</v>
      </c>
      <c r="BX24" t="e">
        <f>#REF!-";Hb!iM"</f>
        <v>#REF!</v>
      </c>
      <c r="BY24" t="e">
        <f>#REF!-";Hb!iN"</f>
        <v>#REF!</v>
      </c>
      <c r="BZ24" t="e">
        <f>#REF!-";Hb!iO"</f>
        <v>#REF!</v>
      </c>
      <c r="CA24" t="e">
        <f>#REF!-";Hb!iP"</f>
        <v>#REF!</v>
      </c>
      <c r="CB24" t="e">
        <f>#REF!-";Hb!iQ"</f>
        <v>#REF!</v>
      </c>
      <c r="CC24" t="e">
        <f>#REF!-";Hb!iR"</f>
        <v>#REF!</v>
      </c>
      <c r="CD24" t="e">
        <f>#REF!-";Hb!iS"</f>
        <v>#REF!</v>
      </c>
      <c r="CE24" t="e">
        <f>#REF!-";Hb!iT"</f>
        <v>#REF!</v>
      </c>
      <c r="CF24" t="e">
        <f>#REF!-";Hb!iU"</f>
        <v>#REF!</v>
      </c>
      <c r="CG24" t="e">
        <f>#REF!-";Hb!iV"</f>
        <v>#REF!</v>
      </c>
      <c r="CH24" t="e">
        <f>#REF!-";Hb!iW"</f>
        <v>#REF!</v>
      </c>
      <c r="CI24" t="e">
        <f>#REF!-";Hb!iX"</f>
        <v>#REF!</v>
      </c>
      <c r="CJ24" t="e">
        <f>#REF!-";Hb!iY"</f>
        <v>#REF!</v>
      </c>
      <c r="CK24" t="e">
        <f>#REF!-";Hb!iZ"</f>
        <v>#REF!</v>
      </c>
      <c r="CL24" t="e">
        <f>#REF!-";Hb!i["</f>
        <v>#REF!</v>
      </c>
      <c r="CM24" t="e">
        <f>#REF!-";Hb!i\"</f>
        <v>#REF!</v>
      </c>
      <c r="CN24" t="e">
        <f>#REF!-";Hb!i]"</f>
        <v>#REF!</v>
      </c>
      <c r="CO24" t="e">
        <f>#REF!-";Hb!i^"</f>
        <v>#REF!</v>
      </c>
      <c r="CP24" t="e">
        <f>#REF!-";Hb!i_"</f>
        <v>#REF!</v>
      </c>
      <c r="CQ24" t="e">
        <f>#REF!-";Hb!i`"</f>
        <v>#REF!</v>
      </c>
      <c r="CR24" t="e">
        <f>#REF!-";Hb!ia"</f>
        <v>#REF!</v>
      </c>
      <c r="CS24" t="e">
        <f>#REF!-";Hb!ib"</f>
        <v>#REF!</v>
      </c>
      <c r="CT24" t="e">
        <f>#REF!-";Hb!ic"</f>
        <v>#REF!</v>
      </c>
      <c r="CU24" t="e">
        <f>#REF!-";Hb!id"</f>
        <v>#REF!</v>
      </c>
      <c r="CV24" t="e">
        <f>#REF!-";Hb!ie"</f>
        <v>#REF!</v>
      </c>
      <c r="CW24" t="e">
        <f>#REF!-";Hb!if"</f>
        <v>#REF!</v>
      </c>
      <c r="CX24" t="e">
        <f>#REF!-";Hb!ig"</f>
        <v>#REF!</v>
      </c>
      <c r="CY24" t="e">
        <f>#REF!-";Hb!ih"</f>
        <v>#REF!</v>
      </c>
      <c r="CZ24" t="e">
        <f>#REF!-";Hb!ii"</f>
        <v>#REF!</v>
      </c>
      <c r="DA24" t="e">
        <f>#REF!-";Hb!ij"</f>
        <v>#REF!</v>
      </c>
      <c r="DB24" t="e">
        <f>#REF!-";Hb!ik"</f>
        <v>#REF!</v>
      </c>
      <c r="DC24" t="e">
        <f>#REF!-";Hb!il"</f>
        <v>#REF!</v>
      </c>
      <c r="DD24" t="e">
        <f>#REF!-";Hb!im"</f>
        <v>#REF!</v>
      </c>
      <c r="DE24" t="e">
        <f>#REF!-";Hb!in"</f>
        <v>#REF!</v>
      </c>
      <c r="DF24" t="e">
        <f>#REF!-";Hb!io"</f>
        <v>#REF!</v>
      </c>
      <c r="DG24" t="e">
        <f>#REF!-";Hb!ip"</f>
        <v>#REF!</v>
      </c>
      <c r="DH24" t="e">
        <f>#REF!-";Hb!iq"</f>
        <v>#REF!</v>
      </c>
      <c r="DI24" t="e">
        <f>#REF!-";Hb!ir"</f>
        <v>#REF!</v>
      </c>
      <c r="DJ24" t="e">
        <f>#REF!-";Hb!is"</f>
        <v>#REF!</v>
      </c>
      <c r="DK24" t="e">
        <f>#REF!-";Hb!it"</f>
        <v>#REF!</v>
      </c>
      <c r="DL24" t="e">
        <f>#REF!-";Hb!iu"</f>
        <v>#REF!</v>
      </c>
      <c r="DM24" t="e">
        <f>#REF!-";Hb!iv"</f>
        <v>#REF!</v>
      </c>
      <c r="DN24" t="e">
        <f>#REF!-";Hb!iw"</f>
        <v>#REF!</v>
      </c>
      <c r="DO24" t="e">
        <f>#REF!-";Hb!ix"</f>
        <v>#REF!</v>
      </c>
      <c r="DP24" t="e">
        <f>#REF!-";Hb!iy"</f>
        <v>#REF!</v>
      </c>
      <c r="DQ24" t="e">
        <f>#REF!-";Hb!iz"</f>
        <v>#REF!</v>
      </c>
      <c r="DR24" t="e">
        <f>#REF!-";Hb!i{"</f>
        <v>#REF!</v>
      </c>
      <c r="DS24" t="e">
        <f>#REF!-";Hb!i|"</f>
        <v>#REF!</v>
      </c>
      <c r="DT24" t="e">
        <f>#REF!-";Hb!i}"</f>
        <v>#REF!</v>
      </c>
      <c r="DU24" t="e">
        <f>#REF!-";Hb!i~"</f>
        <v>#REF!</v>
      </c>
      <c r="DV24" t="e">
        <f>#REF!-";Hb!j#"</f>
        <v>#REF!</v>
      </c>
      <c r="DW24" t="e">
        <f>#REF!-";Hb!j$"</f>
        <v>#REF!</v>
      </c>
      <c r="DX24" t="e">
        <f>#REF!-";Hb!j%"</f>
        <v>#REF!</v>
      </c>
      <c r="DY24" t="e">
        <f>#REF!-";Hb!j&amp;"</f>
        <v>#REF!</v>
      </c>
      <c r="DZ24" t="e">
        <f>#REF!-";Hb!j'"</f>
        <v>#REF!</v>
      </c>
      <c r="EA24" t="e">
        <f>#REF!-";Hb!j("</f>
        <v>#REF!</v>
      </c>
      <c r="EB24" t="e">
        <f>#REF!-";Hb!j)"</f>
        <v>#REF!</v>
      </c>
      <c r="EC24" t="e">
        <f>#REF!-";Hb!j."</f>
        <v>#REF!</v>
      </c>
      <c r="ED24" t="e">
        <f>#REF!-";Hb!j/"</f>
        <v>#REF!</v>
      </c>
      <c r="EE24" t="e">
        <f>#REF!-";Hb!j0"</f>
        <v>#REF!</v>
      </c>
      <c r="EF24" t="e">
        <f>#REF!-";Hb!j1"</f>
        <v>#REF!</v>
      </c>
      <c r="EG24" t="e">
        <f>#REF!-";Hb!j2"</f>
        <v>#REF!</v>
      </c>
      <c r="EH24" t="e">
        <f>#REF!-";Hb!j3"</f>
        <v>#REF!</v>
      </c>
      <c r="EI24" t="e">
        <f>#REF!-";Hb!j4"</f>
        <v>#REF!</v>
      </c>
      <c r="EJ24" t="e">
        <f>#REF!-";Hb!j5"</f>
        <v>#REF!</v>
      </c>
      <c r="EK24" t="e">
        <f>#REF!-";Hb!j6"</f>
        <v>#REF!</v>
      </c>
      <c r="EL24" t="e">
        <f>#REF!-";Hb!j7"</f>
        <v>#REF!</v>
      </c>
      <c r="EM24" t="e">
        <f>#REF!-";Hb!j8"</f>
        <v>#REF!</v>
      </c>
      <c r="EN24" t="e">
        <f>#REF!-";Hb!j9"</f>
        <v>#REF!</v>
      </c>
      <c r="EO24" t="e">
        <f>#REF!-";Hb!j:"</f>
        <v>#REF!</v>
      </c>
      <c r="EP24" t="e">
        <f>#REF!-";Hb!j;"</f>
        <v>#REF!</v>
      </c>
      <c r="EQ24" t="e">
        <f>#REF!-";Hb!j&lt;"</f>
        <v>#REF!</v>
      </c>
      <c r="ER24" t="e">
        <f>#REF!-";Hb!j="</f>
        <v>#REF!</v>
      </c>
      <c r="ES24" t="e">
        <f>#REF!-";Hb!j&gt;"</f>
        <v>#REF!</v>
      </c>
      <c r="ET24" t="e">
        <f>#REF!-";Hb!j?"</f>
        <v>#REF!</v>
      </c>
      <c r="EU24" t="e">
        <f>#REF!-";Hb!j@"</f>
        <v>#REF!</v>
      </c>
      <c r="EV24" t="e">
        <f>#REF!-";Hb!jA"</f>
        <v>#REF!</v>
      </c>
      <c r="EW24" t="e">
        <f>#REF!-";Hb!jB"</f>
        <v>#REF!</v>
      </c>
      <c r="EX24" t="e">
        <f>#REF!-";Hb!jC"</f>
        <v>#REF!</v>
      </c>
      <c r="EY24" t="e">
        <f>#REF!-";Hb!jD"</f>
        <v>#REF!</v>
      </c>
      <c r="EZ24" t="e">
        <f>#REF!-";Hb!jE"</f>
        <v>#REF!</v>
      </c>
      <c r="FA24" t="e">
        <f>#REF!-";Hb!jF"</f>
        <v>#REF!</v>
      </c>
      <c r="FB24" t="e">
        <f>#REF!-";Hb!jG"</f>
        <v>#REF!</v>
      </c>
      <c r="FC24" t="e">
        <f>#REF!-";Hb!jH"</f>
        <v>#REF!</v>
      </c>
      <c r="FD24" t="e">
        <f>#REF!-";Hb!jI"</f>
        <v>#REF!</v>
      </c>
      <c r="FE24" t="e">
        <f>#REF!-";Hb!jJ"</f>
        <v>#REF!</v>
      </c>
      <c r="FF24" t="e">
        <f>#REF!-";Hb!jK"</f>
        <v>#REF!</v>
      </c>
      <c r="FG24" t="e">
        <f>#REF!-";Hb!jL"</f>
        <v>#REF!</v>
      </c>
      <c r="FH24" t="e">
        <f>#REF!-";Hb!jM"</f>
        <v>#REF!</v>
      </c>
      <c r="FI24" t="e">
        <f>#REF!-";Hb!jN"</f>
        <v>#REF!</v>
      </c>
      <c r="FJ24" t="e">
        <f>#REF!-";Hb!jO"</f>
        <v>#REF!</v>
      </c>
      <c r="FK24" t="e">
        <f>#REF!-";Hb!jP"</f>
        <v>#REF!</v>
      </c>
      <c r="FL24" t="e">
        <f>#REF!-";Hb!jQ"</f>
        <v>#REF!</v>
      </c>
      <c r="FM24" t="e">
        <f>#REF!-";Hb!jR"</f>
        <v>#REF!</v>
      </c>
      <c r="FN24" t="e">
        <f>#REF!-";Hb!jS"</f>
        <v>#REF!</v>
      </c>
      <c r="FO24" t="e">
        <f>#REF!-";Hb!jT"</f>
        <v>#REF!</v>
      </c>
      <c r="FP24" t="e">
        <f>#REF!-";Hb!jU"</f>
        <v>#REF!</v>
      </c>
      <c r="FQ24" t="e">
        <f>#REF!-";Hb!jV"</f>
        <v>#REF!</v>
      </c>
      <c r="FR24" t="e">
        <f>#REF!-";Hb!jW"</f>
        <v>#REF!</v>
      </c>
      <c r="FS24" t="e">
        <f>#REF!-";Hb!jX"</f>
        <v>#REF!</v>
      </c>
      <c r="FT24" t="e">
        <f>#REF!-";Hb!jY"</f>
        <v>#REF!</v>
      </c>
      <c r="FU24" t="e">
        <f>#REF!-";Hb!jZ"</f>
        <v>#REF!</v>
      </c>
      <c r="FV24" t="e">
        <f>#REF!-";Hb!j["</f>
        <v>#REF!</v>
      </c>
      <c r="FW24" t="e">
        <f>#REF!-";Hb!j\"</f>
        <v>#REF!</v>
      </c>
      <c r="FX24" t="e">
        <f>#REF!-";Hb!j]"</f>
        <v>#REF!</v>
      </c>
      <c r="FY24" t="e">
        <f>#REF!-";Hb!j^"</f>
        <v>#REF!</v>
      </c>
      <c r="FZ24" t="e">
        <f>#REF!-";Hb!j_"</f>
        <v>#REF!</v>
      </c>
      <c r="GA24" t="e">
        <f>#REF!-";Hb!j`"</f>
        <v>#REF!</v>
      </c>
      <c r="GB24" t="e">
        <f>#REF!-";Hb!ja"</f>
        <v>#REF!</v>
      </c>
      <c r="GC24" t="e">
        <f>#REF!-";Hb!jb"</f>
        <v>#REF!</v>
      </c>
      <c r="GD24" t="e">
        <f>#REF!-";Hb!jc"</f>
        <v>#REF!</v>
      </c>
      <c r="GE24" t="e">
        <f>#REF!-";Hb!jd"</f>
        <v>#REF!</v>
      </c>
      <c r="GF24" t="e">
        <f>#REF!-";Hb!je"</f>
        <v>#REF!</v>
      </c>
      <c r="GG24" t="e">
        <f>#REF!-";Hb!jf"</f>
        <v>#REF!</v>
      </c>
      <c r="GH24" t="e">
        <f>#REF!-";Hb!jg"</f>
        <v>#REF!</v>
      </c>
      <c r="GI24" t="e">
        <f>#REF!-";Hb!jh"</f>
        <v>#REF!</v>
      </c>
      <c r="GJ24" t="e">
        <f>#REF!-";Hb!ji"</f>
        <v>#REF!</v>
      </c>
      <c r="GK24" t="e">
        <f>#REF!-";Hb!jj"</f>
        <v>#REF!</v>
      </c>
      <c r="GL24" t="e">
        <f>#REF!-";Hb!jk"</f>
        <v>#REF!</v>
      </c>
      <c r="GM24" t="e">
        <f>#REF!-";Hb!jl"</f>
        <v>#REF!</v>
      </c>
      <c r="GN24" t="e">
        <f>#REF!-";Hb!jm"</f>
        <v>#REF!</v>
      </c>
      <c r="GO24" t="e">
        <f>#REF!-";Hb!jn"</f>
        <v>#REF!</v>
      </c>
      <c r="GP24" t="e">
        <f>#REF!-";Hb!jo"</f>
        <v>#REF!</v>
      </c>
      <c r="GQ24" t="e">
        <f>#REF!-";Hb!jp"</f>
        <v>#REF!</v>
      </c>
      <c r="GR24" t="e">
        <f>#REF!-";Hb!jq"</f>
        <v>#REF!</v>
      </c>
      <c r="GS24" t="e">
        <f>#REF!-";Hb!jr"</f>
        <v>#REF!</v>
      </c>
      <c r="GT24" t="e">
        <f>#REF!-";Hb!js"</f>
        <v>#REF!</v>
      </c>
      <c r="GU24" t="e">
        <f>#REF!-";Hb!jt"</f>
        <v>#REF!</v>
      </c>
      <c r="GV24" t="e">
        <f>#REF!-";Hb!ju"</f>
        <v>#REF!</v>
      </c>
      <c r="GW24" t="e">
        <f>#REF!-";Hb!jv"</f>
        <v>#REF!</v>
      </c>
      <c r="GX24" t="e">
        <f>#REF!-";Hb!jw"</f>
        <v>#REF!</v>
      </c>
      <c r="GY24" t="e">
        <f>#REF!-";Hb!jx"</f>
        <v>#REF!</v>
      </c>
      <c r="GZ24" t="e">
        <f>#REF!-";Hb!jy"</f>
        <v>#REF!</v>
      </c>
      <c r="HA24" t="e">
        <f>#REF!-";Hb!jz"</f>
        <v>#REF!</v>
      </c>
      <c r="HB24" t="e">
        <f>#REF!-";Hb!j{"</f>
        <v>#REF!</v>
      </c>
      <c r="HC24" t="e">
        <f>#REF!-";Hb!j|"</f>
        <v>#REF!</v>
      </c>
      <c r="HD24" t="e">
        <f>#REF!-";Hb!j}"</f>
        <v>#REF!</v>
      </c>
      <c r="HE24" t="e">
        <f>#REF!-";Hb!j~"</f>
        <v>#REF!</v>
      </c>
      <c r="HF24" t="e">
        <f>#REF!-";Hb!k#"</f>
        <v>#REF!</v>
      </c>
      <c r="HG24" t="e">
        <f>#REF!-";Hb!k$"</f>
        <v>#REF!</v>
      </c>
      <c r="HH24" t="e">
        <f>#REF!-";Hb!k%"</f>
        <v>#REF!</v>
      </c>
      <c r="HI24" t="e">
        <f>#REF!-";Hb!k&amp;"</f>
        <v>#REF!</v>
      </c>
      <c r="HJ24" t="e">
        <f>#REF!-";Hb!k'"</f>
        <v>#REF!</v>
      </c>
      <c r="HK24" t="e">
        <f>#REF!-";Hb!k("</f>
        <v>#REF!</v>
      </c>
      <c r="HL24" t="e">
        <f>#REF!-";Hb!k)"</f>
        <v>#REF!</v>
      </c>
      <c r="HM24" t="e">
        <f>#REF!-";Hb!k."</f>
        <v>#REF!</v>
      </c>
      <c r="HN24" t="e">
        <f>#REF!-";Hb!k/"</f>
        <v>#REF!</v>
      </c>
      <c r="HO24" t="e">
        <f>#REF!-";Hb!k0"</f>
        <v>#REF!</v>
      </c>
      <c r="HP24" t="e">
        <f>#REF!-";Hb!k1"</f>
        <v>#REF!</v>
      </c>
      <c r="HQ24" t="e">
        <f>#REF!-";Hb!k2"</f>
        <v>#REF!</v>
      </c>
      <c r="HR24" t="e">
        <f>#REF!-";Hb!k3"</f>
        <v>#REF!</v>
      </c>
      <c r="HS24" t="e">
        <f>#REF!-";Hb!k4"</f>
        <v>#REF!</v>
      </c>
      <c r="HT24" t="e">
        <f>#REF!-";Hb!k5"</f>
        <v>#REF!</v>
      </c>
      <c r="HU24" t="e">
        <f>#REF!-";Hb!k6"</f>
        <v>#REF!</v>
      </c>
      <c r="HV24" t="e">
        <f>#REF!-";Hb!k7"</f>
        <v>#REF!</v>
      </c>
      <c r="HW24" t="e">
        <f>#REF!-";Hb!k8"</f>
        <v>#REF!</v>
      </c>
      <c r="HX24" t="e">
        <f>#REF!-";Hb!k9"</f>
        <v>#REF!</v>
      </c>
      <c r="HY24" t="e">
        <f>#REF!-";Hb!k:"</f>
        <v>#REF!</v>
      </c>
      <c r="HZ24" t="e">
        <f>#REF!-";Hb!k;"</f>
        <v>#REF!</v>
      </c>
      <c r="IA24" t="e">
        <f>#REF!-";Hb!k&lt;"</f>
        <v>#REF!</v>
      </c>
      <c r="IB24" t="e">
        <f>#REF!-";Hb!k="</f>
        <v>#REF!</v>
      </c>
      <c r="IC24" t="e">
        <f>#REF!-";Hb!k&gt;"</f>
        <v>#REF!</v>
      </c>
      <c r="ID24" t="e">
        <f>#REF!-";Hb!k?"</f>
        <v>#REF!</v>
      </c>
      <c r="IE24" t="e">
        <f>#REF!-";Hb!k@"</f>
        <v>#REF!</v>
      </c>
      <c r="IF24" t="e">
        <f>#REF!-";Hb!kA"</f>
        <v>#REF!</v>
      </c>
      <c r="IG24" t="e">
        <f>#REF!-";Hb!kB"</f>
        <v>#REF!</v>
      </c>
      <c r="IH24" t="e">
        <f>#REF!-";Hb!kC"</f>
        <v>#REF!</v>
      </c>
      <c r="II24" t="e">
        <f>#REF!-";Hb!kD"</f>
        <v>#REF!</v>
      </c>
      <c r="IJ24" t="e">
        <f>#REF!-";Hb!kE"</f>
        <v>#REF!</v>
      </c>
      <c r="IK24" t="e">
        <f>#REF!-";Hb!kF"</f>
        <v>#REF!</v>
      </c>
      <c r="IL24" t="e">
        <f>#REF!-";Hb!kG"</f>
        <v>#REF!</v>
      </c>
      <c r="IM24" t="e">
        <f>#REF!-";Hb!kH"</f>
        <v>#REF!</v>
      </c>
      <c r="IN24" t="e">
        <f>#REF!-";Hb!kI"</f>
        <v>#REF!</v>
      </c>
      <c r="IO24" t="e">
        <f>#REF!-";Hb!kJ"</f>
        <v>#REF!</v>
      </c>
      <c r="IP24" t="e">
        <f>#REF!-";Hb!kK"</f>
        <v>#REF!</v>
      </c>
      <c r="IQ24" t="e">
        <f>#REF!-";Hb!kL"</f>
        <v>#REF!</v>
      </c>
      <c r="IR24" t="e">
        <f>#REF!-";Hb!kM"</f>
        <v>#REF!</v>
      </c>
      <c r="IS24" t="e">
        <f>#REF!-";Hb!kN"</f>
        <v>#REF!</v>
      </c>
      <c r="IT24" t="e">
        <f>#REF!-";Hb!kO"</f>
        <v>#REF!</v>
      </c>
      <c r="IU24" t="e">
        <f>#REF!-";Hb!kP"</f>
        <v>#REF!</v>
      </c>
      <c r="IV24" t="e">
        <f>#REF!-";Hb!kQ"</f>
        <v>#REF!</v>
      </c>
    </row>
    <row r="25" spans="6:256" x14ac:dyDescent="0.25">
      <c r="F25" t="e">
        <f>#REF!-";Hb!kR"</f>
        <v>#REF!</v>
      </c>
      <c r="G25" t="e">
        <f>#REF!-";Hb!kS"</f>
        <v>#REF!</v>
      </c>
      <c r="H25" t="e">
        <f>#REF!-";Hb!kT"</f>
        <v>#REF!</v>
      </c>
      <c r="I25" t="e">
        <f>#REF!-";Hb!kU"</f>
        <v>#REF!</v>
      </c>
      <c r="J25" t="e">
        <f>#REF!-";Hb!kV"</f>
        <v>#REF!</v>
      </c>
      <c r="K25" t="e">
        <f>#REF!-";Hb!kW"</f>
        <v>#REF!</v>
      </c>
      <c r="L25" t="e">
        <f>#REF!-";Hb!kX"</f>
        <v>#REF!</v>
      </c>
      <c r="M25" t="e">
        <f>#REF!-";Hb!kY"</f>
        <v>#REF!</v>
      </c>
      <c r="N25" t="e">
        <f>#REF!-";Hb!kZ"</f>
        <v>#REF!</v>
      </c>
      <c r="O25" t="e">
        <f>#REF!-";Hb!k["</f>
        <v>#REF!</v>
      </c>
      <c r="P25" t="e">
        <f>#REF!-";Hb!k\"</f>
        <v>#REF!</v>
      </c>
      <c r="Q25" t="e">
        <f>#REF!-";Hb!k]"</f>
        <v>#REF!</v>
      </c>
      <c r="R25" t="e">
        <f>#REF!-";Hb!k^"</f>
        <v>#REF!</v>
      </c>
      <c r="S25" t="e">
        <f>#REF!-";Hb!k_"</f>
        <v>#REF!</v>
      </c>
      <c r="T25" t="e">
        <f>#REF!-";Hb!k`"</f>
        <v>#REF!</v>
      </c>
      <c r="U25" t="e">
        <f>#REF!-";Hb!ka"</f>
        <v>#REF!</v>
      </c>
      <c r="V25" t="e">
        <f>#REF!-";Hb!kb"</f>
        <v>#REF!</v>
      </c>
      <c r="W25" t="e">
        <f>#REF!-";Hb!kc"</f>
        <v>#REF!</v>
      </c>
      <c r="X25" t="e">
        <f>#REF!-";Hb!kd"</f>
        <v>#REF!</v>
      </c>
      <c r="Y25" t="e">
        <f>#REF!-";Hb!ke"</f>
        <v>#REF!</v>
      </c>
      <c r="Z25" t="e">
        <f>#REF!-";Hb!kf"</f>
        <v>#REF!</v>
      </c>
      <c r="AA25" t="e">
        <f>#REF!-";Hb!kg"</f>
        <v>#REF!</v>
      </c>
      <c r="AB25" t="e">
        <f>#REF!-";Hb!kh"</f>
        <v>#REF!</v>
      </c>
      <c r="AC25" t="e">
        <f>#REF!-";Hb!ki"</f>
        <v>#REF!</v>
      </c>
      <c r="AD25" t="e">
        <f>#REF!-";Hb!kj"</f>
        <v>#REF!</v>
      </c>
      <c r="AE25" t="e">
        <f>#REF!-";Hb!kk"</f>
        <v>#REF!</v>
      </c>
      <c r="AF25" t="e">
        <f>#REF!-";Hb!kl"</f>
        <v>#REF!</v>
      </c>
      <c r="AG25" t="e">
        <f>#REF!-";Hb!km"</f>
        <v>#REF!</v>
      </c>
      <c r="AH25" t="e">
        <f>#REF!-";Hb!kn"</f>
        <v>#REF!</v>
      </c>
      <c r="AI25" t="e">
        <f>#REF!-";Hb!ko"</f>
        <v>#REF!</v>
      </c>
      <c r="AJ25" t="e">
        <f>#REF!-";Hb!kp"</f>
        <v>#REF!</v>
      </c>
      <c r="AK25" t="e">
        <f>#REF!-";Hb!kq"</f>
        <v>#REF!</v>
      </c>
      <c r="AL25" t="e">
        <f>#REF!-";Hb!kr"</f>
        <v>#REF!</v>
      </c>
      <c r="AM25" t="e">
        <f>#REF!-";Hb!ks"</f>
        <v>#REF!</v>
      </c>
      <c r="AN25" t="e">
        <f>#REF!-";Hb!kt"</f>
        <v>#REF!</v>
      </c>
      <c r="AO25" t="e">
        <f>#REF!-";Hb!ku"</f>
        <v>#REF!</v>
      </c>
      <c r="AP25" t="e">
        <f>#REF!-";Hb!kv"</f>
        <v>#REF!</v>
      </c>
      <c r="AQ25" t="e">
        <f>#REF!-";Hb!kw"</f>
        <v>#REF!</v>
      </c>
      <c r="AR25" t="e">
        <f>#REF!-";Hb!kx"</f>
        <v>#REF!</v>
      </c>
      <c r="AS25" t="e">
        <f>#REF!-";Hb!ky"</f>
        <v>#REF!</v>
      </c>
      <c r="AT25" t="e">
        <f>#REF!-";Hb!kz"</f>
        <v>#REF!</v>
      </c>
      <c r="AU25" t="e">
        <f>#REF!-";Hb!k{"</f>
        <v>#REF!</v>
      </c>
      <c r="AV25" t="e">
        <f>#REF!-";Hb!k|"</f>
        <v>#REF!</v>
      </c>
      <c r="AW25" t="e">
        <f>#REF!-";Hb!k}"</f>
        <v>#REF!</v>
      </c>
      <c r="AX25" t="e">
        <f>#REF!-";Hb!k~"</f>
        <v>#REF!</v>
      </c>
      <c r="AY25" t="e">
        <f>#REF!-";Hb!l#"</f>
        <v>#REF!</v>
      </c>
      <c r="AZ25" t="e">
        <f>#REF!-";Hb!l$"</f>
        <v>#REF!</v>
      </c>
      <c r="BA25" t="e">
        <f>#REF!-";Hb!l%"</f>
        <v>#REF!</v>
      </c>
      <c r="BB25" t="e">
        <f>#REF!-";Hb!l&amp;"</f>
        <v>#REF!</v>
      </c>
      <c r="BC25" t="e">
        <f>#REF!-";Hb!l'"</f>
        <v>#REF!</v>
      </c>
      <c r="BD25" t="e">
        <f>#REF!-";Hb!l("</f>
        <v>#REF!</v>
      </c>
      <c r="BE25" t="e">
        <f>#REF!-";Hb!l)"</f>
        <v>#REF!</v>
      </c>
      <c r="BF25" t="e">
        <f>#REF!-";Hb!l."</f>
        <v>#REF!</v>
      </c>
      <c r="BG25" t="e">
        <f>#REF!-";Hb!l/"</f>
        <v>#REF!</v>
      </c>
      <c r="BH25" t="e">
        <f>#REF!-";Hb!l0"</f>
        <v>#REF!</v>
      </c>
      <c r="BI25" t="e">
        <f>#REF!-";Hb!l1"</f>
        <v>#REF!</v>
      </c>
      <c r="BJ25" t="e">
        <f>#REF!-";Hb!l2"</f>
        <v>#REF!</v>
      </c>
      <c r="BK25" t="e">
        <f>#REF!-";Hb!l3"</f>
        <v>#REF!</v>
      </c>
      <c r="BL25" t="e">
        <f>#REF!-";Hb!l4"</f>
        <v>#REF!</v>
      </c>
      <c r="BM25" t="e">
        <f>#REF!-";Hb!l5"</f>
        <v>#REF!</v>
      </c>
      <c r="BN25" t="e">
        <f>#REF!-";Hb!l6"</f>
        <v>#REF!</v>
      </c>
      <c r="BO25" t="e">
        <f>#REF!-";Hb!l7"</f>
        <v>#REF!</v>
      </c>
      <c r="BP25" t="e">
        <f>#REF!-";Hb!l8"</f>
        <v>#REF!</v>
      </c>
      <c r="BQ25" t="e">
        <f>#REF!-";Hb!l9"</f>
        <v>#REF!</v>
      </c>
      <c r="BR25" t="e">
        <f>#REF!-";Hb!l:"</f>
        <v>#REF!</v>
      </c>
      <c r="BS25" t="e">
        <f>#REF!-";Hb!l;"</f>
        <v>#REF!</v>
      </c>
      <c r="BT25" t="e">
        <f>#REF!-";Hb!l&lt;"</f>
        <v>#REF!</v>
      </c>
      <c r="BU25" t="e">
        <f>#REF!-";Hb!l="</f>
        <v>#REF!</v>
      </c>
      <c r="BV25" t="e">
        <f>#REF!-";Hb!l&gt;"</f>
        <v>#REF!</v>
      </c>
      <c r="BW25" t="e">
        <f>#REF!-";Hb!l?"</f>
        <v>#REF!</v>
      </c>
      <c r="BX25" t="e">
        <f>#REF!-";Hb!l@"</f>
        <v>#REF!</v>
      </c>
      <c r="BY25" t="e">
        <f>#REF!-";Hb!lA"</f>
        <v>#REF!</v>
      </c>
      <c r="BZ25" t="e">
        <f>#REF!-";Hb!lB"</f>
        <v>#REF!</v>
      </c>
      <c r="CA25" t="e">
        <f>#REF!-";Hb!lC"</f>
        <v>#REF!</v>
      </c>
      <c r="CB25" t="e">
        <f>#REF!-";Hb!lD"</f>
        <v>#REF!</v>
      </c>
      <c r="CC25" t="e">
        <f>#REF!-";Hb!lE"</f>
        <v>#REF!</v>
      </c>
      <c r="CD25" t="e">
        <f>#REF!-";Hb!lF"</f>
        <v>#REF!</v>
      </c>
      <c r="CE25" t="e">
        <f>#REF!-";Hb!lG"</f>
        <v>#REF!</v>
      </c>
      <c r="CF25" t="e">
        <f>#REF!-";Hb!lH"</f>
        <v>#REF!</v>
      </c>
      <c r="CG25" t="e">
        <f>#REF!-";Hb!lI"</f>
        <v>#REF!</v>
      </c>
      <c r="CH25" t="e">
        <f>#REF!-";Hb!lJ"</f>
        <v>#REF!</v>
      </c>
      <c r="CI25" t="e">
        <f>#REF!-";Hb!lK"</f>
        <v>#REF!</v>
      </c>
      <c r="CJ25" t="e">
        <f>#REF!-";Hb!lL"</f>
        <v>#REF!</v>
      </c>
      <c r="CK25" t="e">
        <f>#REF!-";Hb!lM"</f>
        <v>#REF!</v>
      </c>
      <c r="CL25" t="e">
        <f>#REF!-";Hb!lN"</f>
        <v>#REF!</v>
      </c>
      <c r="CM25" t="e">
        <f>#REF!-";Hb!lO"</f>
        <v>#REF!</v>
      </c>
      <c r="CN25" t="e">
        <f>#REF!-";Hb!lP"</f>
        <v>#REF!</v>
      </c>
      <c r="CO25" t="e">
        <f>#REF!-";Hb!lQ"</f>
        <v>#REF!</v>
      </c>
      <c r="CP25" t="e">
        <f>#REF!-";Hb!lR"</f>
        <v>#REF!</v>
      </c>
      <c r="CQ25" t="e">
        <f>#REF!-";Hb!lS"</f>
        <v>#REF!</v>
      </c>
      <c r="CR25" t="e">
        <f>#REF!-";Hb!lT"</f>
        <v>#REF!</v>
      </c>
      <c r="CS25" t="e">
        <f>#REF!-";Hb!lU"</f>
        <v>#REF!</v>
      </c>
      <c r="CT25" t="e">
        <f>#REF!-";Hb!lV"</f>
        <v>#REF!</v>
      </c>
      <c r="CU25" t="e">
        <f>#REF!-";Hb!lW"</f>
        <v>#REF!</v>
      </c>
      <c r="CV25" t="e">
        <f>#REF!-";Hb!lX"</f>
        <v>#REF!</v>
      </c>
      <c r="CW25" t="e">
        <f>#REF!-";Hb!lY"</f>
        <v>#REF!</v>
      </c>
      <c r="CX25" t="e">
        <f>#REF!-";Hb!lZ"</f>
        <v>#REF!</v>
      </c>
      <c r="CY25" t="e">
        <f>#REF!-";Hb!l["</f>
        <v>#REF!</v>
      </c>
      <c r="CZ25" t="e">
        <f>#REF!-";Hb!l\"</f>
        <v>#REF!</v>
      </c>
      <c r="DA25" t="e">
        <f>#REF!-";Hb!l]"</f>
        <v>#REF!</v>
      </c>
      <c r="DB25" t="e">
        <f>#REF!-";Hb!l^"</f>
        <v>#REF!</v>
      </c>
      <c r="DC25" t="e">
        <f>#REF!-";Hb!l_"</f>
        <v>#REF!</v>
      </c>
      <c r="DD25" t="e">
        <f>#REF!-";Hb!l`"</f>
        <v>#REF!</v>
      </c>
      <c r="DE25" t="e">
        <f>#REF!-";Hb!la"</f>
        <v>#REF!</v>
      </c>
      <c r="DF25" t="e">
        <f>#REF!-";Hb!lb"</f>
        <v>#REF!</v>
      </c>
      <c r="DG25" t="e">
        <f>#REF!-";Hb!lc"</f>
        <v>#REF!</v>
      </c>
      <c r="DH25" t="e">
        <f>#REF!-";Hb!ld"</f>
        <v>#REF!</v>
      </c>
      <c r="DI25" t="e">
        <f>#REF!-";Hb!le"</f>
        <v>#REF!</v>
      </c>
      <c r="DJ25" t="e">
        <f>#REF!-";Hb!lf"</f>
        <v>#REF!</v>
      </c>
      <c r="DK25" t="e">
        <f>#REF!-";Hb!lg"</f>
        <v>#REF!</v>
      </c>
      <c r="DL25" t="e">
        <f>#REF!-";Hb!lh"</f>
        <v>#REF!</v>
      </c>
      <c r="DM25" t="e">
        <f>#REF!-";Hb!li"</f>
        <v>#REF!</v>
      </c>
      <c r="DN25" t="e">
        <f>#REF!-";Hb!lj"</f>
        <v>#REF!</v>
      </c>
      <c r="DO25" t="e">
        <f>#REF!-";Hb!lk"</f>
        <v>#REF!</v>
      </c>
      <c r="DP25" t="e">
        <f>#REF!-";Hb!ll"</f>
        <v>#REF!</v>
      </c>
      <c r="DQ25" t="e">
        <f>#REF!-";Hb!lm"</f>
        <v>#REF!</v>
      </c>
      <c r="DR25" t="e">
        <f>#REF!-";Hb!ln"</f>
        <v>#REF!</v>
      </c>
      <c r="DS25" t="e">
        <f>#REF!-";Hb!lo"</f>
        <v>#REF!</v>
      </c>
      <c r="DT25" t="e">
        <f>#REF!-";Hb!lp"</f>
        <v>#REF!</v>
      </c>
      <c r="DU25" t="e">
        <f>#REF!-";Hb!lq"</f>
        <v>#REF!</v>
      </c>
      <c r="DV25" t="e">
        <f>#REF!-";Hb!lr"</f>
        <v>#REF!</v>
      </c>
      <c r="DW25" t="e">
        <f>#REF!-";Hb!ls"</f>
        <v>#REF!</v>
      </c>
      <c r="DX25" t="e">
        <f>#REF!-";Hb!lt"</f>
        <v>#REF!</v>
      </c>
      <c r="DY25" t="e">
        <f>#REF!-";Hb!lu"</f>
        <v>#REF!</v>
      </c>
      <c r="DZ25" t="e">
        <f>#REF!-";Hb!lv"</f>
        <v>#REF!</v>
      </c>
      <c r="EA25" t="e">
        <f>#REF!-";Hb!lw"</f>
        <v>#REF!</v>
      </c>
      <c r="EB25" t="e">
        <f>#REF!-";Hb!lx"</f>
        <v>#REF!</v>
      </c>
      <c r="EC25" t="e">
        <f>#REF!-";Hb!ly"</f>
        <v>#REF!</v>
      </c>
      <c r="ED25" t="e">
        <f>#REF!-";Hb!lz"</f>
        <v>#REF!</v>
      </c>
      <c r="EE25" t="e">
        <f>#REF!-";Hb!l{"</f>
        <v>#REF!</v>
      </c>
      <c r="EF25" t="e">
        <f>#REF!-";Hb!l|"</f>
        <v>#REF!</v>
      </c>
      <c r="EG25" t="e">
        <f>#REF!-";Hb!l}"</f>
        <v>#REF!</v>
      </c>
      <c r="EH25" t="e">
        <f>#REF!-";Hb!l~"</f>
        <v>#REF!</v>
      </c>
      <c r="EI25" t="e">
        <f>#REF!-";Hb!m#"</f>
        <v>#REF!</v>
      </c>
      <c r="EJ25" t="e">
        <f>#REF!-";Hb!m$"</f>
        <v>#REF!</v>
      </c>
      <c r="EK25" t="e">
        <f>#REF!-";Hb!m%"</f>
        <v>#REF!</v>
      </c>
      <c r="EL25" t="e">
        <f>#REF!-";Hb!m&amp;"</f>
        <v>#REF!</v>
      </c>
      <c r="EM25" t="e">
        <f>#REF!-";Hb!m'"</f>
        <v>#REF!</v>
      </c>
      <c r="EN25" t="e">
        <f>#REF!-";Hb!m("</f>
        <v>#REF!</v>
      </c>
      <c r="EO25" t="e">
        <f>#REF!-";Hb!m)"</f>
        <v>#REF!</v>
      </c>
      <c r="EP25" t="e">
        <f>#REF!-";Hb!m."</f>
        <v>#REF!</v>
      </c>
      <c r="EQ25" t="e">
        <f>#REF!-";Hb!m/"</f>
        <v>#REF!</v>
      </c>
      <c r="ER25" t="e">
        <f>#REF!-";Hb!m0"</f>
        <v>#REF!</v>
      </c>
      <c r="ES25" t="e">
        <f>#REF!-";Hb!m1"</f>
        <v>#REF!</v>
      </c>
      <c r="ET25" t="e">
        <f>#REF!-";Hb!m2"</f>
        <v>#REF!</v>
      </c>
      <c r="EU25" t="e">
        <f>#REF!-";Hb!m3"</f>
        <v>#REF!</v>
      </c>
      <c r="EV25" t="e">
        <f>#REF!-";Hb!m4"</f>
        <v>#REF!</v>
      </c>
      <c r="EW25" t="e">
        <f>#REF!-";Hb!m5"</f>
        <v>#REF!</v>
      </c>
      <c r="EX25" t="e">
        <f>#REF!-";Hb!m6"</f>
        <v>#REF!</v>
      </c>
      <c r="EY25" t="e">
        <f>#REF!-";Hb!m7"</f>
        <v>#REF!</v>
      </c>
      <c r="EZ25" t="e">
        <f>#REF!-";Hb!m8"</f>
        <v>#REF!</v>
      </c>
      <c r="FA25" t="e">
        <f>#REF!-";Hb!m9"</f>
        <v>#REF!</v>
      </c>
      <c r="FB25" t="e">
        <f>#REF!-";Hb!m:"</f>
        <v>#REF!</v>
      </c>
      <c r="FC25" t="e">
        <f>#REF!-";Hb!m;"</f>
        <v>#REF!</v>
      </c>
      <c r="FD25" t="e">
        <f>#REF!-";Hb!m&lt;"</f>
        <v>#REF!</v>
      </c>
      <c r="FE25" t="e">
        <f>#REF!-";Hb!m="</f>
        <v>#REF!</v>
      </c>
      <c r="FF25" t="e">
        <f>#REF!-";Hb!m&gt;"</f>
        <v>#REF!</v>
      </c>
      <c r="FG25" t="e">
        <f>#REF!-";Hb!m?"</f>
        <v>#REF!</v>
      </c>
      <c r="FH25" t="e">
        <f>#REF!-";Hb!m@"</f>
        <v>#REF!</v>
      </c>
      <c r="FI25" t="e">
        <f>#REF!-";Hb!mA"</f>
        <v>#REF!</v>
      </c>
      <c r="FJ25" t="e">
        <f>#REF!-";Hb!mB"</f>
        <v>#REF!</v>
      </c>
      <c r="FK25" t="e">
        <f>#REF!-";Hb!mC"</f>
        <v>#REF!</v>
      </c>
      <c r="FL25" t="e">
        <f>#REF!-";Hb!mD"</f>
        <v>#REF!</v>
      </c>
      <c r="FM25" t="e">
        <f>#REF!-";Hb!mE"</f>
        <v>#REF!</v>
      </c>
      <c r="FN25" t="e">
        <f>#REF!-";Hb!mF"</f>
        <v>#REF!</v>
      </c>
      <c r="FO25" t="e">
        <f>#REF!-";Hb!mG"</f>
        <v>#REF!</v>
      </c>
      <c r="FP25" t="e">
        <f>#REF!-";Hb!mH"</f>
        <v>#REF!</v>
      </c>
      <c r="FQ25" t="e">
        <f>#REF!-";Hb!mI"</f>
        <v>#REF!</v>
      </c>
      <c r="FR25" t="e">
        <f>#REF!-";Hb!mJ"</f>
        <v>#REF!</v>
      </c>
      <c r="FS25" t="e">
        <f>#REF!-";Hb!mK"</f>
        <v>#REF!</v>
      </c>
      <c r="FT25" t="e">
        <f>#REF!-";Hb!mL"</f>
        <v>#REF!</v>
      </c>
      <c r="FU25" t="e">
        <f>#REF!-";Hb!mM"</f>
        <v>#REF!</v>
      </c>
      <c r="FV25" t="e">
        <f>#REF!-";Hb!mN"</f>
        <v>#REF!</v>
      </c>
      <c r="FW25" t="e">
        <f>#REF!-";Hb!mO"</f>
        <v>#REF!</v>
      </c>
      <c r="FX25" t="e">
        <f>#REF!-";Hb!mP"</f>
        <v>#REF!</v>
      </c>
      <c r="FY25" t="e">
        <f>#REF!-";Hb!mQ"</f>
        <v>#REF!</v>
      </c>
      <c r="FZ25" t="e">
        <f>#REF!-";Hb!mR"</f>
        <v>#REF!</v>
      </c>
      <c r="GA25" t="e">
        <f>#REF!-";Hb!mS"</f>
        <v>#REF!</v>
      </c>
      <c r="GB25" t="e">
        <f>#REF!-";Hb!mT"</f>
        <v>#REF!</v>
      </c>
      <c r="GC25" t="e">
        <f>#REF!-";Hb!mU"</f>
        <v>#REF!</v>
      </c>
      <c r="GD25" t="e">
        <f>#REF!-";Hb!mV"</f>
        <v>#REF!</v>
      </c>
      <c r="GE25" t="e">
        <f>#REF!-";Hb!mW"</f>
        <v>#REF!</v>
      </c>
      <c r="GF25" t="e">
        <f>#REF!-";Hb!mX"</f>
        <v>#REF!</v>
      </c>
      <c r="GG25" t="e">
        <f>#REF!-";Hb!mY"</f>
        <v>#REF!</v>
      </c>
      <c r="GH25" t="e">
        <f>#REF!-";Hb!mZ"</f>
        <v>#REF!</v>
      </c>
      <c r="GI25" t="e">
        <f>#REF!-";Hb!m["</f>
        <v>#REF!</v>
      </c>
      <c r="GJ25" t="e">
        <f>#REF!-";Hb!m\"</f>
        <v>#REF!</v>
      </c>
      <c r="GK25" t="e">
        <f>#REF!-";Hb!m]"</f>
        <v>#REF!</v>
      </c>
      <c r="GL25" t="e">
        <f>#REF!-";Hb!m^"</f>
        <v>#REF!</v>
      </c>
      <c r="GM25" t="e">
        <f>#REF!-";Hb!m_"</f>
        <v>#REF!</v>
      </c>
      <c r="GN25" t="e">
        <f>#REF!-";Hb!m`"</f>
        <v>#REF!</v>
      </c>
      <c r="GO25" t="e">
        <f>#REF!-";Hb!ma"</f>
        <v>#REF!</v>
      </c>
      <c r="GP25" t="e">
        <f>#REF!-";Hb!mb"</f>
        <v>#REF!</v>
      </c>
      <c r="GQ25" t="e">
        <f>#REF!-";Hb!mc"</f>
        <v>#REF!</v>
      </c>
      <c r="GR25" t="e">
        <f>#REF!-";Hb!md"</f>
        <v>#REF!</v>
      </c>
      <c r="GS25" t="e">
        <f>#REF!-";Hb!me"</f>
        <v>#REF!</v>
      </c>
      <c r="GT25" t="e">
        <f>#REF!-";Hb!mf"</f>
        <v>#REF!</v>
      </c>
      <c r="GU25" t="e">
        <f>#REF!-";Hb!mg"</f>
        <v>#REF!</v>
      </c>
      <c r="GV25" t="e">
        <f>#REF!-";Hb!mh"</f>
        <v>#REF!</v>
      </c>
      <c r="GW25" t="e">
        <f>#REF!-";Hb!mi"</f>
        <v>#REF!</v>
      </c>
      <c r="GX25" t="e">
        <f>#REF!-";Hb!mj"</f>
        <v>#REF!</v>
      </c>
      <c r="GY25" t="e">
        <f>#REF!-";Hb!mk"</f>
        <v>#REF!</v>
      </c>
      <c r="GZ25" t="e">
        <f>#REF!-";Hb!ml"</f>
        <v>#REF!</v>
      </c>
      <c r="HA25" t="e">
        <f>#REF!-";Hb!mm"</f>
        <v>#REF!</v>
      </c>
      <c r="HB25" t="e">
        <f>#REF!-";Hb!mn"</f>
        <v>#REF!</v>
      </c>
      <c r="HC25" t="e">
        <f>#REF!-";Hb!mo"</f>
        <v>#REF!</v>
      </c>
      <c r="HD25" t="e">
        <f>#REF!-";Hb!mp"</f>
        <v>#REF!</v>
      </c>
      <c r="HE25" t="e">
        <f>#REF!-";Hb!mq"</f>
        <v>#REF!</v>
      </c>
      <c r="HF25" t="e">
        <f>#REF!-";Hb!mr"</f>
        <v>#REF!</v>
      </c>
      <c r="HG25" t="e">
        <f>#REF!-";Hb!ms"</f>
        <v>#REF!</v>
      </c>
      <c r="HH25" t="e">
        <f>#REF!-";Hb!mt"</f>
        <v>#REF!</v>
      </c>
      <c r="HI25" t="e">
        <f>#REF!-";Hb!mu"</f>
        <v>#REF!</v>
      </c>
      <c r="HJ25" t="e">
        <f>#REF!-";Hb!mv"</f>
        <v>#REF!</v>
      </c>
      <c r="HK25" t="e">
        <f>#REF!-";Hb!mw"</f>
        <v>#REF!</v>
      </c>
      <c r="HL25" t="e">
        <f>#REF!-";Hb!mx"</f>
        <v>#REF!</v>
      </c>
      <c r="HM25" t="e">
        <f>#REF!-";Hb!my"</f>
        <v>#REF!</v>
      </c>
      <c r="HN25" t="e">
        <f>#REF!-";Hb!mz"</f>
        <v>#REF!</v>
      </c>
      <c r="HO25" t="e">
        <f>#REF!-";Hb!m{"</f>
        <v>#REF!</v>
      </c>
      <c r="HP25" t="e">
        <f>#REF!-";Hb!m|"</f>
        <v>#REF!</v>
      </c>
      <c r="HQ25" t="e">
        <f>#REF!-";Hb!m}"</f>
        <v>#REF!</v>
      </c>
      <c r="HR25" t="e">
        <f>#REF!-";Hb!m~"</f>
        <v>#REF!</v>
      </c>
      <c r="HS25" t="e">
        <f>#REF!-";Hb!n#"</f>
        <v>#REF!</v>
      </c>
      <c r="HT25" t="e">
        <f>#REF!-";Hb!n$"</f>
        <v>#REF!</v>
      </c>
      <c r="HU25" t="e">
        <f>#REF!-";Hb!n%"</f>
        <v>#REF!</v>
      </c>
      <c r="HV25" t="e">
        <f>#REF!-";Hb!n&amp;"</f>
        <v>#REF!</v>
      </c>
      <c r="HW25" t="e">
        <f>#REF!-";Hb!n'"</f>
        <v>#REF!</v>
      </c>
      <c r="HX25" t="e">
        <f>#REF!-";Hb!n("</f>
        <v>#REF!</v>
      </c>
      <c r="HY25" t="e">
        <f>#REF!-";Hb!n)"</f>
        <v>#REF!</v>
      </c>
      <c r="HZ25" t="e">
        <f>#REF!-";Hb!n."</f>
        <v>#REF!</v>
      </c>
      <c r="IA25" t="e">
        <f>#REF!-";Hb!n/"</f>
        <v>#REF!</v>
      </c>
      <c r="IB25" t="e">
        <f>#REF!-";Hb!n0"</f>
        <v>#REF!</v>
      </c>
      <c r="IC25" t="e">
        <f>#REF!-";Hb!n1"</f>
        <v>#REF!</v>
      </c>
      <c r="ID25" t="e">
        <f>#REF!-";Hb!n2"</f>
        <v>#REF!</v>
      </c>
      <c r="IE25" t="e">
        <f>#REF!-";Hb!n3"</f>
        <v>#REF!</v>
      </c>
      <c r="IF25" t="e">
        <f>#REF!-";Hb!n4"</f>
        <v>#REF!</v>
      </c>
      <c r="IG25" t="e">
        <f>#REF!-";Hb!n5"</f>
        <v>#REF!</v>
      </c>
      <c r="IH25" t="e">
        <f>#REF!-";Hb!n6"</f>
        <v>#REF!</v>
      </c>
      <c r="II25" t="e">
        <f>#REF!-";Hb!n7"</f>
        <v>#REF!</v>
      </c>
      <c r="IJ25" t="e">
        <f>#REF!-";Hb!n8"</f>
        <v>#REF!</v>
      </c>
      <c r="IK25" t="e">
        <f>#REF!-";Hb!n9"</f>
        <v>#REF!</v>
      </c>
      <c r="IL25" t="e">
        <f>#REF!-";Hb!n:"</f>
        <v>#REF!</v>
      </c>
      <c r="IM25" t="e">
        <f>#REF!-";Hb!n;"</f>
        <v>#REF!</v>
      </c>
      <c r="IN25" t="e">
        <f>#REF!-";Hb!n&lt;"</f>
        <v>#REF!</v>
      </c>
      <c r="IO25" t="e">
        <f>#REF!-";Hb!n="</f>
        <v>#REF!</v>
      </c>
      <c r="IP25" t="e">
        <f>#REF!-";Hb!n&gt;"</f>
        <v>#REF!</v>
      </c>
      <c r="IQ25" t="e">
        <f>#REF!-";Hb!n?"</f>
        <v>#REF!</v>
      </c>
      <c r="IR25" t="e">
        <f>#REF!-";Hb!n@"</f>
        <v>#REF!</v>
      </c>
      <c r="IS25" t="e">
        <f>#REF!-";Hb!nA"</f>
        <v>#REF!</v>
      </c>
      <c r="IT25" t="e">
        <f>#REF!-";Hb!nB"</f>
        <v>#REF!</v>
      </c>
      <c r="IU25" t="e">
        <f>#REF!-";Hb!nC"</f>
        <v>#REF!</v>
      </c>
      <c r="IV25" t="e">
        <f>#REF!-";Hb!nD"</f>
        <v>#REF!</v>
      </c>
    </row>
    <row r="26" spans="6:256" x14ac:dyDescent="0.25">
      <c r="F26" t="e">
        <f>#REF!-";Hb!nE"</f>
        <v>#REF!</v>
      </c>
      <c r="G26" t="e">
        <f>#REF!-";Hb!nF"</f>
        <v>#REF!</v>
      </c>
      <c r="H26" t="e">
        <f>#REF!-";Hb!nG"</f>
        <v>#REF!</v>
      </c>
      <c r="I26" t="e">
        <f>#REF!-";Hb!nH"</f>
        <v>#REF!</v>
      </c>
      <c r="J26" t="e">
        <f>#REF!-";Hb!nI"</f>
        <v>#REF!</v>
      </c>
      <c r="K26" t="e">
        <f>#REF!-";Hb!nJ"</f>
        <v>#REF!</v>
      </c>
      <c r="L26" t="e">
        <f>#REF!-";Hb!nK"</f>
        <v>#REF!</v>
      </c>
      <c r="M26" t="e">
        <f>#REF!-";Hb!nL"</f>
        <v>#REF!</v>
      </c>
      <c r="N26" t="e">
        <f>#REF!-";Hb!nM"</f>
        <v>#REF!</v>
      </c>
      <c r="O26" t="e">
        <f>#REF!-";Hb!nN"</f>
        <v>#REF!</v>
      </c>
      <c r="P26" t="e">
        <f>#REF!-";Hb!nO"</f>
        <v>#REF!</v>
      </c>
      <c r="Q26" t="e">
        <f>#REF!-";Hb!nP"</f>
        <v>#REF!</v>
      </c>
      <c r="R26" t="e">
        <f>#REF!-";Hb!nQ"</f>
        <v>#REF!</v>
      </c>
      <c r="S26" t="e">
        <f>#REF!-";Hb!nR"</f>
        <v>#REF!</v>
      </c>
      <c r="T26" t="e">
        <f>#REF!-";Hb!nS"</f>
        <v>#REF!</v>
      </c>
      <c r="U26" t="e">
        <f>#REF!-";Hb!nT"</f>
        <v>#REF!</v>
      </c>
      <c r="V26" t="e">
        <f>#REF!-";Hb!nU"</f>
        <v>#REF!</v>
      </c>
      <c r="W26" t="e">
        <f>#REF!-";Hb!nV"</f>
        <v>#REF!</v>
      </c>
      <c r="X26" t="e">
        <f>#REF!-";Hb!nW"</f>
        <v>#REF!</v>
      </c>
      <c r="Y26" t="e">
        <f>#REF!-";Hb!nX"</f>
        <v>#REF!</v>
      </c>
      <c r="Z26" t="e">
        <f>#REF!-";Hb!nY"</f>
        <v>#REF!</v>
      </c>
      <c r="AA26" t="e">
        <f>#REF!-";Hb!nZ"</f>
        <v>#REF!</v>
      </c>
      <c r="AB26" t="e">
        <f>#REF!-";Hb!n["</f>
        <v>#REF!</v>
      </c>
      <c r="AC26" t="e">
        <f>#REF!-";Hb!n\"</f>
        <v>#REF!</v>
      </c>
      <c r="AD26" t="e">
        <f>#REF!-";Hb!n]"</f>
        <v>#REF!</v>
      </c>
      <c r="AE26" t="e">
        <f>#REF!-";Hb!n^"</f>
        <v>#REF!</v>
      </c>
      <c r="AF26" t="e">
        <f>#REF!-";Hb!n_"</f>
        <v>#REF!</v>
      </c>
      <c r="AG26" t="e">
        <f>#REF!-";Hb!n`"</f>
        <v>#REF!</v>
      </c>
      <c r="AH26" t="e">
        <f>#REF!-";Hb!na"</f>
        <v>#REF!</v>
      </c>
      <c r="AI26" t="e">
        <f>#REF!-";Hb!nb"</f>
        <v>#REF!</v>
      </c>
      <c r="AJ26" t="e">
        <f>#REF!-";Hb!nc"</f>
        <v>#REF!</v>
      </c>
      <c r="AK26" t="e">
        <f>#REF!-";Hb!nd"</f>
        <v>#REF!</v>
      </c>
      <c r="AL26" t="e">
        <f>#REF!-";Hb!ne"</f>
        <v>#REF!</v>
      </c>
      <c r="AM26" t="e">
        <f>#REF!-";Hb!nf"</f>
        <v>#REF!</v>
      </c>
      <c r="AN26" t="e">
        <f>#REF!-";Hb!ng"</f>
        <v>#REF!</v>
      </c>
      <c r="AO26" t="e">
        <f>#REF!-";Hb!nh"</f>
        <v>#REF!</v>
      </c>
      <c r="AP26" t="e">
        <f>#REF!-";Hb!ni"</f>
        <v>#REF!</v>
      </c>
      <c r="AQ26" t="e">
        <f>#REF!-";Hb!nj"</f>
        <v>#REF!</v>
      </c>
      <c r="AR26" t="e">
        <f>#REF!-";Hb!nk"</f>
        <v>#REF!</v>
      </c>
      <c r="AS26" t="e">
        <f>#REF!-";Hb!nl"</f>
        <v>#REF!</v>
      </c>
      <c r="AT26" t="e">
        <f>#REF!-";Hb!nm"</f>
        <v>#REF!</v>
      </c>
      <c r="AU26" t="e">
        <f>#REF!-";Hb!nn"</f>
        <v>#REF!</v>
      </c>
      <c r="AV26" t="e">
        <f>#REF!-";Hb!no"</f>
        <v>#REF!</v>
      </c>
      <c r="AW26" t="e">
        <f>#REF!-";Hb!np"</f>
        <v>#REF!</v>
      </c>
      <c r="AX26" t="e">
        <f>#REF!-";Hb!nq"</f>
        <v>#REF!</v>
      </c>
      <c r="AY26" t="e">
        <f>#REF!-";Hb!nr"</f>
        <v>#REF!</v>
      </c>
      <c r="AZ26" t="e">
        <f>#REF!-";Hb!ns"</f>
        <v>#REF!</v>
      </c>
      <c r="BA26" t="e">
        <f>#REF!-";Hb!nt"</f>
        <v>#REF!</v>
      </c>
      <c r="BB26" t="e">
        <f>#REF!-";Hb!nu"</f>
        <v>#REF!</v>
      </c>
      <c r="BC26" t="e">
        <f>#REF!-";Hb!nv"</f>
        <v>#REF!</v>
      </c>
      <c r="BD26" t="e">
        <f>#REF!-";Hb!nw"</f>
        <v>#REF!</v>
      </c>
      <c r="BE26" t="e">
        <f>#REF!-";Hb!nx"</f>
        <v>#REF!</v>
      </c>
      <c r="BF26" t="e">
        <f>#REF!-";Hb!ny"</f>
        <v>#REF!</v>
      </c>
      <c r="BG26" t="e">
        <f>#REF!-";Hb!nz"</f>
        <v>#REF!</v>
      </c>
      <c r="BH26" t="e">
        <f>#REF!-";Hb!n{"</f>
        <v>#REF!</v>
      </c>
      <c r="BI26" t="e">
        <f>#REF!-";Hb!n|"</f>
        <v>#REF!</v>
      </c>
      <c r="BJ26" t="e">
        <f>#REF!-";Hb!n}"</f>
        <v>#REF!</v>
      </c>
      <c r="BK26" t="e">
        <f>#REF!-";Hb!n~"</f>
        <v>#REF!</v>
      </c>
      <c r="BL26" t="e">
        <f>#REF!-";Hb!o#"</f>
        <v>#REF!</v>
      </c>
      <c r="BM26" t="e">
        <f>#REF!-";Hb!o$"</f>
        <v>#REF!</v>
      </c>
      <c r="BN26" t="e">
        <f>#REF!-";Hb!o%"</f>
        <v>#REF!</v>
      </c>
      <c r="BO26" t="e">
        <f>#REF!-";Hb!o&amp;"</f>
        <v>#REF!</v>
      </c>
      <c r="BP26" t="e">
        <f>#REF!-";Hb!o'"</f>
        <v>#REF!</v>
      </c>
      <c r="BQ26" t="e">
        <f>#REF!-";Hb!o("</f>
        <v>#REF!</v>
      </c>
      <c r="BR26" t="e">
        <f>#REF!-";Hb!o)"</f>
        <v>#REF!</v>
      </c>
      <c r="BS26" t="e">
        <f>#REF!-";Hb!o."</f>
        <v>#REF!</v>
      </c>
      <c r="BT26" t="e">
        <f>#REF!-";Hb!o/"</f>
        <v>#REF!</v>
      </c>
      <c r="BU26" t="e">
        <f>#REF!-";Hb!o0"</f>
        <v>#REF!</v>
      </c>
      <c r="BV26" t="e">
        <f>#REF!-";Hb!o1"</f>
        <v>#REF!</v>
      </c>
      <c r="BW26" t="e">
        <f>#REF!-";Hb!o2"</f>
        <v>#REF!</v>
      </c>
      <c r="BX26" t="e">
        <f>#REF!-";Hb!o3"</f>
        <v>#REF!</v>
      </c>
      <c r="BY26" t="e">
        <f>#REF!-";Hb!o4"</f>
        <v>#REF!</v>
      </c>
      <c r="BZ26" t="e">
        <f>#REF!-";Hb!o5"</f>
        <v>#REF!</v>
      </c>
      <c r="CA26" t="e">
        <f>#REF!-";Hb!o6"</f>
        <v>#REF!</v>
      </c>
      <c r="CB26" t="e">
        <f>#REF!-";Hb!o7"</f>
        <v>#REF!</v>
      </c>
      <c r="CC26" t="e">
        <f>#REF!-";Hb!o8"</f>
        <v>#REF!</v>
      </c>
      <c r="CD26" t="e">
        <f>#REF!-";Hb!o9"</f>
        <v>#REF!</v>
      </c>
      <c r="CE26" t="e">
        <f>#REF!-";Hb!o:"</f>
        <v>#REF!</v>
      </c>
      <c r="CF26" t="e">
        <f>#REF!-";Hb!o;"</f>
        <v>#REF!</v>
      </c>
      <c r="CG26" t="e">
        <f>#REF!-";Hb!o&lt;"</f>
        <v>#REF!</v>
      </c>
      <c r="CH26" t="e">
        <f>#REF!-";Hb!o="</f>
        <v>#REF!</v>
      </c>
      <c r="CI26" t="e">
        <f>#REF!-";Hb!o&gt;"</f>
        <v>#REF!</v>
      </c>
      <c r="CJ26" t="e">
        <f>#REF!-";Hb!o?"</f>
        <v>#REF!</v>
      </c>
      <c r="CK26" t="e">
        <f>#REF!-";Hb!o@"</f>
        <v>#REF!</v>
      </c>
      <c r="CL26" t="e">
        <f>#REF!-";Hb!oA"</f>
        <v>#REF!</v>
      </c>
      <c r="CM26" t="e">
        <f>#REF!-";Hb!oB"</f>
        <v>#REF!</v>
      </c>
      <c r="CN26" t="e">
        <f>#REF!-";Hb!oC"</f>
        <v>#REF!</v>
      </c>
      <c r="CO26" t="e">
        <f>#REF!-";Hb!oD"</f>
        <v>#REF!</v>
      </c>
      <c r="CP26" t="e">
        <f>#REF!-";Hb!oE"</f>
        <v>#REF!</v>
      </c>
      <c r="CQ26" t="e">
        <f>#REF!-";Hb!oF"</f>
        <v>#REF!</v>
      </c>
      <c r="CR26" t="e">
        <f>#REF!-";Hb!oG"</f>
        <v>#REF!</v>
      </c>
      <c r="CS26" t="e">
        <f>#REF!-";Hb!oH"</f>
        <v>#REF!</v>
      </c>
      <c r="CT26" t="e">
        <f>#REF!-";Hb!oI"</f>
        <v>#REF!</v>
      </c>
      <c r="CU26" t="e">
        <f>#REF!-";Hb!oJ"</f>
        <v>#REF!</v>
      </c>
      <c r="CV26" t="e">
        <f>#REF!-";Hb!oK"</f>
        <v>#REF!</v>
      </c>
      <c r="CW26" t="e">
        <f>#REF!-";Hb!oL"</f>
        <v>#REF!</v>
      </c>
      <c r="CX26" t="e">
        <f>#REF!-";Hb!oM"</f>
        <v>#REF!</v>
      </c>
      <c r="CY26" t="e">
        <f>#REF!-";Hb!oN"</f>
        <v>#REF!</v>
      </c>
      <c r="CZ26" t="e">
        <f>#REF!-";Hb!oO"</f>
        <v>#REF!</v>
      </c>
      <c r="DA26" t="e">
        <f>#REF!-";Hb!oP"</f>
        <v>#REF!</v>
      </c>
      <c r="DB26" t="e">
        <f>#REF!-";Hb!oQ"</f>
        <v>#REF!</v>
      </c>
      <c r="DC26" t="e">
        <f>#REF!-";Hb!oR"</f>
        <v>#REF!</v>
      </c>
      <c r="DD26" t="e">
        <f>#REF!-";Hb!oS"</f>
        <v>#REF!</v>
      </c>
      <c r="DE26" t="e">
        <f>#REF!-";Hb!oT"</f>
        <v>#REF!</v>
      </c>
      <c r="DF26" t="e">
        <f>#REF!-";Hb!oU"</f>
        <v>#REF!</v>
      </c>
      <c r="DG26" t="e">
        <f>#REF!-";Hb!oV"</f>
        <v>#REF!</v>
      </c>
      <c r="DH26" t="e">
        <f>#REF!-";Hb!oW"</f>
        <v>#REF!</v>
      </c>
      <c r="DI26" t="e">
        <f>#REF!-";Hb!oX"</f>
        <v>#REF!</v>
      </c>
      <c r="DJ26" t="e">
        <f>#REF!-";Hb!oY"</f>
        <v>#REF!</v>
      </c>
      <c r="DK26" t="e">
        <f>#REF!-";Hb!oZ"</f>
        <v>#REF!</v>
      </c>
      <c r="DL26" t="e">
        <f>#REF!-";Hb!o["</f>
        <v>#REF!</v>
      </c>
      <c r="DM26" t="e">
        <f>#REF!-";Hb!o\"</f>
        <v>#REF!</v>
      </c>
      <c r="DN26" t="e">
        <f>#REF!-";Hb!o]"</f>
        <v>#REF!</v>
      </c>
      <c r="DO26" t="e">
        <f>#REF!-";Hb!o^"</f>
        <v>#REF!</v>
      </c>
      <c r="DP26" t="e">
        <f>#REF!-";Hb!o_"</f>
        <v>#REF!</v>
      </c>
      <c r="DQ26" t="e">
        <f>#REF!-";Hb!o`"</f>
        <v>#REF!</v>
      </c>
      <c r="DR26" t="e">
        <f>#REF!-";Hb!oa"</f>
        <v>#REF!</v>
      </c>
      <c r="DS26" t="e">
        <f>#REF!-";Hb!ob"</f>
        <v>#REF!</v>
      </c>
      <c r="DT26" t="e">
        <f>#REF!-";Hb!oc"</f>
        <v>#REF!</v>
      </c>
      <c r="DU26" t="e">
        <f>#REF!-";Hb!od"</f>
        <v>#REF!</v>
      </c>
      <c r="DV26" t="e">
        <f>#REF!-";Hb!oe"</f>
        <v>#REF!</v>
      </c>
      <c r="DW26" t="e">
        <f>#REF!-";Hb!of"</f>
        <v>#REF!</v>
      </c>
      <c r="DX26" t="e">
        <f>#REF!-";Hb!og"</f>
        <v>#REF!</v>
      </c>
      <c r="DY26" t="e">
        <f>#REF!-";Hb!oh"</f>
        <v>#REF!</v>
      </c>
      <c r="DZ26" t="e">
        <f>#REF!-";Hb!oi"</f>
        <v>#REF!</v>
      </c>
      <c r="EA26" t="e">
        <f>#REF!-";Hb!oj"</f>
        <v>#REF!</v>
      </c>
      <c r="EB26" t="e">
        <f>#REF!-";Hb!ok"</f>
        <v>#REF!</v>
      </c>
      <c r="EC26" t="e">
        <f>#REF!-";Hb!ol"</f>
        <v>#REF!</v>
      </c>
      <c r="ED26" t="e">
        <f>#REF!-";Hb!om"</f>
        <v>#REF!</v>
      </c>
      <c r="EE26" t="e">
        <f>#REF!-";Hb!on"</f>
        <v>#REF!</v>
      </c>
      <c r="EF26" t="e">
        <f>#REF!-";Hb!oo"</f>
        <v>#REF!</v>
      </c>
      <c r="EG26" t="e">
        <f>#REF!-";Hb!op"</f>
        <v>#REF!</v>
      </c>
      <c r="EH26" t="e">
        <f>#REF!-";Hb!oq"</f>
        <v>#REF!</v>
      </c>
      <c r="EI26" t="e">
        <f>#REF!-";Hb!or"</f>
        <v>#REF!</v>
      </c>
      <c r="EJ26" t="e">
        <f>#REF!-";Hb!os"</f>
        <v>#REF!</v>
      </c>
      <c r="EK26" t="e">
        <f>#REF!-";Hb!ot"</f>
        <v>#REF!</v>
      </c>
      <c r="EL26" t="e">
        <f>#REF!-";Hb!ou"</f>
        <v>#REF!</v>
      </c>
      <c r="EM26" t="e">
        <f>#REF!-";Hb!ov"</f>
        <v>#REF!</v>
      </c>
      <c r="EN26" t="e">
        <f>#REF!-";Hb!ow"</f>
        <v>#REF!</v>
      </c>
      <c r="EO26" t="e">
        <f>#REF!-";Hb!ox"</f>
        <v>#REF!</v>
      </c>
      <c r="EP26" t="e">
        <f>#REF!-";Hb!oy"</f>
        <v>#REF!</v>
      </c>
      <c r="EQ26" t="e">
        <f>#REF!-";Hb!oz"</f>
        <v>#REF!</v>
      </c>
      <c r="ER26" t="e">
        <f>#REF!-";Hb!o{"</f>
        <v>#REF!</v>
      </c>
      <c r="ES26" t="e">
        <f>#REF!-";Hb!o|"</f>
        <v>#REF!</v>
      </c>
      <c r="ET26" t="e">
        <f>#REF!-";Hb!o}"</f>
        <v>#REF!</v>
      </c>
      <c r="EU26" t="e">
        <f>#REF!-";Hb!o~"</f>
        <v>#REF!</v>
      </c>
      <c r="EV26" t="e">
        <f>#REF!-";Hb!p#"</f>
        <v>#REF!</v>
      </c>
      <c r="EW26" t="e">
        <f>#REF!-";Hb!p$"</f>
        <v>#REF!</v>
      </c>
      <c r="EX26" t="e">
        <f>#REF!-";Hb!p%"</f>
        <v>#REF!</v>
      </c>
      <c r="EY26" t="e">
        <f>#REF!-";Hb!p&amp;"</f>
        <v>#REF!</v>
      </c>
      <c r="EZ26" t="e">
        <f>#REF!-";Hb!p'"</f>
        <v>#REF!</v>
      </c>
      <c r="FA26" t="e">
        <f>#REF!-";Hb!p("</f>
        <v>#REF!</v>
      </c>
      <c r="FB26" t="e">
        <f>#REF!-";Hb!p)"</f>
        <v>#REF!</v>
      </c>
      <c r="FC26" t="e">
        <f>#REF!-";Hb!p."</f>
        <v>#REF!</v>
      </c>
      <c r="FD26" t="e">
        <f>#REF!-";Hb!p/"</f>
        <v>#REF!</v>
      </c>
      <c r="FE26" t="e">
        <f>#REF!-";Hb!p0"</f>
        <v>#REF!</v>
      </c>
      <c r="FF26" t="e">
        <f>#REF!-";Hb!p1"</f>
        <v>#REF!</v>
      </c>
      <c r="FG26" t="e">
        <f>#REF!-";Hb!p2"</f>
        <v>#REF!</v>
      </c>
      <c r="FH26" t="e">
        <f>#REF!-";Hb!p3"</f>
        <v>#REF!</v>
      </c>
      <c r="FI26" t="e">
        <f>#REF!-";Hb!p4"</f>
        <v>#REF!</v>
      </c>
      <c r="FJ26" t="e">
        <f>#REF!-";Hb!p5"</f>
        <v>#REF!</v>
      </c>
      <c r="FK26" t="e">
        <f>#REF!-";Hb!p6"</f>
        <v>#REF!</v>
      </c>
      <c r="FL26" t="e">
        <f>#REF!-";Hb!p7"</f>
        <v>#REF!</v>
      </c>
      <c r="FM26" t="e">
        <f>#REF!-";Hb!p8"</f>
        <v>#REF!</v>
      </c>
      <c r="FN26" t="e">
        <f>#REF!-";Hb!p9"</f>
        <v>#REF!</v>
      </c>
      <c r="FO26" t="e">
        <f>#REF!-";Hb!p:"</f>
        <v>#REF!</v>
      </c>
      <c r="FP26" t="e">
        <f>#REF!-";Hb!p;"</f>
        <v>#REF!</v>
      </c>
      <c r="FQ26" t="e">
        <f>#REF!-";Hb!p&lt;"</f>
        <v>#REF!</v>
      </c>
      <c r="FR26" t="e">
        <f>#REF!-";Hb!p="</f>
        <v>#REF!</v>
      </c>
      <c r="FS26" t="e">
        <f>#REF!-";Hb!p&gt;"</f>
        <v>#REF!</v>
      </c>
      <c r="FT26" t="e">
        <f>#REF!-";Hb!p?"</f>
        <v>#REF!</v>
      </c>
      <c r="FU26" t="e">
        <f>#REF!-";Hb!p@"</f>
        <v>#REF!</v>
      </c>
      <c r="FV26" t="e">
        <f>#REF!-";Hb!pA"</f>
        <v>#REF!</v>
      </c>
      <c r="FW26" t="e">
        <f>#REF!-";Hb!pB"</f>
        <v>#REF!</v>
      </c>
      <c r="FX26" t="e">
        <f>#REF!-";Hb!pC"</f>
        <v>#REF!</v>
      </c>
      <c r="FY26" t="e">
        <f>#REF!-";Hb!pD"</f>
        <v>#REF!</v>
      </c>
      <c r="FZ26" t="e">
        <f>#REF!-";Hb!pE"</f>
        <v>#REF!</v>
      </c>
      <c r="GA26" t="e">
        <f>#REF!-";Hb!pF"</f>
        <v>#REF!</v>
      </c>
      <c r="GB26" t="e">
        <f>#REF!-";Hb!pG"</f>
        <v>#REF!</v>
      </c>
      <c r="GC26" t="e">
        <f>#REF!-";Hb!pH"</f>
        <v>#REF!</v>
      </c>
      <c r="GD26" t="e">
        <f>#REF!-";Hb!pI"</f>
        <v>#REF!</v>
      </c>
      <c r="GE26" t="e">
        <f>#REF!-";Hb!pJ"</f>
        <v>#REF!</v>
      </c>
      <c r="GF26" t="e">
        <f>#REF!-";Hb!pK"</f>
        <v>#REF!</v>
      </c>
      <c r="GG26" t="e">
        <f>#REF!-";Hb!pL"</f>
        <v>#REF!</v>
      </c>
      <c r="GH26" t="e">
        <f>#REF!-";Hb!pM"</f>
        <v>#REF!</v>
      </c>
      <c r="GI26" t="e">
        <f>#REF!-";Hb!pN"</f>
        <v>#REF!</v>
      </c>
      <c r="GJ26" t="e">
        <f>#REF!-";Hb!pO"</f>
        <v>#REF!</v>
      </c>
      <c r="GK26" t="e">
        <f>#REF!-";Hb!pP"</f>
        <v>#REF!</v>
      </c>
      <c r="GL26" t="e">
        <f>#REF!-";Hb!pQ"</f>
        <v>#REF!</v>
      </c>
      <c r="GM26" t="e">
        <f>#REF!-";Hb!pR"</f>
        <v>#REF!</v>
      </c>
      <c r="GN26" t="e">
        <f>#REF!-";Hb!pS"</f>
        <v>#REF!</v>
      </c>
      <c r="GO26" t="e">
        <f>#REF!-";Hb!pT"</f>
        <v>#REF!</v>
      </c>
      <c r="GP26" t="e">
        <f>#REF!-";Hb!pU"</f>
        <v>#REF!</v>
      </c>
      <c r="GQ26" t="e">
        <f>#REF!-";Hb!pV"</f>
        <v>#REF!</v>
      </c>
      <c r="GR26" t="e">
        <f>#REF!-";Hb!pW"</f>
        <v>#REF!</v>
      </c>
      <c r="GS26" t="e">
        <f>#REF!-";Hb!pX"</f>
        <v>#REF!</v>
      </c>
      <c r="GT26" t="e">
        <f>#REF!-";Hb!pY"</f>
        <v>#REF!</v>
      </c>
      <c r="GU26" t="e">
        <f>#REF!-";Hb!pZ"</f>
        <v>#REF!</v>
      </c>
      <c r="GV26" t="e">
        <f>#REF!-";Hb!p["</f>
        <v>#REF!</v>
      </c>
      <c r="GW26" t="e">
        <f>#REF!-";Hb!p\"</f>
        <v>#REF!</v>
      </c>
      <c r="GX26" t="e">
        <f>#REF!-";Hb!p]"</f>
        <v>#REF!</v>
      </c>
      <c r="GY26" t="e">
        <f>#REF!-";Hb!p^"</f>
        <v>#REF!</v>
      </c>
      <c r="GZ26" t="e">
        <f>#REF!-";Hb!p_"</f>
        <v>#REF!</v>
      </c>
      <c r="HA26" t="e">
        <f>#REF!-";Hb!p`"</f>
        <v>#REF!</v>
      </c>
      <c r="HB26" t="e">
        <f>#REF!-";Hb!pa"</f>
        <v>#REF!</v>
      </c>
      <c r="HC26" t="e">
        <f>#REF!-";Hb!pb"</f>
        <v>#REF!</v>
      </c>
      <c r="HD26" t="e">
        <f>#REF!-";Hb!pc"</f>
        <v>#REF!</v>
      </c>
      <c r="HE26" t="e">
        <f>#REF!-";Hb!pd"</f>
        <v>#REF!</v>
      </c>
      <c r="HF26" t="e">
        <f>#REF!-";Hb!pe"</f>
        <v>#REF!</v>
      </c>
      <c r="HG26" t="e">
        <f>#REF!-";Hb!pf"</f>
        <v>#REF!</v>
      </c>
      <c r="HH26" t="e">
        <f>#REF!-";Hb!pg"</f>
        <v>#REF!</v>
      </c>
      <c r="HI26" t="e">
        <f>#REF!-";Hb!ph"</f>
        <v>#REF!</v>
      </c>
      <c r="HJ26" t="e">
        <f>#REF!-";Hb!pi"</f>
        <v>#REF!</v>
      </c>
      <c r="HK26" t="e">
        <f>#REF!-";Hb!pj"</f>
        <v>#REF!</v>
      </c>
      <c r="HL26" t="e">
        <f>#REF!-";Hb!pk"</f>
        <v>#REF!</v>
      </c>
      <c r="HM26" t="e">
        <f>#REF!-";Hb!pl"</f>
        <v>#REF!</v>
      </c>
      <c r="HN26" t="e">
        <f>#REF!-";Hb!pm"</f>
        <v>#REF!</v>
      </c>
      <c r="HO26" t="e">
        <f>#REF!-";Hb!pn"</f>
        <v>#REF!</v>
      </c>
      <c r="HP26" t="e">
        <f>#REF!-";Hb!po"</f>
        <v>#REF!</v>
      </c>
      <c r="HQ26" t="e">
        <f>#REF!-";Hb!pp"</f>
        <v>#REF!</v>
      </c>
      <c r="HR26" t="e">
        <f>#REF!-";Hb!pq"</f>
        <v>#REF!</v>
      </c>
      <c r="HS26" t="e">
        <f>#REF!-";Hb!pr"</f>
        <v>#REF!</v>
      </c>
      <c r="HT26" t="e">
        <f>#REF!-";Hb!ps"</f>
        <v>#REF!</v>
      </c>
      <c r="HU26" t="e">
        <f>#REF!-";Hb!pt"</f>
        <v>#REF!</v>
      </c>
      <c r="HV26" t="e">
        <f>#REF!-";Hb!pu"</f>
        <v>#REF!</v>
      </c>
      <c r="HW26" t="e">
        <f>#REF!-";Hb!pv"</f>
        <v>#REF!</v>
      </c>
      <c r="HX26" t="e">
        <f>#REF!-";Hb!pw"</f>
        <v>#REF!</v>
      </c>
      <c r="HY26" t="e">
        <f>#REF!-";Hb!px"</f>
        <v>#REF!</v>
      </c>
      <c r="HZ26" t="e">
        <f>#REF!-";Hb!py"</f>
        <v>#REF!</v>
      </c>
      <c r="IA26" t="e">
        <f>#REF!-";Hb!pz"</f>
        <v>#REF!</v>
      </c>
      <c r="IB26" t="e">
        <f>#REF!-";Hb!p{"</f>
        <v>#REF!</v>
      </c>
      <c r="IC26" t="e">
        <f>#REF!-";Hb!p|"</f>
        <v>#REF!</v>
      </c>
      <c r="ID26" t="e">
        <f>#REF!-";Hb!p}"</f>
        <v>#REF!</v>
      </c>
      <c r="IE26" t="e">
        <f>#REF!-";Hb!p~"</f>
        <v>#REF!</v>
      </c>
      <c r="IF26" t="e">
        <f>#REF!-";Hb!q#"</f>
        <v>#REF!</v>
      </c>
      <c r="IG26" t="e">
        <f>#REF!-";Hb!q$"</f>
        <v>#REF!</v>
      </c>
      <c r="IH26" t="e">
        <f>#REF!-";Hb!q%"</f>
        <v>#REF!</v>
      </c>
      <c r="II26" t="e">
        <f>#REF!-";Hb!q&amp;"</f>
        <v>#REF!</v>
      </c>
      <c r="IJ26" t="e">
        <f>#REF!-";Hb!q'"</f>
        <v>#REF!</v>
      </c>
      <c r="IK26" t="e">
        <f>#REF!-";Hb!q("</f>
        <v>#REF!</v>
      </c>
      <c r="IL26" t="e">
        <f>#REF!-";Hb!q)"</f>
        <v>#REF!</v>
      </c>
      <c r="IM26" t="e">
        <f>#REF!-";Hb!q."</f>
        <v>#REF!</v>
      </c>
      <c r="IN26" t="e">
        <f>#REF!-";Hb!q/"</f>
        <v>#REF!</v>
      </c>
      <c r="IO26" t="e">
        <f>#REF!-";Hb!q0"</f>
        <v>#REF!</v>
      </c>
      <c r="IP26" t="e">
        <f>#REF!-";Hb!q1"</f>
        <v>#REF!</v>
      </c>
      <c r="IQ26" t="e">
        <f>#REF!-";Hb!q2"</f>
        <v>#REF!</v>
      </c>
      <c r="IR26" t="e">
        <f>#REF!-";Hb!q3"</f>
        <v>#REF!</v>
      </c>
      <c r="IS26" t="e">
        <f>#REF!-";Hb!q4"</f>
        <v>#REF!</v>
      </c>
      <c r="IT26" t="e">
        <f>#REF!-";Hb!q5"</f>
        <v>#REF!</v>
      </c>
      <c r="IU26" t="e">
        <f>#REF!-";Hb!q6"</f>
        <v>#REF!</v>
      </c>
      <c r="IV26" t="e">
        <f>#REF!-";Hb!q7"</f>
        <v>#REF!</v>
      </c>
    </row>
    <row r="27" spans="6:256" x14ac:dyDescent="0.25">
      <c r="F27" t="e">
        <f>#REF!-";Hb!q8"</f>
        <v>#REF!</v>
      </c>
      <c r="G27" t="e">
        <f>#REF!-";Hb!q9"</f>
        <v>#REF!</v>
      </c>
      <c r="H27" t="e">
        <f>#REF!-";Hb!q:"</f>
        <v>#REF!</v>
      </c>
      <c r="I27" t="e">
        <f>#REF!-";Hb!q;"</f>
        <v>#REF!</v>
      </c>
      <c r="J27" t="e">
        <f>#REF!-";Hb!q&lt;"</f>
        <v>#REF!</v>
      </c>
      <c r="K27" t="e">
        <f>#REF!-";Hb!q="</f>
        <v>#REF!</v>
      </c>
      <c r="L27" t="e">
        <f>#REF!-";Hb!q&gt;"</f>
        <v>#REF!</v>
      </c>
      <c r="M27" t="e">
        <f>#REF!-";Hb!q?"</f>
        <v>#REF!</v>
      </c>
      <c r="N27" t="e">
        <f>#REF!-";Hb!q@"</f>
        <v>#REF!</v>
      </c>
      <c r="O27" t="e">
        <f>#REF!-";Hb!qA"</f>
        <v>#REF!</v>
      </c>
      <c r="P27" t="e">
        <f>#REF!-";Hb!qB"</f>
        <v>#REF!</v>
      </c>
      <c r="Q27" t="e">
        <f>#REF!-";Hb!qC"</f>
        <v>#REF!</v>
      </c>
      <c r="R27" t="e">
        <f>#REF!-";Hb!qD"</f>
        <v>#REF!</v>
      </c>
      <c r="S27" t="e">
        <f>#REF!-";Hb!qE"</f>
        <v>#REF!</v>
      </c>
      <c r="T27" t="e">
        <f>#REF!-";Hb!qF"</f>
        <v>#REF!</v>
      </c>
      <c r="U27" t="e">
        <f>#REF!-";Hb!qG"</f>
        <v>#REF!</v>
      </c>
      <c r="V27" t="e">
        <f>#REF!-";Hb!qH"</f>
        <v>#REF!</v>
      </c>
      <c r="W27" t="e">
        <f>#REF!-";Hb!qI"</f>
        <v>#REF!</v>
      </c>
      <c r="X27" t="e">
        <f>#REF!-";Hb!qJ"</f>
        <v>#REF!</v>
      </c>
      <c r="Y27" t="e">
        <f>#REF!-";Hb!qK"</f>
        <v>#REF!</v>
      </c>
      <c r="Z27" t="e">
        <f>#REF!-";Hb!qL"</f>
        <v>#REF!</v>
      </c>
      <c r="AA27" t="e">
        <f>#REF!-";Hb!qM"</f>
        <v>#REF!</v>
      </c>
      <c r="AB27" t="e">
        <f>#REF!-";Hb!qN"</f>
        <v>#REF!</v>
      </c>
      <c r="AC27" t="e">
        <f>#REF!-";Hb!qO"</f>
        <v>#REF!</v>
      </c>
      <c r="AD27" t="e">
        <f>#REF!-";Hb!qP"</f>
        <v>#REF!</v>
      </c>
      <c r="AE27" t="e">
        <f>#REF!-";Hb!qQ"</f>
        <v>#REF!</v>
      </c>
      <c r="AF27" t="e">
        <f>#REF!-";Hb!qR"</f>
        <v>#REF!</v>
      </c>
      <c r="AG27" t="e">
        <f>#REF!-";Hb!qS"</f>
        <v>#REF!</v>
      </c>
      <c r="AH27" t="e">
        <f>#REF!-";Hb!qT"</f>
        <v>#REF!</v>
      </c>
      <c r="AI27" t="e">
        <f>#REF!-";Hb!qU"</f>
        <v>#REF!</v>
      </c>
      <c r="AJ27" t="e">
        <f>#REF!-";Hb!qV"</f>
        <v>#REF!</v>
      </c>
      <c r="AK27" t="e">
        <f>#REF!-";Hb!qW"</f>
        <v>#REF!</v>
      </c>
      <c r="AL27" t="e">
        <f>#REF!-";Hb!qX"</f>
        <v>#REF!</v>
      </c>
      <c r="AM27" t="e">
        <f>#REF!-";Hb!qY"</f>
        <v>#REF!</v>
      </c>
      <c r="AN27" t="e">
        <f>#REF!-";Hb!qZ"</f>
        <v>#REF!</v>
      </c>
      <c r="AO27" t="e">
        <f>#REF!-";Hb!q["</f>
        <v>#REF!</v>
      </c>
      <c r="AP27" t="e">
        <f>#REF!-";Hb!q\"</f>
        <v>#REF!</v>
      </c>
      <c r="AQ27" t="e">
        <f>#REF!-";Hb!q]"</f>
        <v>#REF!</v>
      </c>
      <c r="AR27" t="e">
        <f>#REF!-";Hb!q^"</f>
        <v>#REF!</v>
      </c>
      <c r="AS27" t="e">
        <f>#REF!-";Hb!q_"</f>
        <v>#REF!</v>
      </c>
      <c r="AT27" t="e">
        <f>#REF!-";Hb!q`"</f>
        <v>#REF!</v>
      </c>
      <c r="AU27" t="e">
        <f>#REF!-";Hb!qa"</f>
        <v>#REF!</v>
      </c>
      <c r="AV27" t="e">
        <f>#REF!-";Hb!qb"</f>
        <v>#REF!</v>
      </c>
      <c r="AW27" t="e">
        <f>#REF!-";Hb!qc"</f>
        <v>#REF!</v>
      </c>
      <c r="AX27" t="e">
        <f>#REF!-";Hb!qd"</f>
        <v>#REF!</v>
      </c>
      <c r="AY27" t="e">
        <f>#REF!-";Hb!qe"</f>
        <v>#REF!</v>
      </c>
      <c r="AZ27" t="e">
        <f>#REF!-";Hb!qf"</f>
        <v>#REF!</v>
      </c>
      <c r="BA27" t="e">
        <f>#REF!-";Hb!qg"</f>
        <v>#REF!</v>
      </c>
      <c r="BB27" t="e">
        <f>#REF!-";Hb!qh"</f>
        <v>#REF!</v>
      </c>
      <c r="BC27" t="e">
        <f>#REF!-";Hb!qi"</f>
        <v>#REF!</v>
      </c>
      <c r="BD27" t="e">
        <f>#REF!-";Hb!qj"</f>
        <v>#REF!</v>
      </c>
      <c r="BE27" t="e">
        <f>#REF!-";Hb!qk"</f>
        <v>#REF!</v>
      </c>
      <c r="BF27" t="e">
        <f>#REF!-";Hb!ql"</f>
        <v>#REF!</v>
      </c>
      <c r="BG27" t="e">
        <f>#REF!-";Hb!qm"</f>
        <v>#REF!</v>
      </c>
      <c r="BH27" t="e">
        <f>#REF!-";Hb!qn"</f>
        <v>#REF!</v>
      </c>
      <c r="BI27" t="e">
        <f>#REF!-";Hb!qo"</f>
        <v>#REF!</v>
      </c>
      <c r="BJ27" t="e">
        <f>#REF!-";Hb!qp"</f>
        <v>#REF!</v>
      </c>
      <c r="BK27" t="e">
        <f>#REF!-";Hb!qq"</f>
        <v>#REF!</v>
      </c>
      <c r="BL27" t="e">
        <f>#REF!-";Hb!qr"</f>
        <v>#REF!</v>
      </c>
      <c r="BM27" t="e">
        <f>#REF!-";Hb!qs"</f>
        <v>#REF!</v>
      </c>
      <c r="BN27" t="e">
        <f>#REF!-";Hb!qt"</f>
        <v>#REF!</v>
      </c>
      <c r="BO27" t="e">
        <f>#REF!-";Hb!qu"</f>
        <v>#REF!</v>
      </c>
      <c r="BP27" t="e">
        <f>#REF!-";Hb!qv"</f>
        <v>#REF!</v>
      </c>
      <c r="BQ27" t="e">
        <f>#REF!-";Hb!qw"</f>
        <v>#REF!</v>
      </c>
      <c r="BR27" t="e">
        <f>#REF!-";Hb!qx"</f>
        <v>#REF!</v>
      </c>
      <c r="BS27" t="e">
        <f>#REF!-";Hb!qy"</f>
        <v>#REF!</v>
      </c>
      <c r="BT27" t="e">
        <f>#REF!-";Hb!qz"</f>
        <v>#REF!</v>
      </c>
      <c r="BU27" t="e">
        <f>#REF!-";Hb!q{"</f>
        <v>#REF!</v>
      </c>
      <c r="BV27" t="e">
        <f>#REF!-";Hb!q|"</f>
        <v>#REF!</v>
      </c>
      <c r="BW27" t="e">
        <f>#REF!-";Hb!q}"</f>
        <v>#REF!</v>
      </c>
      <c r="BX27" t="e">
        <f>#REF!-";Hb!q~"</f>
        <v>#REF!</v>
      </c>
      <c r="BY27" t="e">
        <f>#REF!-";Hb!r#"</f>
        <v>#REF!</v>
      </c>
      <c r="BZ27" t="e">
        <f>#REF!-";Hb!r$"</f>
        <v>#REF!</v>
      </c>
      <c r="CA27" t="e">
        <f>#REF!-";Hb!r%"</f>
        <v>#REF!</v>
      </c>
      <c r="CB27" t="e">
        <f>#REF!-";Hb!r&amp;"</f>
        <v>#REF!</v>
      </c>
      <c r="CC27" t="e">
        <f>#REF!-";Hb!r'"</f>
        <v>#REF!</v>
      </c>
      <c r="CD27" t="e">
        <f>#REF!-";Hb!r("</f>
        <v>#REF!</v>
      </c>
      <c r="CE27" t="e">
        <f>#REF!-";Hb!r)"</f>
        <v>#REF!</v>
      </c>
      <c r="CF27" t="e">
        <f>#REF!-";Hb!r."</f>
        <v>#REF!</v>
      </c>
      <c r="CG27" t="e">
        <f>#REF!-";Hb!r/"</f>
        <v>#REF!</v>
      </c>
      <c r="CH27" t="e">
        <f>#REF!-";Hb!r0"</f>
        <v>#REF!</v>
      </c>
      <c r="CI27" t="e">
        <f>#REF!-";Hb!r1"</f>
        <v>#REF!</v>
      </c>
      <c r="CJ27" t="e">
        <f>#REF!-";Hb!r2"</f>
        <v>#REF!</v>
      </c>
      <c r="CK27" t="e">
        <f>#REF!-";Hb!r3"</f>
        <v>#REF!</v>
      </c>
      <c r="CL27" t="e">
        <f>#REF!-";Hb!r4"</f>
        <v>#REF!</v>
      </c>
      <c r="CM27" t="e">
        <f>#REF!-";Hb!r5"</f>
        <v>#REF!</v>
      </c>
      <c r="CN27" t="e">
        <f>#REF!-";Hb!r6"</f>
        <v>#REF!</v>
      </c>
      <c r="CO27" t="e">
        <f>#REF!-";Hb!r7"</f>
        <v>#REF!</v>
      </c>
      <c r="CP27" t="e">
        <f>#REF!-";Hb!r8"</f>
        <v>#REF!</v>
      </c>
      <c r="CQ27" t="e">
        <f>#REF!-";Hb!r9"</f>
        <v>#REF!</v>
      </c>
      <c r="CR27" t="e">
        <f>#REF!-";Hb!r:"</f>
        <v>#REF!</v>
      </c>
      <c r="CS27" t="e">
        <f>#REF!-";Hb!r;"</f>
        <v>#REF!</v>
      </c>
      <c r="CT27" t="e">
        <f>#REF!-";Hb!r&lt;"</f>
        <v>#REF!</v>
      </c>
      <c r="CU27" t="e">
        <f>#REF!-";Hb!r="</f>
        <v>#REF!</v>
      </c>
      <c r="CV27" t="e">
        <f>#REF!-";Hb!r&gt;"</f>
        <v>#REF!</v>
      </c>
      <c r="CW27" t="e">
        <f>#REF!-";Hb!r?"</f>
        <v>#REF!</v>
      </c>
      <c r="CX27" t="e">
        <f>#REF!-";Hb!r@"</f>
        <v>#REF!</v>
      </c>
      <c r="CY27" t="e">
        <f>#REF!-";Hb!rA"</f>
        <v>#REF!</v>
      </c>
      <c r="CZ27" t="e">
        <f>#REF!-";Hb!rB"</f>
        <v>#REF!</v>
      </c>
      <c r="DA27" t="e">
        <f>#REF!-";Hb!rC"</f>
        <v>#REF!</v>
      </c>
      <c r="DB27" t="e">
        <f>#REF!-";Hb!rD"</f>
        <v>#REF!</v>
      </c>
      <c r="DC27" t="e">
        <f>#REF!-";Hb!rE"</f>
        <v>#REF!</v>
      </c>
      <c r="DD27" t="e">
        <f>#REF!-";Hb!rF"</f>
        <v>#REF!</v>
      </c>
      <c r="DE27" t="e">
        <f>#REF!-";Hb!rG"</f>
        <v>#REF!</v>
      </c>
      <c r="DF27" t="e">
        <f>#REF!-";Hb!rH"</f>
        <v>#REF!</v>
      </c>
      <c r="DG27" t="e">
        <f>#REF!-";Hb!rI"</f>
        <v>#REF!</v>
      </c>
      <c r="DH27" t="e">
        <f>#REF!-";Hb!rJ"</f>
        <v>#REF!</v>
      </c>
      <c r="DI27" t="e">
        <f>#REF!-";Hb!rK"</f>
        <v>#REF!</v>
      </c>
      <c r="DJ27" t="e">
        <f>#REF!-";Hb!rL"</f>
        <v>#REF!</v>
      </c>
      <c r="DK27" t="e">
        <f>#REF!-";Hb!rM"</f>
        <v>#REF!</v>
      </c>
      <c r="DL27" t="e">
        <f>#REF!-";Hb!rN"</f>
        <v>#REF!</v>
      </c>
      <c r="DM27" t="e">
        <f>#REF!-";Hb!rO"</f>
        <v>#REF!</v>
      </c>
      <c r="DN27" t="e">
        <f>#REF!-";Hb!rP"</f>
        <v>#REF!</v>
      </c>
      <c r="DO27" t="e">
        <f>#REF!-";Hb!rQ"</f>
        <v>#REF!</v>
      </c>
      <c r="DP27" t="e">
        <f>#REF!-";Hb!rR"</f>
        <v>#REF!</v>
      </c>
      <c r="DQ27" t="e">
        <f>#REF!-";Hb!rS"</f>
        <v>#REF!</v>
      </c>
      <c r="DR27" t="e">
        <f>#REF!-";Hb!rT"</f>
        <v>#REF!</v>
      </c>
      <c r="DS27" t="e">
        <f>#REF!-";Hb!rU"</f>
        <v>#REF!</v>
      </c>
      <c r="DT27" t="e">
        <f>#REF!-";Hb!rV"</f>
        <v>#REF!</v>
      </c>
      <c r="DU27" t="e">
        <f>#REF!-";Hb!rW"</f>
        <v>#REF!</v>
      </c>
      <c r="DV27" t="e">
        <f>#REF!-";Hb!rX"</f>
        <v>#REF!</v>
      </c>
      <c r="DW27" t="e">
        <f>#REF!-";Hb!rY"</f>
        <v>#REF!</v>
      </c>
      <c r="DX27" t="e">
        <f>#REF!-";Hb!rZ"</f>
        <v>#REF!</v>
      </c>
      <c r="DY27" t="e">
        <f>#REF!-";Hb!r["</f>
        <v>#REF!</v>
      </c>
      <c r="DZ27" t="e">
        <f>#REF!-";Hb!r\"</f>
        <v>#REF!</v>
      </c>
      <c r="EA27" t="e">
        <f>#REF!-";Hb!r]"</f>
        <v>#REF!</v>
      </c>
      <c r="EB27" t="e">
        <f>#REF!-";Hb!r^"</f>
        <v>#REF!</v>
      </c>
      <c r="EC27" t="e">
        <f>#REF!-";Hb!r_"</f>
        <v>#REF!</v>
      </c>
      <c r="ED27" t="e">
        <f>#REF!-";Hb!r`"</f>
        <v>#REF!</v>
      </c>
      <c r="EE27" t="e">
        <f>#REF!-";Hb!ra"</f>
        <v>#REF!</v>
      </c>
      <c r="EF27" t="e">
        <f>#REF!-";Hb!rb"</f>
        <v>#REF!</v>
      </c>
      <c r="EG27" t="e">
        <f>#REF!-";Hb!rc"</f>
        <v>#REF!</v>
      </c>
      <c r="EH27" t="e">
        <f>#REF!-";Hb!rd"</f>
        <v>#REF!</v>
      </c>
      <c r="EI27" t="e">
        <f>#REF!-";Hb!re"</f>
        <v>#REF!</v>
      </c>
      <c r="EJ27" t="e">
        <f>#REF!-";Hb!rf"</f>
        <v>#REF!</v>
      </c>
      <c r="EK27" t="e">
        <f>#REF!-";Hb!rg"</f>
        <v>#REF!</v>
      </c>
      <c r="EL27" t="e">
        <f>#REF!-";Hb!rh"</f>
        <v>#REF!</v>
      </c>
      <c r="EM27" t="e">
        <f>#REF!-";Hb!ri"</f>
        <v>#REF!</v>
      </c>
      <c r="EN27" t="e">
        <f>#REF!-";Hb!rj"</f>
        <v>#REF!</v>
      </c>
      <c r="EO27" t="e">
        <f>#REF!-";Hb!rk"</f>
        <v>#REF!</v>
      </c>
      <c r="EP27" t="e">
        <f>#REF!-";Hb!rl"</f>
        <v>#REF!</v>
      </c>
      <c r="EQ27" t="e">
        <f>#REF!-";Hb!rm"</f>
        <v>#REF!</v>
      </c>
      <c r="ER27" t="e">
        <f>#REF!-";Hb!rn"</f>
        <v>#REF!</v>
      </c>
      <c r="ES27" t="e">
        <f>#REF!-";Hb!ro"</f>
        <v>#REF!</v>
      </c>
      <c r="ET27" t="e">
        <f>#REF!-";Hb!rp"</f>
        <v>#REF!</v>
      </c>
      <c r="EU27" t="e">
        <f>#REF!-";Hb!rq"</f>
        <v>#REF!</v>
      </c>
      <c r="EV27" t="e">
        <f>#REF!-";Hb!rr"</f>
        <v>#REF!</v>
      </c>
      <c r="EW27" t="e">
        <f>#REF!-";Hb!rs"</f>
        <v>#REF!</v>
      </c>
      <c r="EX27" t="e">
        <f>#REF!-";Hb!rt"</f>
        <v>#REF!</v>
      </c>
      <c r="EY27" t="e">
        <f>#REF!-";Hb!ru"</f>
        <v>#REF!</v>
      </c>
      <c r="EZ27" t="e">
        <f>#REF!-";Hb!rv"</f>
        <v>#REF!</v>
      </c>
      <c r="FA27" t="e">
        <f>#REF!-";Hb!rw"</f>
        <v>#REF!</v>
      </c>
      <c r="FB27" t="e">
        <f>#REF!-";Hb!rx"</f>
        <v>#REF!</v>
      </c>
      <c r="FC27" t="e">
        <f>#REF!-";Hb!ry"</f>
        <v>#REF!</v>
      </c>
      <c r="FD27" t="e">
        <f>#REF!-";Hb!rz"</f>
        <v>#REF!</v>
      </c>
      <c r="FE27" t="e">
        <f>#REF!-";Hb!r{"</f>
        <v>#REF!</v>
      </c>
      <c r="FF27" t="e">
        <f>#REF!-";Hb!r|"</f>
        <v>#REF!</v>
      </c>
      <c r="FG27" t="e">
        <f>#REF!-";Hb!r}"</f>
        <v>#REF!</v>
      </c>
      <c r="FH27" t="e">
        <f>#REF!-";Hb!r~"</f>
        <v>#REF!</v>
      </c>
      <c r="FI27" t="e">
        <f>#REF!-";Hb!s#"</f>
        <v>#REF!</v>
      </c>
      <c r="FJ27" t="e">
        <f>#REF!-";Hb!s$"</f>
        <v>#REF!</v>
      </c>
      <c r="FK27" t="e">
        <f>#REF!-";Hb!s%"</f>
        <v>#REF!</v>
      </c>
      <c r="FL27" t="e">
        <f>#REF!-";Hb!s&amp;"</f>
        <v>#REF!</v>
      </c>
      <c r="FM27" t="e">
        <f>#REF!-";Hb!s'"</f>
        <v>#REF!</v>
      </c>
      <c r="FN27" t="e">
        <f>#REF!-";Hb!s("</f>
        <v>#REF!</v>
      </c>
      <c r="FO27" t="e">
        <f>#REF!-";Hb!s)"</f>
        <v>#REF!</v>
      </c>
      <c r="FP27" t="e">
        <f>#REF!-";Hb!s."</f>
        <v>#REF!</v>
      </c>
      <c r="FQ27" t="e">
        <f>#REF!-";Hb!s/"</f>
        <v>#REF!</v>
      </c>
      <c r="FR27" t="e">
        <f>#REF!-";Hb!s0"</f>
        <v>#REF!</v>
      </c>
      <c r="FS27" t="e">
        <f>#REF!-";Hb!s1"</f>
        <v>#REF!</v>
      </c>
      <c r="FT27" t="e">
        <f>#REF!-";Hb!s2"</f>
        <v>#REF!</v>
      </c>
      <c r="FU27" t="e">
        <f>#REF!-";Hb!s3"</f>
        <v>#REF!</v>
      </c>
      <c r="FV27" t="e">
        <f>#REF!-";Hb!s4"</f>
        <v>#REF!</v>
      </c>
      <c r="FW27" t="e">
        <f>#REF!-";Hb!s5"</f>
        <v>#REF!</v>
      </c>
      <c r="FX27" t="e">
        <f>#REF!-";Hb!s6"</f>
        <v>#REF!</v>
      </c>
      <c r="FY27" t="e">
        <f>#REF!-";Hb!s7"</f>
        <v>#REF!</v>
      </c>
      <c r="FZ27" t="e">
        <f>#REF!-";Hb!s8"</f>
        <v>#REF!</v>
      </c>
      <c r="GA27" t="e">
        <f>#REF!-";Hb!s9"</f>
        <v>#REF!</v>
      </c>
      <c r="GB27" t="e">
        <f>#REF!-";Hb!s:"</f>
        <v>#REF!</v>
      </c>
      <c r="GC27" t="e">
        <f>#REF!-";Hb!s;"</f>
        <v>#REF!</v>
      </c>
      <c r="GD27" t="e">
        <f>#REF!-";Hb!s&lt;"</f>
        <v>#REF!</v>
      </c>
      <c r="GE27" t="e">
        <f>#REF!-";Hb!s="</f>
        <v>#REF!</v>
      </c>
      <c r="GF27" t="e">
        <f>#REF!-";Hb!s&gt;"</f>
        <v>#REF!</v>
      </c>
      <c r="GG27" t="e">
        <f>#REF!-";Hb!s?"</f>
        <v>#REF!</v>
      </c>
      <c r="GH27" t="e">
        <f>#REF!-";Hb!s@"</f>
        <v>#REF!</v>
      </c>
      <c r="GI27" t="e">
        <f>#REF!-";Hb!sA"</f>
        <v>#REF!</v>
      </c>
      <c r="GJ27" t="e">
        <f>#REF!-";Hb!sB"</f>
        <v>#REF!</v>
      </c>
      <c r="GK27" t="e">
        <f>#REF!-";Hb!sC"</f>
        <v>#REF!</v>
      </c>
      <c r="GL27" t="e">
        <f>#REF!-";Hb!sD"</f>
        <v>#REF!</v>
      </c>
      <c r="GM27" t="e">
        <f>#REF!-";Hb!sE"</f>
        <v>#REF!</v>
      </c>
      <c r="GN27" t="e">
        <f>#REF!-";Hb!sF"</f>
        <v>#REF!</v>
      </c>
      <c r="GO27" t="e">
        <f>#REF!-";Hb!sG"</f>
        <v>#REF!</v>
      </c>
      <c r="GP27" t="e">
        <f>#REF!-";Hb!sH"</f>
        <v>#REF!</v>
      </c>
      <c r="GQ27" t="e">
        <f>#REF!-";Hb!sI"</f>
        <v>#REF!</v>
      </c>
      <c r="GR27" t="e">
        <f>#REF!-";Hb!sJ"</f>
        <v>#REF!</v>
      </c>
      <c r="GS27" t="e">
        <f>#REF!-";Hb!sK"</f>
        <v>#REF!</v>
      </c>
      <c r="GT27" t="e">
        <f>#REF!-";Hb!sL"</f>
        <v>#REF!</v>
      </c>
      <c r="GU27" t="e">
        <f>#REF!-";Hb!sM"</f>
        <v>#REF!</v>
      </c>
      <c r="GV27" t="e">
        <f>#REF!-";Hb!sN"</f>
        <v>#REF!</v>
      </c>
      <c r="GW27" t="e">
        <f>#REF!-";Hb!sO"</f>
        <v>#REF!</v>
      </c>
      <c r="GX27" t="e">
        <f>#REF!-";Hb!sP"</f>
        <v>#REF!</v>
      </c>
      <c r="GY27" t="e">
        <f>#REF!-";Hb!sQ"</f>
        <v>#REF!</v>
      </c>
      <c r="GZ27" t="e">
        <f>#REF!-";Hb!sR"</f>
        <v>#REF!</v>
      </c>
      <c r="HA27" t="e">
        <f>#REF!-";Hb!sS"</f>
        <v>#REF!</v>
      </c>
      <c r="HB27" t="e">
        <f>#REF!-";Hb!sT"</f>
        <v>#REF!</v>
      </c>
      <c r="HC27" t="e">
        <f>#REF!-";Hb!sU"</f>
        <v>#REF!</v>
      </c>
      <c r="HD27" t="e">
        <f>#REF!-";Hb!sV"</f>
        <v>#REF!</v>
      </c>
      <c r="HE27" t="e">
        <f>#REF!-";Hb!sW"</f>
        <v>#REF!</v>
      </c>
      <c r="HF27" t="e">
        <f>#REF!-";Hb!sX"</f>
        <v>#REF!</v>
      </c>
      <c r="HG27" t="e">
        <f>#REF!-";Hb!sY"</f>
        <v>#REF!</v>
      </c>
      <c r="HH27" t="e">
        <f>#REF!-";Hb!sZ"</f>
        <v>#REF!</v>
      </c>
      <c r="HI27" t="e">
        <f>#REF!-";Hb!s["</f>
        <v>#REF!</v>
      </c>
      <c r="HJ27" t="e">
        <f>#REF!-";Hb!s\"</f>
        <v>#REF!</v>
      </c>
      <c r="HK27" t="e">
        <f>#REF!-";Hb!s]"</f>
        <v>#REF!</v>
      </c>
      <c r="HL27" t="e">
        <f>#REF!-";Hb!s^"</f>
        <v>#REF!</v>
      </c>
      <c r="HM27" t="e">
        <f>#REF!-";Hb!s_"</f>
        <v>#REF!</v>
      </c>
      <c r="HN27" t="e">
        <f>#REF!-";Hb!s`"</f>
        <v>#REF!</v>
      </c>
      <c r="HO27" t="e">
        <f>#REF!-";Hb!sa"</f>
        <v>#REF!</v>
      </c>
      <c r="HP27" t="e">
        <f>#REF!-";Hb!sb"</f>
        <v>#REF!</v>
      </c>
      <c r="HQ27" t="e">
        <f>#REF!-";Hb!sc"</f>
        <v>#REF!</v>
      </c>
      <c r="HR27" t="e">
        <f>#REF!-";Hb!sd"</f>
        <v>#REF!</v>
      </c>
      <c r="HS27" t="e">
        <f>#REF!-";Hb!se"</f>
        <v>#REF!</v>
      </c>
      <c r="HT27" t="e">
        <f>#REF!-";Hb!sf"</f>
        <v>#REF!</v>
      </c>
      <c r="HU27" t="e">
        <f>#REF!-";Hb!sg"</f>
        <v>#REF!</v>
      </c>
      <c r="HV27" t="e">
        <f>#REF!-";Hb!sh"</f>
        <v>#REF!</v>
      </c>
      <c r="HW27" t="e">
        <f>#REF!-";Hb!si"</f>
        <v>#REF!</v>
      </c>
      <c r="HX27" t="e">
        <f>#REF!-";Hb!sj"</f>
        <v>#REF!</v>
      </c>
      <c r="HY27" t="e">
        <f>#REF!-";Hb!sk"</f>
        <v>#REF!</v>
      </c>
      <c r="HZ27" t="e">
        <f>#REF!-";Hb!sl"</f>
        <v>#REF!</v>
      </c>
      <c r="IA27" t="e">
        <f>#REF!-";Hb!sm"</f>
        <v>#REF!</v>
      </c>
      <c r="IB27" t="e">
        <f>#REF!-";Hb!sn"</f>
        <v>#REF!</v>
      </c>
      <c r="IC27" t="e">
        <f>#REF!-";Hb!so"</f>
        <v>#REF!</v>
      </c>
      <c r="ID27" t="e">
        <f>#REF!-";Hb!sp"</f>
        <v>#REF!</v>
      </c>
      <c r="IE27" t="e">
        <f>#REF!-";Hb!sq"</f>
        <v>#REF!</v>
      </c>
      <c r="IF27" t="e">
        <f>#REF!-";Hb!sr"</f>
        <v>#REF!</v>
      </c>
      <c r="IG27" t="e">
        <f>#REF!-";Hb!ss"</f>
        <v>#REF!</v>
      </c>
      <c r="IH27" t="e">
        <f>#REF!-";Hb!st"</f>
        <v>#REF!</v>
      </c>
      <c r="II27" t="e">
        <f>#REF!-";Hb!su"</f>
        <v>#REF!</v>
      </c>
      <c r="IJ27" t="e">
        <f>#REF!-";Hb!sv"</f>
        <v>#REF!</v>
      </c>
      <c r="IK27" t="e">
        <f>#REF!-";Hb!sw"</f>
        <v>#REF!</v>
      </c>
      <c r="IL27" t="e">
        <f>#REF!-";Hb!sx"</f>
        <v>#REF!</v>
      </c>
      <c r="IM27" t="e">
        <f>#REF!-";Hb!sy"</f>
        <v>#REF!</v>
      </c>
      <c r="IN27" t="e">
        <f>#REF!-";Hb!sz"</f>
        <v>#REF!</v>
      </c>
      <c r="IO27" t="e">
        <f>#REF!-";Hb!s{"</f>
        <v>#REF!</v>
      </c>
      <c r="IP27" t="e">
        <f>#REF!-";Hb!s|"</f>
        <v>#REF!</v>
      </c>
      <c r="IQ27" t="e">
        <f>#REF!-";Hb!s}"</f>
        <v>#REF!</v>
      </c>
      <c r="IR27" t="e">
        <f>#REF!-";Hb!s~"</f>
        <v>#REF!</v>
      </c>
      <c r="IS27" t="e">
        <f>#REF!-";Hb!t#"</f>
        <v>#REF!</v>
      </c>
      <c r="IT27" t="e">
        <f>#REF!-";Hb!t$"</f>
        <v>#REF!</v>
      </c>
      <c r="IU27" t="e">
        <f>#REF!-";Hb!t%"</f>
        <v>#REF!</v>
      </c>
      <c r="IV27" t="e">
        <f>#REF!-";Hb!t&amp;"</f>
        <v>#REF!</v>
      </c>
    </row>
    <row r="28" spans="6:256" x14ac:dyDescent="0.25">
      <c r="F28" t="e">
        <f>#REF!-";Hb!t'"</f>
        <v>#REF!</v>
      </c>
      <c r="G28" t="e">
        <f>#REF!-";Hb!t("</f>
        <v>#REF!</v>
      </c>
      <c r="H28" t="e">
        <f>#REF!-";Hb!t)"</f>
        <v>#REF!</v>
      </c>
      <c r="I28" t="e">
        <f>#REF!-";Hb!t."</f>
        <v>#REF!</v>
      </c>
      <c r="J28" t="e">
        <f>#REF!-";Hb!t/"</f>
        <v>#REF!</v>
      </c>
      <c r="K28" t="e">
        <f>#REF!-";Hb!t0"</f>
        <v>#REF!</v>
      </c>
      <c r="L28" t="e">
        <f>#REF!-";Hb!t1"</f>
        <v>#REF!</v>
      </c>
      <c r="M28" t="e">
        <f>#REF!-";Hb!t2"</f>
        <v>#REF!</v>
      </c>
      <c r="N28" t="e">
        <f>#REF!-";Hb!t3"</f>
        <v>#REF!</v>
      </c>
      <c r="O28" t="e">
        <f>#REF!-";Hb!t4"</f>
        <v>#REF!</v>
      </c>
      <c r="P28" t="e">
        <f>#REF!-";Hb!t5"</f>
        <v>#REF!</v>
      </c>
      <c r="Q28" t="e">
        <f>#REF!-";Hb!t6"</f>
        <v>#REF!</v>
      </c>
      <c r="R28" t="e">
        <f>#REF!-";Hb!t7"</f>
        <v>#REF!</v>
      </c>
      <c r="S28" t="e">
        <f>#REF!-";Hb!t8"</f>
        <v>#REF!</v>
      </c>
      <c r="T28" t="e">
        <f>#REF!-";Hb!t9"</f>
        <v>#REF!</v>
      </c>
      <c r="U28" t="e">
        <f>#REF!-";Hb!t:"</f>
        <v>#REF!</v>
      </c>
      <c r="V28" t="e">
        <f>#REF!-";Hb!t;"</f>
        <v>#REF!</v>
      </c>
      <c r="W28" t="e">
        <f>#REF!-";Hb!t&lt;"</f>
        <v>#REF!</v>
      </c>
      <c r="X28" t="e">
        <f>#REF!-";Hb!t="</f>
        <v>#REF!</v>
      </c>
      <c r="Y28" t="e">
        <f>#REF!-";Hb!t&gt;"</f>
        <v>#REF!</v>
      </c>
      <c r="Z28" t="e">
        <f>#REF!-";Hb!t?"</f>
        <v>#REF!</v>
      </c>
      <c r="AA28" t="e">
        <f>#REF!-";Hb!t@"</f>
        <v>#REF!</v>
      </c>
      <c r="AB28" t="e">
        <f>#REF!-";Hb!tA"</f>
        <v>#REF!</v>
      </c>
      <c r="AC28" t="e">
        <f>#REF!-";Hb!tB"</f>
        <v>#REF!</v>
      </c>
      <c r="AD28" t="e">
        <f>#REF!-";Hb!tC"</f>
        <v>#REF!</v>
      </c>
      <c r="AE28" t="e">
        <f>#REF!-";Hb!tD"</f>
        <v>#REF!</v>
      </c>
      <c r="AF28" t="e">
        <f>#REF!-";Hb!tE"</f>
        <v>#REF!</v>
      </c>
      <c r="AG28" t="e">
        <f>#REF!-";Hb!tF"</f>
        <v>#REF!</v>
      </c>
      <c r="AH28" t="e">
        <f>#REF!-";Hb!tG"</f>
        <v>#REF!</v>
      </c>
      <c r="AI28" t="e">
        <f>#REF!-";Hb!tH"</f>
        <v>#REF!</v>
      </c>
      <c r="AJ28" t="e">
        <f>#REF!-";Hb!tI"</f>
        <v>#REF!</v>
      </c>
      <c r="AK28" t="e">
        <f>#REF!-";Hb!tJ"</f>
        <v>#REF!</v>
      </c>
      <c r="AL28" t="e">
        <f>#REF!-";Hb!tK"</f>
        <v>#REF!</v>
      </c>
      <c r="AM28" t="e">
        <f>#REF!-";Hb!tL"</f>
        <v>#REF!</v>
      </c>
      <c r="AN28" t="e">
        <f>#REF!-";Hb!tM"</f>
        <v>#REF!</v>
      </c>
      <c r="AO28" t="e">
        <f>#REF!-";Hb!tN"</f>
        <v>#REF!</v>
      </c>
      <c r="AP28" t="e">
        <f>#REF!-";Hb!tO"</f>
        <v>#REF!</v>
      </c>
      <c r="AQ28" t="e">
        <f>#REF!-";Hb!tP"</f>
        <v>#REF!</v>
      </c>
      <c r="AR28" t="e">
        <f>#REF!-";Hb!tQ"</f>
        <v>#REF!</v>
      </c>
      <c r="AS28" t="e">
        <f>#REF!-";Hb!tR"</f>
        <v>#REF!</v>
      </c>
      <c r="AT28" t="e">
        <f>#REF!-";Hb!tS"</f>
        <v>#REF!</v>
      </c>
      <c r="AU28" t="e">
        <f>#REF!-";Hb!tT"</f>
        <v>#REF!</v>
      </c>
      <c r="AV28" t="e">
        <f>#REF!-";Hb!tU"</f>
        <v>#REF!</v>
      </c>
      <c r="AW28" t="e">
        <f>#REF!-";Hb!tV"</f>
        <v>#REF!</v>
      </c>
      <c r="AX28" t="e">
        <f>#REF!-";Hb!tW"</f>
        <v>#REF!</v>
      </c>
      <c r="AY28" t="e">
        <f>#REF!-";Hb!tX"</f>
        <v>#REF!</v>
      </c>
      <c r="AZ28" t="e">
        <f>#REF!-";Hb!tY"</f>
        <v>#REF!</v>
      </c>
      <c r="BA28" t="e">
        <f>#REF!-";Hb!tZ"</f>
        <v>#REF!</v>
      </c>
      <c r="BB28" t="e">
        <f>#REF!-";Hb!t["</f>
        <v>#REF!</v>
      </c>
      <c r="BC28" t="e">
        <f>#REF!-";Hb!t\"</f>
        <v>#REF!</v>
      </c>
      <c r="BD28" t="e">
        <f>#REF!-";Hb!t]"</f>
        <v>#REF!</v>
      </c>
      <c r="BE28" t="e">
        <f>#REF!-";Hb!t^"</f>
        <v>#REF!</v>
      </c>
      <c r="BF28" t="e">
        <f>#REF!-";Hb!t_"</f>
        <v>#REF!</v>
      </c>
      <c r="BG28" t="e">
        <f>#REF!-";Hb!t`"</f>
        <v>#REF!</v>
      </c>
      <c r="BH28" t="e">
        <f>#REF!-";Hb!ta"</f>
        <v>#REF!</v>
      </c>
      <c r="BI28" t="e">
        <f>#REF!-";Hb!tb"</f>
        <v>#REF!</v>
      </c>
      <c r="BJ28" t="e">
        <f>#REF!-";Hb!tc"</f>
        <v>#REF!</v>
      </c>
      <c r="BK28" t="e">
        <f>#REF!-";Hb!td"</f>
        <v>#REF!</v>
      </c>
      <c r="BL28" t="e">
        <f>#REF!-";Hb!te"</f>
        <v>#REF!</v>
      </c>
      <c r="BM28" t="e">
        <f>#REF!-";Hb!tf"</f>
        <v>#REF!</v>
      </c>
      <c r="BN28" t="e">
        <f>#REF!-";Hb!tg"</f>
        <v>#REF!</v>
      </c>
      <c r="BO28" t="e">
        <f>#REF!-";Hb!th"</f>
        <v>#REF!</v>
      </c>
      <c r="BP28" t="e">
        <f>#REF!-";Hb!ti"</f>
        <v>#REF!</v>
      </c>
      <c r="BQ28" t="e">
        <f>#REF!-";Hb!tj"</f>
        <v>#REF!</v>
      </c>
      <c r="BR28" t="e">
        <f>#REF!-";Hb!tk"</f>
        <v>#REF!</v>
      </c>
      <c r="BS28" t="e">
        <f>#REF!-";Hb!tl"</f>
        <v>#REF!</v>
      </c>
      <c r="BT28" t="e">
        <f>#REF!-";Hb!tm"</f>
        <v>#REF!</v>
      </c>
      <c r="BU28" t="e">
        <f>#REF!-";Hb!tn"</f>
        <v>#REF!</v>
      </c>
      <c r="BV28" t="e">
        <f>#REF!-";Hb!to"</f>
        <v>#REF!</v>
      </c>
      <c r="BW28" t="e">
        <f>#REF!-";Hb!tp"</f>
        <v>#REF!</v>
      </c>
      <c r="BX28" t="e">
        <f>#REF!-";Hb!tq"</f>
        <v>#REF!</v>
      </c>
      <c r="BY28" t="e">
        <f>#REF!-";Hb!tr"</f>
        <v>#REF!</v>
      </c>
      <c r="BZ28" t="e">
        <f>#REF!-";Hb!ts"</f>
        <v>#REF!</v>
      </c>
      <c r="CA28" t="e">
        <f>#REF!-";Hb!tt"</f>
        <v>#REF!</v>
      </c>
      <c r="CB28" t="e">
        <f>#REF!-";Hb!tu"</f>
        <v>#REF!</v>
      </c>
      <c r="CC28" t="e">
        <f>#REF!-";Hb!tv"</f>
        <v>#REF!</v>
      </c>
      <c r="CD28" t="e">
        <f>#REF!-";Hb!tw"</f>
        <v>#REF!</v>
      </c>
      <c r="CE28" t="e">
        <f>#REF!-";Hb!tx"</f>
        <v>#REF!</v>
      </c>
      <c r="CF28" t="e">
        <f>#REF!-";Hb!ty"</f>
        <v>#REF!</v>
      </c>
      <c r="CG28" t="e">
        <f>#REF!-";Hb!tz"</f>
        <v>#REF!</v>
      </c>
      <c r="CH28" t="e">
        <f>#REF!-";Hb!t{"</f>
        <v>#REF!</v>
      </c>
      <c r="CI28" t="e">
        <f>#REF!-";Hb!t|"</f>
        <v>#REF!</v>
      </c>
      <c r="CJ28" t="e">
        <f>#REF!-";Hb!t}"</f>
        <v>#REF!</v>
      </c>
      <c r="CK28" t="e">
        <f>#REF!-";Hb!t~"</f>
        <v>#REF!</v>
      </c>
      <c r="CL28" t="e">
        <f>#REF!-";Hb!u#"</f>
        <v>#REF!</v>
      </c>
      <c r="CM28" t="e">
        <f>#REF!-";Hb!u$"</f>
        <v>#REF!</v>
      </c>
      <c r="CN28" t="e">
        <f>#REF!-";Hb!u%"</f>
        <v>#REF!</v>
      </c>
      <c r="CO28" t="e">
        <f>#REF!-";Hb!u&amp;"</f>
        <v>#REF!</v>
      </c>
      <c r="CP28" t="e">
        <f>#REF!-";Hb!u'"</f>
        <v>#REF!</v>
      </c>
      <c r="CQ28" t="e">
        <f>#REF!-";Hb!u("</f>
        <v>#REF!</v>
      </c>
      <c r="CR28" t="e">
        <f>#REF!-";Hb!u)"</f>
        <v>#REF!</v>
      </c>
      <c r="CS28" t="e">
        <f>#REF!-";Hb!u."</f>
        <v>#REF!</v>
      </c>
      <c r="CT28" t="e">
        <f>#REF!-";Hb!u/"</f>
        <v>#REF!</v>
      </c>
      <c r="CU28" t="e">
        <f>#REF!-";Hb!u0"</f>
        <v>#REF!</v>
      </c>
      <c r="CV28" t="e">
        <f>#REF!-";Hb!u1"</f>
        <v>#REF!</v>
      </c>
      <c r="CW28" t="e">
        <f>#REF!-";Hb!u2"</f>
        <v>#REF!</v>
      </c>
      <c r="CX28" t="e">
        <f>#REF!-";Hb!u3"</f>
        <v>#REF!</v>
      </c>
      <c r="CY28" t="e">
        <f>#REF!-";Hb!u4"</f>
        <v>#REF!</v>
      </c>
      <c r="CZ28" t="e">
        <f>#REF!-";Hb!u5"</f>
        <v>#REF!</v>
      </c>
      <c r="DA28" t="e">
        <f>#REF!-";Hb!u6"</f>
        <v>#REF!</v>
      </c>
      <c r="DB28" t="e">
        <f>#REF!-";Hb!u7"</f>
        <v>#REF!</v>
      </c>
      <c r="DC28" t="e">
        <f>#REF!-";Hb!u8"</f>
        <v>#REF!</v>
      </c>
      <c r="DD28" t="e">
        <f>#REF!-";Hb!u9"</f>
        <v>#REF!</v>
      </c>
      <c r="DE28" t="e">
        <f>#REF!-";Hb!u:"</f>
        <v>#REF!</v>
      </c>
      <c r="DF28" t="e">
        <f>#REF!-";Hb!u;"</f>
        <v>#REF!</v>
      </c>
      <c r="DG28" t="e">
        <f>#REF!-";Hb!u&lt;"</f>
        <v>#REF!</v>
      </c>
      <c r="DH28" t="e">
        <f>#REF!-";Hb!u="</f>
        <v>#REF!</v>
      </c>
      <c r="DI28" t="e">
        <f>#REF!-";Hb!u&gt;"</f>
        <v>#REF!</v>
      </c>
      <c r="DJ28" t="e">
        <f>#REF!-";Hb!u?"</f>
        <v>#REF!</v>
      </c>
      <c r="DK28" t="e">
        <f>#REF!-";Hb!u@"</f>
        <v>#REF!</v>
      </c>
      <c r="DL28" t="e">
        <f>#REF!-";Hb!uA"</f>
        <v>#REF!</v>
      </c>
      <c r="DM28" t="e">
        <f>#REF!-";Hb!uB"</f>
        <v>#REF!</v>
      </c>
      <c r="DN28" t="e">
        <f>#REF!-";Hb!uC"</f>
        <v>#REF!</v>
      </c>
      <c r="DO28" t="e">
        <f>#REF!-";Hb!uD"</f>
        <v>#REF!</v>
      </c>
      <c r="DP28" t="e">
        <f>#REF!-";Hb!uE"</f>
        <v>#REF!</v>
      </c>
      <c r="DQ28" t="e">
        <f>#REF!-";Hb!uF"</f>
        <v>#REF!</v>
      </c>
      <c r="DR28" t="e">
        <f>#REF!-";Hb!uG"</f>
        <v>#REF!</v>
      </c>
      <c r="DS28" t="e">
        <f>#REF!-";Hb!uH"</f>
        <v>#REF!</v>
      </c>
      <c r="DT28" t="e">
        <f>#REF!-";Hb!uI"</f>
        <v>#REF!</v>
      </c>
      <c r="DU28" t="e">
        <f>#REF!-";Hb!uJ"</f>
        <v>#REF!</v>
      </c>
      <c r="DV28" t="e">
        <f>#REF!-";Hb!uK"</f>
        <v>#REF!</v>
      </c>
      <c r="DW28" t="e">
        <f>#REF!-";Hb!uL"</f>
        <v>#REF!</v>
      </c>
      <c r="DX28" t="e">
        <f>#REF!-";Hb!uM"</f>
        <v>#REF!</v>
      </c>
      <c r="DY28" t="e">
        <f>#REF!-";Hb!uN"</f>
        <v>#REF!</v>
      </c>
      <c r="DZ28" t="e">
        <f>#REF!-";Hb!uO"</f>
        <v>#REF!</v>
      </c>
      <c r="EA28" t="e">
        <f>#REF!-";Hb!uP"</f>
        <v>#REF!</v>
      </c>
      <c r="EB28" t="e">
        <f>#REF!-";Hb!uQ"</f>
        <v>#REF!</v>
      </c>
      <c r="EC28" t="e">
        <f>#REF!-";Hb!uR"</f>
        <v>#REF!</v>
      </c>
      <c r="ED28" t="e">
        <f>#REF!-";Hb!uS"</f>
        <v>#REF!</v>
      </c>
      <c r="EE28" t="e">
        <f>#REF!-";Hb!uT"</f>
        <v>#REF!</v>
      </c>
      <c r="EF28" t="e">
        <f>#REF!-";Hb!uU"</f>
        <v>#REF!</v>
      </c>
      <c r="EG28" t="e">
        <f>#REF!-";Hb!uV"</f>
        <v>#REF!</v>
      </c>
      <c r="EH28" t="e">
        <f>#REF!-";Hb!uW"</f>
        <v>#REF!</v>
      </c>
      <c r="EI28" t="e">
        <f>#REF!-";Hb!uX"</f>
        <v>#REF!</v>
      </c>
      <c r="EJ28" t="e">
        <f>#REF!-";Hb!uY"</f>
        <v>#REF!</v>
      </c>
      <c r="EK28" t="e">
        <f>#REF!-";Hb!uZ"</f>
        <v>#REF!</v>
      </c>
      <c r="EL28" t="e">
        <f>#REF!-";Hb!u["</f>
        <v>#REF!</v>
      </c>
      <c r="EM28" t="e">
        <f>#REF!-";Hb!u\"</f>
        <v>#REF!</v>
      </c>
      <c r="EN28" t="e">
        <f>#REF!-";Hb!u]"</f>
        <v>#REF!</v>
      </c>
      <c r="EO28" t="e">
        <f>#REF!-";Hb!u^"</f>
        <v>#REF!</v>
      </c>
      <c r="EP28" t="e">
        <f>#REF!-";Hb!u_"</f>
        <v>#REF!</v>
      </c>
      <c r="EQ28" t="e">
        <f>#REF!-";Hb!u`"</f>
        <v>#REF!</v>
      </c>
      <c r="ER28" t="e">
        <f>#REF!-";Hb!ua"</f>
        <v>#REF!</v>
      </c>
      <c r="ES28" t="e">
        <f>#REF!-";Hb!ub"</f>
        <v>#REF!</v>
      </c>
      <c r="ET28" t="e">
        <f>#REF!-";Hb!uc"</f>
        <v>#REF!</v>
      </c>
      <c r="EU28" t="e">
        <f>#REF!-";Hb!ud"</f>
        <v>#REF!</v>
      </c>
      <c r="EV28" t="e">
        <f>#REF!-";Hb!ue"</f>
        <v>#REF!</v>
      </c>
      <c r="EW28" t="e">
        <f>#REF!-";Hb!uf"</f>
        <v>#REF!</v>
      </c>
      <c r="EX28" t="e">
        <f>#REF!-";Hb!ug"</f>
        <v>#REF!</v>
      </c>
      <c r="EY28" t="e">
        <f>#REF!-";Hb!uh"</f>
        <v>#REF!</v>
      </c>
      <c r="EZ28" t="e">
        <f>#REF!-";Hb!ui"</f>
        <v>#REF!</v>
      </c>
      <c r="FA28" t="e">
        <f>#REF!-";Hb!uj"</f>
        <v>#REF!</v>
      </c>
      <c r="FB28" t="e">
        <f>#REF!-";Hb!uk"</f>
        <v>#REF!</v>
      </c>
      <c r="FC28" t="e">
        <f>#REF!-";Hb!ul"</f>
        <v>#REF!</v>
      </c>
      <c r="FD28" t="e">
        <f>#REF!-";Hb!um"</f>
        <v>#REF!</v>
      </c>
      <c r="FE28" t="e">
        <f>#REF!-";Hb!un"</f>
        <v>#REF!</v>
      </c>
      <c r="FF28" t="e">
        <f>#REF!-";Hb!uo"</f>
        <v>#REF!</v>
      </c>
      <c r="FG28" t="e">
        <f>#REF!-";Hb!up"</f>
        <v>#REF!</v>
      </c>
      <c r="FH28" t="e">
        <f>#REF!-";Hb!uq"</f>
        <v>#REF!</v>
      </c>
      <c r="FI28" t="e">
        <f>#REF!-";Hb!ur"</f>
        <v>#REF!</v>
      </c>
      <c r="FJ28" t="e">
        <f>#REF!-";Hb!us"</f>
        <v>#REF!</v>
      </c>
      <c r="FK28" t="e">
        <f>#REF!-";Hb!ut"</f>
        <v>#REF!</v>
      </c>
      <c r="FL28" t="e">
        <f>#REF!-";Hb!uu"</f>
        <v>#REF!</v>
      </c>
      <c r="FM28" t="e">
        <f>#REF!-";Hb!uv"</f>
        <v>#REF!</v>
      </c>
      <c r="FN28" t="e">
        <f>#REF!-";Hb!uw"</f>
        <v>#REF!</v>
      </c>
      <c r="FO28" t="e">
        <f>#REF!-";Hb!ux"</f>
        <v>#REF!</v>
      </c>
      <c r="FP28" t="e">
        <f>#REF!-";Hb!uy"</f>
        <v>#REF!</v>
      </c>
      <c r="FQ28" t="e">
        <f>#REF!-";Hb!uz"</f>
        <v>#REF!</v>
      </c>
      <c r="FR28" t="e">
        <f>#REF!-";Hb!u{"</f>
        <v>#REF!</v>
      </c>
      <c r="FS28" t="e">
        <f>#REF!-";Hb!u|"</f>
        <v>#REF!</v>
      </c>
      <c r="FT28" t="e">
        <f>#REF!-";Hb!u}"</f>
        <v>#REF!</v>
      </c>
      <c r="FU28" t="e">
        <f>#REF!-";Hb!u~"</f>
        <v>#REF!</v>
      </c>
      <c r="FV28" t="e">
        <f>#REF!-";Hb!v#"</f>
        <v>#REF!</v>
      </c>
      <c r="FW28" t="e">
        <f>#REF!-";Hb!v$"</f>
        <v>#REF!</v>
      </c>
      <c r="FX28" t="e">
        <f>#REF!-";Hb!v%"</f>
        <v>#REF!</v>
      </c>
      <c r="FY28" t="e">
        <f>#REF!-";Hb!v&amp;"</f>
        <v>#REF!</v>
      </c>
      <c r="FZ28" t="e">
        <f>#REF!-";Hb!v'"</f>
        <v>#REF!</v>
      </c>
      <c r="GA28" t="e">
        <f>#REF!-";Hb!v("</f>
        <v>#REF!</v>
      </c>
      <c r="GB28" t="e">
        <f>#REF!-";Hb!v)"</f>
        <v>#REF!</v>
      </c>
      <c r="GC28" t="e">
        <f>#REF!-";Hb!v."</f>
        <v>#REF!</v>
      </c>
      <c r="GD28" t="e">
        <f>#REF!-";Hb!v/"</f>
        <v>#REF!</v>
      </c>
      <c r="GE28" t="e">
        <f>#REF!-";Hb!v0"</f>
        <v>#REF!</v>
      </c>
      <c r="GF28" t="e">
        <f>#REF!-";Hb!v1"</f>
        <v>#REF!</v>
      </c>
      <c r="GG28" t="e">
        <f>#REF!-";Hb!v2"</f>
        <v>#REF!</v>
      </c>
      <c r="GH28" t="e">
        <f>#REF!-";Hb!v3"</f>
        <v>#REF!</v>
      </c>
      <c r="GI28" t="e">
        <f>#REF!-";Hb!v4"</f>
        <v>#REF!</v>
      </c>
      <c r="GJ28" t="e">
        <f>#REF!-";Hb!v5"</f>
        <v>#REF!</v>
      </c>
      <c r="GK28" t="e">
        <f>#REF!-";Hb!v6"</f>
        <v>#REF!</v>
      </c>
      <c r="GL28" t="e">
        <f>#REF!-";Hb!v7"</f>
        <v>#REF!</v>
      </c>
      <c r="GM28" t="e">
        <f>#REF!-";Hb!v8"</f>
        <v>#REF!</v>
      </c>
      <c r="GN28" t="e">
        <f>#REF!-";Hb!v9"</f>
        <v>#REF!</v>
      </c>
      <c r="GO28" t="e">
        <f>#REF!-";Hb!v:"</f>
        <v>#REF!</v>
      </c>
      <c r="GP28" t="e">
        <f>#REF!-";Hb!v;"</f>
        <v>#REF!</v>
      </c>
      <c r="GQ28" t="e">
        <f>#REF!-";Hb!v&lt;"</f>
        <v>#REF!</v>
      </c>
      <c r="GR28" t="e">
        <f>#REF!-";Hb!v="</f>
        <v>#REF!</v>
      </c>
      <c r="GS28" t="e">
        <f>#REF!-";Hb!v&gt;"</f>
        <v>#REF!</v>
      </c>
      <c r="GT28" t="e">
        <f>#REF!-";Hb!v?"</f>
        <v>#REF!</v>
      </c>
      <c r="GU28" t="e">
        <f>#REF!-";Hb!v@"</f>
        <v>#REF!</v>
      </c>
      <c r="GV28" t="e">
        <f>#REF!-";Hb!vA"</f>
        <v>#REF!</v>
      </c>
      <c r="GW28" t="e">
        <f>#REF!-";Hb!vB"</f>
        <v>#REF!</v>
      </c>
      <c r="GX28" t="e">
        <f>#REF!-";Hb!vC"</f>
        <v>#REF!</v>
      </c>
      <c r="GY28" t="e">
        <f>#REF!-";Hb!vD"</f>
        <v>#REF!</v>
      </c>
      <c r="GZ28" t="e">
        <f>#REF!-";Hb!vE"</f>
        <v>#REF!</v>
      </c>
      <c r="HA28" t="e">
        <f>#REF!-";Hb!vF"</f>
        <v>#REF!</v>
      </c>
      <c r="HB28" t="e">
        <f>#REF!-";Hb!vG"</f>
        <v>#REF!</v>
      </c>
      <c r="HC28" t="e">
        <f>#REF!-";Hb!vH"</f>
        <v>#REF!</v>
      </c>
      <c r="HD28" t="e">
        <f>#REF!-";Hb!vI"</f>
        <v>#REF!</v>
      </c>
      <c r="HE28" t="e">
        <f>#REF!-";Hb!vJ"</f>
        <v>#REF!</v>
      </c>
      <c r="HF28" t="e">
        <f>#REF!-";Hb!vK"</f>
        <v>#REF!</v>
      </c>
      <c r="HG28" t="e">
        <f>#REF!-";Hb!vL"</f>
        <v>#REF!</v>
      </c>
      <c r="HH28" t="e">
        <f>#REF!-";Hb!vM"</f>
        <v>#REF!</v>
      </c>
      <c r="HI28" t="e">
        <f>#REF!-";Hb!vN"</f>
        <v>#REF!</v>
      </c>
      <c r="HJ28" t="e">
        <f>#REF!-";Hb!vO"</f>
        <v>#REF!</v>
      </c>
      <c r="HK28" t="e">
        <f>#REF!-";Hb!vP"</f>
        <v>#REF!</v>
      </c>
      <c r="HL28" t="e">
        <f>#REF!-";Hb!vQ"</f>
        <v>#REF!</v>
      </c>
      <c r="HM28" t="e">
        <f>#REF!-";Hb!vR"</f>
        <v>#REF!</v>
      </c>
      <c r="HN28" t="e">
        <f>#REF!-";Hb!vS"</f>
        <v>#REF!</v>
      </c>
      <c r="HO28" t="e">
        <f>#REF!-";Hb!vT"</f>
        <v>#REF!</v>
      </c>
      <c r="HP28" t="e">
        <f>#REF!-";Hb!vU"</f>
        <v>#REF!</v>
      </c>
      <c r="HQ28" t="e">
        <f>#REF!-";Hb!vV"</f>
        <v>#REF!</v>
      </c>
      <c r="HR28" t="e">
        <f>#REF!-";Hb!vW"</f>
        <v>#REF!</v>
      </c>
      <c r="HS28" t="e">
        <f>#REF!-";Hb!vX"</f>
        <v>#REF!</v>
      </c>
      <c r="HT28" t="e">
        <f>#REF!-";Hb!vY"</f>
        <v>#REF!</v>
      </c>
      <c r="HU28" t="e">
        <f>#REF!-";Hb!vZ"</f>
        <v>#REF!</v>
      </c>
      <c r="HV28" t="e">
        <f>#REF!-";Hb!v["</f>
        <v>#REF!</v>
      </c>
      <c r="HW28" t="e">
        <f>#REF!-";Hb!v\"</f>
        <v>#REF!</v>
      </c>
      <c r="HX28" t="e">
        <f>#REF!-";Hb!v]"</f>
        <v>#REF!</v>
      </c>
      <c r="HY28" t="e">
        <f>#REF!-";Hb!v^"</f>
        <v>#REF!</v>
      </c>
      <c r="HZ28" t="e">
        <f>#REF!-";Hb!v_"</f>
        <v>#REF!</v>
      </c>
      <c r="IA28" t="e">
        <f>#REF!-";Hb!v`"</f>
        <v>#REF!</v>
      </c>
      <c r="IB28" t="e">
        <f>#REF!-";Hb!va"</f>
        <v>#REF!</v>
      </c>
      <c r="IC28" t="e">
        <f>#REF!-";Hb!vb"</f>
        <v>#REF!</v>
      </c>
      <c r="ID28" t="e">
        <f>#REF!-";Hb!vc"</f>
        <v>#REF!</v>
      </c>
      <c r="IE28" t="e">
        <f>#REF!-";Hb!vd"</f>
        <v>#REF!</v>
      </c>
      <c r="IF28" t="e">
        <f>#REF!-";Hb!ve"</f>
        <v>#REF!</v>
      </c>
      <c r="IG28" t="e">
        <f>#REF!-";Hb!vf"</f>
        <v>#REF!</v>
      </c>
      <c r="IH28" t="e">
        <f>#REF!-";Hb!vg"</f>
        <v>#REF!</v>
      </c>
      <c r="II28" t="e">
        <f>#REF!-";Hb!vh"</f>
        <v>#REF!</v>
      </c>
      <c r="IJ28" t="e">
        <f>#REF!-";Hb!vi"</f>
        <v>#REF!</v>
      </c>
      <c r="IK28" t="e">
        <f>#REF!-";Hb!vj"</f>
        <v>#REF!</v>
      </c>
      <c r="IL28" t="e">
        <f>#REF!-";Hb!vk"</f>
        <v>#REF!</v>
      </c>
      <c r="IM28" t="e">
        <f>#REF!-";Hb!vl"</f>
        <v>#REF!</v>
      </c>
      <c r="IN28" t="e">
        <f>#REF!-";Hb!vm"</f>
        <v>#REF!</v>
      </c>
      <c r="IO28" t="e">
        <f>#REF!-";Hb!vn"</f>
        <v>#REF!</v>
      </c>
      <c r="IP28" t="e">
        <f>#REF!-";Hb!vo"</f>
        <v>#REF!</v>
      </c>
      <c r="IQ28" t="e">
        <f>#REF!-";Hb!vp"</f>
        <v>#REF!</v>
      </c>
      <c r="IR28" t="e">
        <f>#REF!-";Hb!vq"</f>
        <v>#REF!</v>
      </c>
      <c r="IS28" t="e">
        <f>#REF!-";Hb!vr"</f>
        <v>#REF!</v>
      </c>
      <c r="IT28" t="e">
        <f>#REF!-";Hb!vs"</f>
        <v>#REF!</v>
      </c>
      <c r="IU28" t="e">
        <f>#REF!-";Hb!vt"</f>
        <v>#REF!</v>
      </c>
      <c r="IV28" t="e">
        <f>#REF!-";Hb!vu"</f>
        <v>#REF!</v>
      </c>
    </row>
    <row r="29" spans="6:256" x14ac:dyDescent="0.25">
      <c r="F29" t="e">
        <f>#REF!-";Hb!vv"</f>
        <v>#REF!</v>
      </c>
      <c r="G29" t="e">
        <f>#REF!-";Hb!vw"</f>
        <v>#REF!</v>
      </c>
      <c r="H29" t="e">
        <f>#REF!-";Hb!vx"</f>
        <v>#REF!</v>
      </c>
      <c r="I29" t="e">
        <f>#REF!-";Hb!vy"</f>
        <v>#REF!</v>
      </c>
      <c r="J29" t="e">
        <f>#REF!-";Hb!vz"</f>
        <v>#REF!</v>
      </c>
      <c r="K29" t="e">
        <f>#REF!-";Hb!v{"</f>
        <v>#REF!</v>
      </c>
      <c r="L29" t="e">
        <f>#REF!-";Hb!v|"</f>
        <v>#REF!</v>
      </c>
      <c r="M29" t="e">
        <f>#REF!-";Hb!v}"</f>
        <v>#REF!</v>
      </c>
      <c r="N29" t="e">
        <f>#REF!-";Hb!v~"</f>
        <v>#REF!</v>
      </c>
      <c r="O29" t="e">
        <f>#REF!-";Hb!w#"</f>
        <v>#REF!</v>
      </c>
      <c r="P29" t="e">
        <f>#REF!-";Hb!w$"</f>
        <v>#REF!</v>
      </c>
      <c r="Q29" t="e">
        <f>#REF!-";Hb!w%"</f>
        <v>#REF!</v>
      </c>
      <c r="R29" t="e">
        <f>#REF!-";Hb!w&amp;"</f>
        <v>#REF!</v>
      </c>
      <c r="S29" t="e">
        <f>#REF!-";Hb!w'"</f>
        <v>#REF!</v>
      </c>
      <c r="T29" t="e">
        <f>#REF!-";Hb!w("</f>
        <v>#REF!</v>
      </c>
      <c r="U29" t="e">
        <f>#REF!-";Hb!w)"</f>
        <v>#REF!</v>
      </c>
      <c r="V29" t="e">
        <f>#REF!-";Hb!w."</f>
        <v>#REF!</v>
      </c>
      <c r="W29" t="e">
        <f>#REF!-";Hb!w/"</f>
        <v>#REF!</v>
      </c>
      <c r="X29" t="e">
        <f>#REF!-";Hb!w0"</f>
        <v>#REF!</v>
      </c>
      <c r="Y29" t="e">
        <f>#REF!-";Hb!w1"</f>
        <v>#REF!</v>
      </c>
      <c r="Z29" t="e">
        <f>#REF!-";Hb!w2"</f>
        <v>#REF!</v>
      </c>
      <c r="AA29" t="e">
        <f>#REF!-";Hb!w3"</f>
        <v>#REF!</v>
      </c>
      <c r="AB29" t="e">
        <f>#REF!-";Hb!w4"</f>
        <v>#REF!</v>
      </c>
      <c r="AC29" t="e">
        <f>#REF!-";Hb!w5"</f>
        <v>#REF!</v>
      </c>
      <c r="AD29" t="e">
        <f>#REF!-";Hb!w6"</f>
        <v>#REF!</v>
      </c>
      <c r="AE29" t="e">
        <f>#REF!-";Hb!w7"</f>
        <v>#REF!</v>
      </c>
      <c r="AF29" t="e">
        <f>#REF!-";Hb!w8"</f>
        <v>#REF!</v>
      </c>
      <c r="AG29" t="e">
        <f>#REF!-";Hb!w9"</f>
        <v>#REF!</v>
      </c>
      <c r="AH29" t="e">
        <f>#REF!-";Hb!w:"</f>
        <v>#REF!</v>
      </c>
      <c r="AI29" t="e">
        <f>#REF!-";Hb!w;"</f>
        <v>#REF!</v>
      </c>
      <c r="AJ29" t="e">
        <f>#REF!-";Hb!w&lt;"</f>
        <v>#REF!</v>
      </c>
      <c r="AK29" t="e">
        <f>#REF!-";Hb!w="</f>
        <v>#REF!</v>
      </c>
      <c r="AL29" t="e">
        <f>#REF!-";Hb!w&gt;"</f>
        <v>#REF!</v>
      </c>
      <c r="AM29" t="e">
        <f>#REF!-";Hb!w?"</f>
        <v>#REF!</v>
      </c>
      <c r="AN29" t="e">
        <f>#REF!-";Hb!w@"</f>
        <v>#REF!</v>
      </c>
      <c r="AO29" t="e">
        <f>#REF!-";Hb!wA"</f>
        <v>#REF!</v>
      </c>
      <c r="AP29" t="e">
        <f>#REF!-";Hb!wB"</f>
        <v>#REF!</v>
      </c>
      <c r="AQ29" t="e">
        <f>#REF!-";Hb!wC"</f>
        <v>#REF!</v>
      </c>
      <c r="AR29" t="e">
        <f>#REF!-";Hb!wD"</f>
        <v>#REF!</v>
      </c>
      <c r="AS29" t="e">
        <f>#REF!-";Hb!wE"</f>
        <v>#REF!</v>
      </c>
      <c r="AT29" t="e">
        <f>#REF!-";Hb!wF"</f>
        <v>#REF!</v>
      </c>
      <c r="AU29" t="e">
        <f>#REF!-";Hb!wG"</f>
        <v>#REF!</v>
      </c>
      <c r="AV29" t="e">
        <f>#REF!-";Hb!wH"</f>
        <v>#REF!</v>
      </c>
      <c r="AW29" t="e">
        <f>#REF!-";Hb!wI"</f>
        <v>#REF!</v>
      </c>
      <c r="AX29" t="e">
        <f>#REF!-";Hb!wJ"</f>
        <v>#REF!</v>
      </c>
      <c r="AY29" t="e">
        <f>#REF!-";Hb!wK"</f>
        <v>#REF!</v>
      </c>
      <c r="AZ29" t="e">
        <f>#REF!-";Hb!wL"</f>
        <v>#REF!</v>
      </c>
      <c r="BA29" t="e">
        <f>#REF!-";Hb!wM"</f>
        <v>#REF!</v>
      </c>
      <c r="BB29" t="e">
        <f>#REF!-";Hb!wN"</f>
        <v>#REF!</v>
      </c>
      <c r="BC29" t="e">
        <f>#REF!-";Hb!wO"</f>
        <v>#REF!</v>
      </c>
      <c r="BD29" t="e">
        <f>#REF!-";Hb!wP"</f>
        <v>#REF!</v>
      </c>
      <c r="BE29" t="e">
        <f>#REF!-";Hb!wQ"</f>
        <v>#REF!</v>
      </c>
      <c r="BF29" t="e">
        <f>#REF!-";Hb!wR"</f>
        <v>#REF!</v>
      </c>
      <c r="BG29" t="e">
        <f>#REF!-";Hb!wS"</f>
        <v>#REF!</v>
      </c>
      <c r="BH29" t="e">
        <f>#REF!-";Hb!wT"</f>
        <v>#REF!</v>
      </c>
      <c r="BI29" t="e">
        <f>#REF!-";Hb!wU"</f>
        <v>#REF!</v>
      </c>
      <c r="BJ29" t="e">
        <f>#REF!-";Hb!wV"</f>
        <v>#REF!</v>
      </c>
      <c r="BK29" t="e">
        <f>#REF!-";Hb!wW"</f>
        <v>#REF!</v>
      </c>
      <c r="BL29" t="e">
        <f>#REF!-";Hb!wX"</f>
        <v>#REF!</v>
      </c>
      <c r="BM29" t="e">
        <f>#REF!-";Hb!wY"</f>
        <v>#REF!</v>
      </c>
      <c r="BN29" t="e">
        <f>#REF!-";Hb!wZ"</f>
        <v>#REF!</v>
      </c>
      <c r="BO29" t="e">
        <f>#REF!-";Hb!w["</f>
        <v>#REF!</v>
      </c>
      <c r="BP29" t="e">
        <f>#REF!-";Hb!w\"</f>
        <v>#REF!</v>
      </c>
      <c r="BQ29" t="e">
        <f>#REF!-";Hb!w]"</f>
        <v>#REF!</v>
      </c>
      <c r="BR29" t="e">
        <f>#REF!-";Hb!w^"</f>
        <v>#REF!</v>
      </c>
      <c r="BS29" t="e">
        <f>#REF!-";Hb!w_"</f>
        <v>#REF!</v>
      </c>
      <c r="BT29" t="e">
        <f>#REF!-";Hb!w`"</f>
        <v>#REF!</v>
      </c>
      <c r="BU29" t="e">
        <f>#REF!-";Hb!wa"</f>
        <v>#REF!</v>
      </c>
      <c r="BV29" t="e">
        <f>#REF!-";Hb!wb"</f>
        <v>#REF!</v>
      </c>
      <c r="BW29" t="e">
        <f>#REF!-";Hb!wc"</f>
        <v>#REF!</v>
      </c>
      <c r="BX29" t="e">
        <f>#REF!-";Hb!wd"</f>
        <v>#REF!</v>
      </c>
      <c r="BY29" t="e">
        <f>#REF!-";Hb!we"</f>
        <v>#REF!</v>
      </c>
      <c r="BZ29" t="e">
        <f>#REF!-";Hb!wf"</f>
        <v>#REF!</v>
      </c>
      <c r="CA29" t="e">
        <f>#REF!-";Hb!wg"</f>
        <v>#REF!</v>
      </c>
      <c r="CB29" t="e">
        <f>#REF!-";Hb!wh"</f>
        <v>#REF!</v>
      </c>
      <c r="CC29" t="e">
        <f>#REF!-";Hb!wi"</f>
        <v>#REF!</v>
      </c>
      <c r="CD29" t="e">
        <f>#REF!-";Hb!wj"</f>
        <v>#REF!</v>
      </c>
      <c r="CE29" t="e">
        <f>#REF!-";Hb!wk"</f>
        <v>#REF!</v>
      </c>
      <c r="CF29" t="e">
        <f>#REF!-";Hb!wl"</f>
        <v>#REF!</v>
      </c>
      <c r="CG29" t="e">
        <f>#REF!-";Hb!wm"</f>
        <v>#REF!</v>
      </c>
      <c r="CH29" t="e">
        <f>#REF!-";Hb!wn"</f>
        <v>#REF!</v>
      </c>
      <c r="CI29" t="e">
        <f>#REF!-";Hb!wo"</f>
        <v>#REF!</v>
      </c>
      <c r="CJ29" t="e">
        <f>#REF!-";Hb!wp"</f>
        <v>#REF!</v>
      </c>
      <c r="CK29" t="e">
        <f>#REF!-";Hb!wq"</f>
        <v>#REF!</v>
      </c>
      <c r="CL29" t="e">
        <f>#REF!-";Hb!wr"</f>
        <v>#REF!</v>
      </c>
      <c r="CM29" t="e">
        <f>#REF!-";Hb!ws"</f>
        <v>#REF!</v>
      </c>
      <c r="CN29" t="e">
        <f>#REF!-";Hb!wt"</f>
        <v>#REF!</v>
      </c>
      <c r="CO29" t="e">
        <f>#REF!-";Hb!wu"</f>
        <v>#REF!</v>
      </c>
      <c r="CP29" t="e">
        <f>#REF!-";Hb!wv"</f>
        <v>#REF!</v>
      </c>
      <c r="CQ29" t="e">
        <f>#REF!-";Hb!ww"</f>
        <v>#REF!</v>
      </c>
      <c r="CR29" t="e">
        <f>#REF!-";Hb!wx"</f>
        <v>#REF!</v>
      </c>
      <c r="CS29" t="e">
        <f>#REF!-";Hb!wy"</f>
        <v>#REF!</v>
      </c>
      <c r="CT29" t="e">
        <f>#REF!-";Hb!wz"</f>
        <v>#REF!</v>
      </c>
      <c r="CU29" t="e">
        <f>#REF!-";Hb!w{"</f>
        <v>#REF!</v>
      </c>
      <c r="CV29" t="e">
        <f>#REF!-";Hb!w|"</f>
        <v>#REF!</v>
      </c>
      <c r="CW29" t="e">
        <f>#REF!-";Hb!w}"</f>
        <v>#REF!</v>
      </c>
      <c r="CX29" t="e">
        <f>#REF!-";Hb!w~"</f>
        <v>#REF!</v>
      </c>
      <c r="CY29" t="e">
        <f>#REF!-";Hb!x#"</f>
        <v>#REF!</v>
      </c>
      <c r="CZ29" t="e">
        <f>#REF!-";Hb!x$"</f>
        <v>#REF!</v>
      </c>
      <c r="DA29" t="e">
        <f>#REF!-";Hb!x%"</f>
        <v>#REF!</v>
      </c>
      <c r="DB29" t="e">
        <f>#REF!-";Hb!x&amp;"</f>
        <v>#REF!</v>
      </c>
      <c r="DC29" t="e">
        <f>#REF!-";Hb!x'"</f>
        <v>#REF!</v>
      </c>
      <c r="DD29" t="e">
        <f>#REF!-";Hb!x("</f>
        <v>#REF!</v>
      </c>
      <c r="DE29" t="e">
        <f>#REF!-";Hb!x)"</f>
        <v>#REF!</v>
      </c>
      <c r="DF29" t="e">
        <f>#REF!-";Hb!x."</f>
        <v>#REF!</v>
      </c>
      <c r="DG29" t="e">
        <f>#REF!-";Hb!x/"</f>
        <v>#REF!</v>
      </c>
      <c r="DH29" t="e">
        <f>#REF!-";Hb!x0"</f>
        <v>#REF!</v>
      </c>
      <c r="DI29" t="e">
        <f>#REF!-";Hb!x1"</f>
        <v>#REF!</v>
      </c>
      <c r="DJ29" t="e">
        <f>#REF!-";Hb!x2"</f>
        <v>#REF!</v>
      </c>
      <c r="DK29" t="e">
        <f>#REF!-";Hb!x3"</f>
        <v>#REF!</v>
      </c>
      <c r="DL29" t="e">
        <f>#REF!-";Hb!x4"</f>
        <v>#REF!</v>
      </c>
      <c r="DM29" t="e">
        <f>#REF!-";Hb!x5"</f>
        <v>#REF!</v>
      </c>
      <c r="DN29" t="e">
        <f>#REF!-";Hb!x6"</f>
        <v>#REF!</v>
      </c>
      <c r="DO29" t="e">
        <f>#REF!-";Hb!x7"</f>
        <v>#REF!</v>
      </c>
      <c r="DP29" t="e">
        <f>#REF!-";Hb!x8"</f>
        <v>#REF!</v>
      </c>
      <c r="DQ29" t="e">
        <f>#REF!-";Hb!x9"</f>
        <v>#REF!</v>
      </c>
      <c r="DR29" t="e">
        <f>#REF!-";Hb!x:"</f>
        <v>#REF!</v>
      </c>
      <c r="DS29" t="e">
        <f>#REF!-";Hb!x;"</f>
        <v>#REF!</v>
      </c>
      <c r="DT29" t="e">
        <f>#REF!-";Hb!x&lt;"</f>
        <v>#REF!</v>
      </c>
      <c r="DU29" t="e">
        <f>#REF!-";Hb!x="</f>
        <v>#REF!</v>
      </c>
      <c r="DV29" t="e">
        <f>#REF!-";Hb!x&gt;"</f>
        <v>#REF!</v>
      </c>
      <c r="DW29" t="e">
        <f>#REF!-";Hb!x?"</f>
        <v>#REF!</v>
      </c>
      <c r="DX29" t="e">
        <f>#REF!-";Hb!x@"</f>
        <v>#REF!</v>
      </c>
      <c r="DY29" t="e">
        <f>#REF!-";Hb!xA"</f>
        <v>#REF!</v>
      </c>
      <c r="DZ29" t="e">
        <f>#REF!-";Hb!xB"</f>
        <v>#REF!</v>
      </c>
      <c r="EA29" t="e">
        <f>#REF!-";Hb!xC"</f>
        <v>#REF!</v>
      </c>
      <c r="EB29" t="e">
        <f>#REF!-";Hb!xD"</f>
        <v>#REF!</v>
      </c>
      <c r="EC29" t="e">
        <f>#REF!-";Hb!xE"</f>
        <v>#REF!</v>
      </c>
      <c r="ED29" t="e">
        <f>#REF!-";Hb!xF"</f>
        <v>#REF!</v>
      </c>
      <c r="EE29" t="e">
        <f>#REF!-";Hb!xG"</f>
        <v>#REF!</v>
      </c>
      <c r="EF29" t="e">
        <f>#REF!-";Hb!xH"</f>
        <v>#REF!</v>
      </c>
      <c r="EG29" t="e">
        <f>#REF!-";Hb!xI"</f>
        <v>#REF!</v>
      </c>
      <c r="EH29" t="e">
        <f>#REF!-";Hb!xJ"</f>
        <v>#REF!</v>
      </c>
      <c r="EI29" t="e">
        <f>#REF!-";Hb!xK"</f>
        <v>#REF!</v>
      </c>
      <c r="EJ29" t="e">
        <f>#REF!-";Hb!xL"</f>
        <v>#REF!</v>
      </c>
      <c r="EK29" t="e">
        <f>#REF!-";Hb!xM"</f>
        <v>#REF!</v>
      </c>
      <c r="EL29" t="e">
        <f>#REF!-";Hb!xN"</f>
        <v>#REF!</v>
      </c>
      <c r="EM29" t="e">
        <f>#REF!-";Hb!xO"</f>
        <v>#REF!</v>
      </c>
      <c r="EN29" t="e">
        <f>#REF!-";Hb!xP"</f>
        <v>#REF!</v>
      </c>
      <c r="EO29" t="e">
        <f>#REF!-";Hb!xQ"</f>
        <v>#REF!</v>
      </c>
      <c r="EP29" t="e">
        <f>#REF!-";Hb!xR"</f>
        <v>#REF!</v>
      </c>
      <c r="EQ29" t="e">
        <f>#REF!-";Hb!xS"</f>
        <v>#REF!</v>
      </c>
      <c r="ER29" t="e">
        <f>#REF!-";Hb!xT"</f>
        <v>#REF!</v>
      </c>
      <c r="ES29" t="e">
        <f>#REF!-";Hb!xU"</f>
        <v>#REF!</v>
      </c>
      <c r="ET29" t="e">
        <f>#REF!-";Hb!xV"</f>
        <v>#REF!</v>
      </c>
      <c r="EU29" t="e">
        <f>#REF!-";Hb!xW"</f>
        <v>#REF!</v>
      </c>
      <c r="EV29" t="e">
        <f>#REF!-";Hb!xX"</f>
        <v>#REF!</v>
      </c>
      <c r="EW29" t="e">
        <f>#REF!-";Hb!xY"</f>
        <v>#REF!</v>
      </c>
      <c r="EX29" t="e">
        <f>#REF!-";Hb!xZ"</f>
        <v>#REF!</v>
      </c>
      <c r="EY29" t="e">
        <f>#REF!-";Hb!x["</f>
        <v>#REF!</v>
      </c>
      <c r="EZ29" t="e">
        <f>#REF!-";Hb!x\"</f>
        <v>#REF!</v>
      </c>
      <c r="FA29" t="e">
        <f>#REF!-";Hb!x]"</f>
        <v>#REF!</v>
      </c>
      <c r="FB29" t="e">
        <f>#REF!-";Hb!x^"</f>
        <v>#REF!</v>
      </c>
      <c r="FC29" t="e">
        <f>#REF!-";Hb!x_"</f>
        <v>#REF!</v>
      </c>
      <c r="FD29" t="e">
        <f>#REF!-";Hb!x`"</f>
        <v>#REF!</v>
      </c>
      <c r="FE29" t="e">
        <f>#REF!-";Hb!xa"</f>
        <v>#REF!</v>
      </c>
      <c r="FF29" t="e">
        <f>#REF!-";Hb!xb"</f>
        <v>#REF!</v>
      </c>
      <c r="FG29" t="e">
        <f>#REF!-";Hb!xc"</f>
        <v>#REF!</v>
      </c>
      <c r="FH29" t="e">
        <f>#REF!-";Hb!xd"</f>
        <v>#REF!</v>
      </c>
      <c r="FI29" t="e">
        <f>#REF!-";Hb!xe"</f>
        <v>#REF!</v>
      </c>
      <c r="FJ29" t="e">
        <f>#REF!-";Hb!xf"</f>
        <v>#REF!</v>
      </c>
      <c r="FK29" t="e">
        <f>#REF!-";Hb!xg"</f>
        <v>#REF!</v>
      </c>
      <c r="FL29" t="e">
        <f>#REF!-";Hb!xh"</f>
        <v>#REF!</v>
      </c>
      <c r="FM29" t="e">
        <f>#REF!-";Hb!xi"</f>
        <v>#REF!</v>
      </c>
      <c r="FN29" t="e">
        <f>#REF!-";Hb!xj"</f>
        <v>#REF!</v>
      </c>
      <c r="FO29" t="e">
        <f>#REF!-";Hb!xk"</f>
        <v>#REF!</v>
      </c>
      <c r="FP29" t="e">
        <f>#REF!-";Hb!xl"</f>
        <v>#REF!</v>
      </c>
      <c r="FQ29" t="e">
        <f>#REF!-";Hb!xm"</f>
        <v>#REF!</v>
      </c>
      <c r="FR29" t="e">
        <f>#REF!-";Hb!xn"</f>
        <v>#REF!</v>
      </c>
      <c r="FS29" t="e">
        <f>#REF!-";Hb!xo"</f>
        <v>#REF!</v>
      </c>
      <c r="FT29" t="e">
        <f>#REF!-";Hb!xp"</f>
        <v>#REF!</v>
      </c>
      <c r="FU29" t="e">
        <f>#REF!-";Hb!xq"</f>
        <v>#REF!</v>
      </c>
      <c r="FV29" t="e">
        <f>#REF!-";Hb!xr"</f>
        <v>#REF!</v>
      </c>
      <c r="FW29" t="e">
        <f>#REF!-";Hb!xs"</f>
        <v>#REF!</v>
      </c>
      <c r="FX29" t="e">
        <f>#REF!-";Hb!xt"</f>
        <v>#REF!</v>
      </c>
      <c r="FY29" t="e">
        <f>#REF!-";Hb!xu"</f>
        <v>#REF!</v>
      </c>
      <c r="FZ29" t="e">
        <f>#REF!-";Hb!xv"</f>
        <v>#REF!</v>
      </c>
      <c r="GA29" t="e">
        <f>#REF!-";Hb!xw"</f>
        <v>#REF!</v>
      </c>
      <c r="GB29" t="e">
        <f>#REF!-";Hb!xx"</f>
        <v>#REF!</v>
      </c>
      <c r="GC29" t="e">
        <f>#REF!-";Hb!xy"</f>
        <v>#REF!</v>
      </c>
      <c r="GD29" t="e">
        <f>#REF!-";Hb!xz"</f>
        <v>#REF!</v>
      </c>
      <c r="GE29" t="e">
        <f>#REF!-";Hb!x{"</f>
        <v>#REF!</v>
      </c>
      <c r="GF29" t="e">
        <f>#REF!-";Hb!x|"</f>
        <v>#REF!</v>
      </c>
      <c r="GG29" t="e">
        <f>#REF!-";Hb!x}"</f>
        <v>#REF!</v>
      </c>
      <c r="GH29" t="e">
        <f>#REF!-";Hb!x~"</f>
        <v>#REF!</v>
      </c>
      <c r="GI29" t="e">
        <f>#REF!-";Hb!y#"</f>
        <v>#REF!</v>
      </c>
      <c r="GJ29" t="e">
        <f>#REF!-";Hb!y$"</f>
        <v>#REF!</v>
      </c>
      <c r="GK29" t="e">
        <f>#REF!-";Hb!y%"</f>
        <v>#REF!</v>
      </c>
      <c r="GL29" t="e">
        <f>#REF!-";Hb!y&amp;"</f>
        <v>#REF!</v>
      </c>
      <c r="GM29" t="e">
        <f>#REF!-";Hb!y'"</f>
        <v>#REF!</v>
      </c>
      <c r="GN29" t="e">
        <f>#REF!-";Hb!y("</f>
        <v>#REF!</v>
      </c>
      <c r="GO29" t="e">
        <f>#REF!-";Hb!y)"</f>
        <v>#REF!</v>
      </c>
      <c r="GP29" t="e">
        <f>#REF!-";Hb!y."</f>
        <v>#REF!</v>
      </c>
      <c r="GQ29" t="e">
        <f>#REF!-";Hb!y/"</f>
        <v>#REF!</v>
      </c>
      <c r="GR29" t="e">
        <f>#REF!-";Hb!y0"</f>
        <v>#REF!</v>
      </c>
      <c r="GS29" t="e">
        <f>#REF!-";Hb!y1"</f>
        <v>#REF!</v>
      </c>
      <c r="GT29" t="e">
        <f>#REF!-";Hb!y2"</f>
        <v>#REF!</v>
      </c>
      <c r="GU29" t="e">
        <f>#REF!-";Hb!y3"</f>
        <v>#REF!</v>
      </c>
      <c r="GV29" t="e">
        <f>#REF!-";Hb!y4"</f>
        <v>#REF!</v>
      </c>
      <c r="GW29" t="e">
        <f>#REF!-";Hb!y5"</f>
        <v>#REF!</v>
      </c>
      <c r="GX29" t="e">
        <f>#REF!-";Hb!y6"</f>
        <v>#REF!</v>
      </c>
      <c r="GY29" t="e">
        <f>#REF!-";Hb!y7"</f>
        <v>#REF!</v>
      </c>
      <c r="GZ29" t="e">
        <f>#REF!-";Hb!y8"</f>
        <v>#REF!</v>
      </c>
      <c r="HA29" t="e">
        <f>#REF!-";Hb!y9"</f>
        <v>#REF!</v>
      </c>
      <c r="HB29" t="e">
        <f>#REF!-";Hb!y:"</f>
        <v>#REF!</v>
      </c>
      <c r="HC29" t="e">
        <f>#REF!-";Hb!y;"</f>
        <v>#REF!</v>
      </c>
      <c r="HD29" t="e">
        <f>#REF!-";Hb!y&lt;"</f>
        <v>#REF!</v>
      </c>
      <c r="HE29" t="e">
        <f>#REF!-";Hb!y="</f>
        <v>#REF!</v>
      </c>
      <c r="HF29" t="e">
        <f>#REF!-";Hb!y&gt;"</f>
        <v>#REF!</v>
      </c>
      <c r="HG29" t="e">
        <f>#REF!-";Hb!y?"</f>
        <v>#REF!</v>
      </c>
      <c r="HH29" t="e">
        <f>#REF!-";Hb!y@"</f>
        <v>#REF!</v>
      </c>
      <c r="HI29" t="e">
        <f>#REF!-";Hb!yA"</f>
        <v>#REF!</v>
      </c>
      <c r="HJ29" t="e">
        <f>#REF!-";Hb!yB"</f>
        <v>#REF!</v>
      </c>
      <c r="HK29" t="e">
        <f>#REF!-";Hb!yC"</f>
        <v>#REF!</v>
      </c>
      <c r="HL29" t="e">
        <f>#REF!-";Hb!yD"</f>
        <v>#REF!</v>
      </c>
      <c r="HM29" t="e">
        <f>#REF!-";Hb!yE"</f>
        <v>#REF!</v>
      </c>
      <c r="HN29" t="e">
        <f>#REF!-";Hb!yF"</f>
        <v>#REF!</v>
      </c>
      <c r="HO29" t="e">
        <f>#REF!-";Hb!yG"</f>
        <v>#REF!</v>
      </c>
      <c r="HP29" t="e">
        <f>#REF!-";Hb!yH"</f>
        <v>#REF!</v>
      </c>
      <c r="HQ29" t="e">
        <f>#REF!-";Hb!yI"</f>
        <v>#REF!</v>
      </c>
      <c r="HR29" t="e">
        <f>#REF!-";Hb!yJ"</f>
        <v>#REF!</v>
      </c>
      <c r="HS29" t="e">
        <f>#REF!-";Hb!yK"</f>
        <v>#REF!</v>
      </c>
      <c r="HT29" t="e">
        <f>#REF!-";Hb!yL"</f>
        <v>#REF!</v>
      </c>
      <c r="HU29" t="e">
        <f>#REF!-";Hb!yM"</f>
        <v>#REF!</v>
      </c>
      <c r="HV29" t="e">
        <f>#REF!-";Hb!yN"</f>
        <v>#REF!</v>
      </c>
      <c r="HW29" t="e">
        <f>#REF!-";Hb!yO"</f>
        <v>#REF!</v>
      </c>
      <c r="HX29" t="e">
        <f>#REF!-";Hb!yP"</f>
        <v>#REF!</v>
      </c>
      <c r="HY29" t="e">
        <f>#REF!-";Hb!yQ"</f>
        <v>#REF!</v>
      </c>
      <c r="HZ29" t="e">
        <f>#REF!-";Hb!yR"</f>
        <v>#REF!</v>
      </c>
      <c r="IA29" t="e">
        <f>#REF!-";Hb!yS"</f>
        <v>#REF!</v>
      </c>
      <c r="IB29" t="e">
        <f>#REF!-";Hb!yT"</f>
        <v>#REF!</v>
      </c>
      <c r="IC29" t="e">
        <f>#REF!-";Hb!yU"</f>
        <v>#REF!</v>
      </c>
      <c r="ID29" t="e">
        <f>#REF!-";Hb!yV"</f>
        <v>#REF!</v>
      </c>
      <c r="IE29" t="e">
        <f>#REF!-";Hb!yW"</f>
        <v>#REF!</v>
      </c>
      <c r="IF29" t="e">
        <f>#REF!-";Hb!yX"</f>
        <v>#REF!</v>
      </c>
      <c r="IG29" t="e">
        <f>#REF!-";Hb!yY"</f>
        <v>#REF!</v>
      </c>
      <c r="IH29" t="e">
        <f>#REF!-";Hb!yZ"</f>
        <v>#REF!</v>
      </c>
      <c r="II29" t="e">
        <f>#REF!-";Hb!y["</f>
        <v>#REF!</v>
      </c>
      <c r="IJ29" t="e">
        <f>#REF!-";Hb!y\"</f>
        <v>#REF!</v>
      </c>
      <c r="IK29" t="e">
        <f>#REF!-";Hb!y]"</f>
        <v>#REF!</v>
      </c>
      <c r="IL29" t="e">
        <f>#REF!-";Hb!y^"</f>
        <v>#REF!</v>
      </c>
      <c r="IM29" t="e">
        <f>#REF!-";Hb!y_"</f>
        <v>#REF!</v>
      </c>
      <c r="IN29" t="e">
        <f>#REF!-";Hb!y`"</f>
        <v>#REF!</v>
      </c>
      <c r="IO29" t="e">
        <f>#REF!-";Hb!ya"</f>
        <v>#REF!</v>
      </c>
      <c r="IP29" t="e">
        <f>#REF!-";Hb!yb"</f>
        <v>#REF!</v>
      </c>
      <c r="IQ29" t="e">
        <f>#REF!-";Hb!yc"</f>
        <v>#REF!</v>
      </c>
      <c r="IR29" t="e">
        <f>#REF!-";Hb!yd"</f>
        <v>#REF!</v>
      </c>
      <c r="IS29" t="e">
        <f>#REF!-";Hb!ye"</f>
        <v>#REF!</v>
      </c>
      <c r="IT29" t="e">
        <f>#REF!-";Hb!yf"</f>
        <v>#REF!</v>
      </c>
      <c r="IU29" t="e">
        <f>#REF!-";Hb!yg"</f>
        <v>#REF!</v>
      </c>
      <c r="IV29" t="e">
        <f>#REF!-";Hb!yh"</f>
        <v>#REF!</v>
      </c>
    </row>
    <row r="30" spans="6:256" x14ac:dyDescent="0.25">
      <c r="F30" t="e">
        <f>#REF!-";Hb!yi"</f>
        <v>#REF!</v>
      </c>
      <c r="G30" t="e">
        <f>#REF!-";Hb!yj"</f>
        <v>#REF!</v>
      </c>
      <c r="H30" t="e">
        <f>#REF!-";Hb!yk"</f>
        <v>#REF!</v>
      </c>
      <c r="I30" t="e">
        <f>#REF!-";Hb!yl"</f>
        <v>#REF!</v>
      </c>
      <c r="J30" t="e">
        <f>#REF!-";Hb!ym"</f>
        <v>#REF!</v>
      </c>
      <c r="K30" t="e">
        <f>#REF!-";Hb!yn"</f>
        <v>#REF!</v>
      </c>
      <c r="L30" t="e">
        <f>#REF!-";Hb!yo"</f>
        <v>#REF!</v>
      </c>
      <c r="M30" t="e">
        <f>#REF!-";Hb!yp"</f>
        <v>#REF!</v>
      </c>
      <c r="N30" t="e">
        <f>#REF!-";Hb!yq"</f>
        <v>#REF!</v>
      </c>
      <c r="O30" t="e">
        <f>#REF!-";Hb!yr"</f>
        <v>#REF!</v>
      </c>
      <c r="P30" t="e">
        <f>#REF!-";Hb!ys"</f>
        <v>#REF!</v>
      </c>
      <c r="Q30" t="e">
        <f>#REF!-";Hb!yt"</f>
        <v>#REF!</v>
      </c>
      <c r="R30" t="e">
        <f>#REF!-";Hb!yu"</f>
        <v>#REF!</v>
      </c>
      <c r="S30" t="e">
        <f>#REF!-";Hb!yv"</f>
        <v>#REF!</v>
      </c>
      <c r="T30" t="e">
        <f>#REF!-";Hb!yw"</f>
        <v>#REF!</v>
      </c>
      <c r="U30" t="e">
        <f>#REF!-";Hb!yx"</f>
        <v>#REF!</v>
      </c>
      <c r="V30" t="e">
        <f>#REF!-";Hb!yy"</f>
        <v>#REF!</v>
      </c>
      <c r="W30" t="e">
        <f>#REF!-";Hb!yz"</f>
        <v>#REF!</v>
      </c>
      <c r="X30" t="e">
        <f>#REF!-";Hb!y{"</f>
        <v>#REF!</v>
      </c>
      <c r="Y30" t="e">
        <f>#REF!-";Hb!y|"</f>
        <v>#REF!</v>
      </c>
      <c r="Z30" t="e">
        <f>#REF!-";Hb!y}"</f>
        <v>#REF!</v>
      </c>
      <c r="AA30" t="e">
        <f>#REF!-";Hb!y~"</f>
        <v>#REF!</v>
      </c>
      <c r="AB30" t="e">
        <f>#REF!-";Hb!z#"</f>
        <v>#REF!</v>
      </c>
      <c r="AC30" t="e">
        <f>#REF!-";Hb!z$"</f>
        <v>#REF!</v>
      </c>
      <c r="AD30" t="e">
        <f>#REF!-";Hb!z%"</f>
        <v>#REF!</v>
      </c>
      <c r="AE30" t="e">
        <f>#REF!-";Hb!z&amp;"</f>
        <v>#REF!</v>
      </c>
      <c r="AF30" t="e">
        <f>#REF!-";Hb!z'"</f>
        <v>#REF!</v>
      </c>
      <c r="AG30" t="e">
        <f>#REF!-";Hb!z("</f>
        <v>#REF!</v>
      </c>
      <c r="AH30" t="e">
        <f>#REF!-";Hb!z)"</f>
        <v>#REF!</v>
      </c>
      <c r="AI30" t="e">
        <f>#REF!-";Hb!z."</f>
        <v>#REF!</v>
      </c>
      <c r="AJ30" t="e">
        <f>#REF!-";Hb!z/"</f>
        <v>#REF!</v>
      </c>
      <c r="AK30" t="e">
        <f>#REF!-";Hb!z0"</f>
        <v>#REF!</v>
      </c>
      <c r="AL30" t="e">
        <f>#REF!-";Hb!z1"</f>
        <v>#REF!</v>
      </c>
      <c r="AM30" t="e">
        <f>#REF!-";Hb!z2"</f>
        <v>#REF!</v>
      </c>
      <c r="AN30" t="e">
        <f>#REF!-";Hb!z3"</f>
        <v>#REF!</v>
      </c>
      <c r="AO30" t="e">
        <f>#REF!-";Hb!z4"</f>
        <v>#REF!</v>
      </c>
      <c r="AP30" t="e">
        <f>#REF!-";Hb!z5"</f>
        <v>#REF!</v>
      </c>
      <c r="AQ30" t="e">
        <f>#REF!-";Hb!z6"</f>
        <v>#REF!</v>
      </c>
      <c r="AR30" t="e">
        <f>#REF!-";Hb!z7"</f>
        <v>#REF!</v>
      </c>
      <c r="AS30" t="e">
        <f>#REF!-";Hb!z8"</f>
        <v>#REF!</v>
      </c>
      <c r="AT30" t="e">
        <f>#REF!-";Hb!z9"</f>
        <v>#REF!</v>
      </c>
      <c r="AU30" t="e">
        <f>#REF!-";Hb!z:"</f>
        <v>#REF!</v>
      </c>
      <c r="AV30" t="e">
        <f>#REF!-";Hb!z;"</f>
        <v>#REF!</v>
      </c>
      <c r="AW30" t="e">
        <f>#REF!-";Hb!z&lt;"</f>
        <v>#REF!</v>
      </c>
      <c r="AX30" t="e">
        <f>#REF!-";Hb!z="</f>
        <v>#REF!</v>
      </c>
      <c r="AY30" t="e">
        <f>#REF!-";Hb!z&gt;"</f>
        <v>#REF!</v>
      </c>
      <c r="AZ30" t="e">
        <f>#REF!-";Hb!z?"</f>
        <v>#REF!</v>
      </c>
      <c r="BA30" t="e">
        <f>#REF!-";Hb!z@"</f>
        <v>#REF!</v>
      </c>
      <c r="BB30" t="e">
        <f>#REF!-";Hb!zA"</f>
        <v>#REF!</v>
      </c>
      <c r="BC30" t="e">
        <f>#REF!-";Hb!zB"</f>
        <v>#REF!</v>
      </c>
      <c r="BD30" t="e">
        <f>#REF!-";Hb!zC"</f>
        <v>#REF!</v>
      </c>
      <c r="BE30" t="e">
        <f>#REF!-";Hb!zD"</f>
        <v>#REF!</v>
      </c>
      <c r="BF30" t="e">
        <f>#REF!-";Hb!zE"</f>
        <v>#REF!</v>
      </c>
      <c r="BG30" t="e">
        <f>#REF!-";Hb!zF"</f>
        <v>#REF!</v>
      </c>
      <c r="BH30" t="e">
        <f>#REF!-";Hb!zG"</f>
        <v>#REF!</v>
      </c>
      <c r="BI30" t="e">
        <f>#REF!-";Hb!zH"</f>
        <v>#REF!</v>
      </c>
      <c r="BJ30" t="e">
        <f>#REF!-";Hb!zI"</f>
        <v>#REF!</v>
      </c>
      <c r="BK30" t="e">
        <f>#REF!-";Hb!zJ"</f>
        <v>#REF!</v>
      </c>
      <c r="BL30" t="e">
        <f>#REF!-";Hb!zK"</f>
        <v>#REF!</v>
      </c>
      <c r="BM30" t="e">
        <f>#REF!-";Hb!zL"</f>
        <v>#REF!</v>
      </c>
      <c r="BN30" t="e">
        <f>#REF!-";Hb!zM"</f>
        <v>#REF!</v>
      </c>
      <c r="BO30" t="e">
        <f>#REF!-";Hb!zN"</f>
        <v>#REF!</v>
      </c>
      <c r="BP30" t="e">
        <f>#REF!-";Hb!zO"</f>
        <v>#REF!</v>
      </c>
      <c r="BQ30" t="e">
        <f>#REF!-";Hb!zP"</f>
        <v>#REF!</v>
      </c>
      <c r="BR30" t="e">
        <f>#REF!-";Hb!zQ"</f>
        <v>#REF!</v>
      </c>
      <c r="BS30" t="e">
        <f>#REF!-";Hb!zR"</f>
        <v>#REF!</v>
      </c>
      <c r="BT30" t="e">
        <f>#REF!-";Hb!zS"</f>
        <v>#REF!</v>
      </c>
      <c r="BU30" t="e">
        <f>#REF!-";Hb!zT"</f>
        <v>#REF!</v>
      </c>
      <c r="BV30" t="e">
        <f>#REF!-";Hb!zU"</f>
        <v>#REF!</v>
      </c>
      <c r="BW30" t="e">
        <f>#REF!-";Hb!zV"</f>
        <v>#REF!</v>
      </c>
      <c r="BX30" t="e">
        <f>#REF!-";Hb!zW"</f>
        <v>#REF!</v>
      </c>
      <c r="BY30" t="e">
        <f>#REF!-";Hb!zX"</f>
        <v>#REF!</v>
      </c>
      <c r="BZ30" t="e">
        <f>#REF!-";Hb!zY"</f>
        <v>#REF!</v>
      </c>
      <c r="CA30" t="e">
        <f>#REF!-";Hb!zZ"</f>
        <v>#REF!</v>
      </c>
      <c r="CB30" t="e">
        <f>#REF!-";Hb!z["</f>
        <v>#REF!</v>
      </c>
      <c r="CC30" t="e">
        <f>#REF!-";Hb!z\"</f>
        <v>#REF!</v>
      </c>
      <c r="CD30" t="e">
        <f>#REF!-";Hb!z]"</f>
        <v>#REF!</v>
      </c>
      <c r="CE30" t="e">
        <f>#REF!-";Hb!z^"</f>
        <v>#REF!</v>
      </c>
      <c r="CF30" t="e">
        <f>#REF!-";Hb!z_"</f>
        <v>#REF!</v>
      </c>
      <c r="CG30" t="e">
        <f>#REF!-";Hb!z`"</f>
        <v>#REF!</v>
      </c>
      <c r="CH30" t="e">
        <f>#REF!-";Hb!za"</f>
        <v>#REF!</v>
      </c>
      <c r="CI30" t="e">
        <f>#REF!-";Hb!zb"</f>
        <v>#REF!</v>
      </c>
      <c r="CJ30" t="e">
        <f>#REF!-";Hb!zc"</f>
        <v>#REF!</v>
      </c>
      <c r="CK30" t="e">
        <f>#REF!-";Hb!zd"</f>
        <v>#REF!</v>
      </c>
      <c r="CL30" t="e">
        <f>#REF!-";Hb!ze"</f>
        <v>#REF!</v>
      </c>
      <c r="CM30" t="e">
        <f>#REF!-";Hb!zf"</f>
        <v>#REF!</v>
      </c>
      <c r="CN30" t="e">
        <f>#REF!-";Hb!zg"</f>
        <v>#REF!</v>
      </c>
      <c r="CO30" t="e">
        <f>#REF!-";Hb!zh"</f>
        <v>#REF!</v>
      </c>
      <c r="CP30" t="e">
        <f>#REF!-";Hb!zi"</f>
        <v>#REF!</v>
      </c>
      <c r="CQ30" t="e">
        <f>#REF!-";Hb!zj"</f>
        <v>#REF!</v>
      </c>
      <c r="CR30" t="e">
        <f>#REF!-";Hb!zk"</f>
        <v>#REF!</v>
      </c>
      <c r="CS30" t="e">
        <f>#REF!-";Hb!zl"</f>
        <v>#REF!</v>
      </c>
      <c r="CT30" t="e">
        <f>#REF!-";Hb!zm"</f>
        <v>#REF!</v>
      </c>
      <c r="CU30" t="e">
        <f>#REF!-";Hb!zn"</f>
        <v>#REF!</v>
      </c>
      <c r="CV30" t="e">
        <f>#REF!-";Hb!zo"</f>
        <v>#REF!</v>
      </c>
      <c r="CW30" t="e">
        <f>#REF!-";Hb!zp"</f>
        <v>#REF!</v>
      </c>
      <c r="CX30" t="e">
        <f>#REF!-";Hb!zq"</f>
        <v>#REF!</v>
      </c>
      <c r="CY30" t="e">
        <f>#REF!-";Hb!zr"</f>
        <v>#REF!</v>
      </c>
      <c r="CZ30" t="e">
        <f>#REF!-";Hb!zs"</f>
        <v>#REF!</v>
      </c>
      <c r="DA30" t="e">
        <f>#REF!-";Hb!zt"</f>
        <v>#REF!</v>
      </c>
      <c r="DB30" t="e">
        <f>#REF!-";Hb!zu"</f>
        <v>#REF!</v>
      </c>
      <c r="DC30" t="e">
        <f>#REF!-";Hb!zv"</f>
        <v>#REF!</v>
      </c>
      <c r="DD30" t="e">
        <f>#REF!-";Hb!zw"</f>
        <v>#REF!</v>
      </c>
      <c r="DE30" t="e">
        <f>#REF!-";Hb!zx"</f>
        <v>#REF!</v>
      </c>
      <c r="DF30" t="e">
        <f>#REF!-";Hb!zy"</f>
        <v>#REF!</v>
      </c>
      <c r="DG30" t="e">
        <f>#REF!-";Hb!zz"</f>
        <v>#REF!</v>
      </c>
      <c r="DH30" t="e">
        <f>#REF!-";Hb!z{"</f>
        <v>#REF!</v>
      </c>
      <c r="DI30" t="e">
        <f>#REF!-";Hb!z|"</f>
        <v>#REF!</v>
      </c>
      <c r="DJ30" t="e">
        <f>#REF!-";Hb!z}"</f>
        <v>#REF!</v>
      </c>
      <c r="DK30" t="e">
        <f>#REF!-";Hb!z~"</f>
        <v>#REF!</v>
      </c>
      <c r="DL30" t="e">
        <f>#REF!-";Hb!{#"</f>
        <v>#REF!</v>
      </c>
      <c r="DM30" t="e">
        <f>#REF!-";Hb!{$"</f>
        <v>#REF!</v>
      </c>
      <c r="DN30" t="e">
        <f>#REF!-";Hb!{%"</f>
        <v>#REF!</v>
      </c>
      <c r="DO30" t="e">
        <f>#REF!-";Hb!{&amp;"</f>
        <v>#REF!</v>
      </c>
      <c r="DP30" t="e">
        <f>#REF!-";Hb!{'"</f>
        <v>#REF!</v>
      </c>
      <c r="DQ30" t="e">
        <f>#REF!-";Hb!{("</f>
        <v>#REF!</v>
      </c>
      <c r="DR30" t="e">
        <f>#REF!-";Hb!{)"</f>
        <v>#REF!</v>
      </c>
      <c r="DS30" t="e">
        <f>#REF!-";Hb!{."</f>
        <v>#REF!</v>
      </c>
      <c r="DT30" t="e">
        <f>#REF!-";Hb!{/"</f>
        <v>#REF!</v>
      </c>
      <c r="DU30" t="e">
        <f>#REF!-";Hb!{0"</f>
        <v>#REF!</v>
      </c>
      <c r="DV30" t="e">
        <f>#REF!-";Hb!{1"</f>
        <v>#REF!</v>
      </c>
      <c r="DW30" t="e">
        <f>#REF!-";Hb!{2"</f>
        <v>#REF!</v>
      </c>
      <c r="DX30" t="e">
        <f>#REF!-";Hb!{3"</f>
        <v>#REF!</v>
      </c>
      <c r="DY30" t="e">
        <f>#REF!-";Hb!{4"</f>
        <v>#REF!</v>
      </c>
      <c r="DZ30" t="e">
        <f>#REF!-";Hb!{5"</f>
        <v>#REF!</v>
      </c>
      <c r="EA30" t="e">
        <f>#REF!-";Hb!{6"</f>
        <v>#REF!</v>
      </c>
      <c r="EB30" t="e">
        <f>#REF!-";Hb!{7"</f>
        <v>#REF!</v>
      </c>
      <c r="EC30" t="e">
        <f>#REF!-";Hb!{8"</f>
        <v>#REF!</v>
      </c>
      <c r="ED30" t="e">
        <f>#REF!-";Hb!{9"</f>
        <v>#REF!</v>
      </c>
      <c r="EE30" t="e">
        <f>#REF!-";Hb!{:"</f>
        <v>#REF!</v>
      </c>
      <c r="EF30" t="e">
        <f>#REF!-";Hb!{;"</f>
        <v>#REF!</v>
      </c>
      <c r="EG30" t="e">
        <f>#REF!-";Hb!{&lt;"</f>
        <v>#REF!</v>
      </c>
      <c r="EH30" t="e">
        <f>#REF!-";Hb!{="</f>
        <v>#REF!</v>
      </c>
      <c r="EI30" t="e">
        <f>#REF!-";Hb!{&gt;"</f>
        <v>#REF!</v>
      </c>
      <c r="EJ30" t="e">
        <f>#REF!-";Hb!{?"</f>
        <v>#REF!</v>
      </c>
      <c r="EK30" t="e">
        <f>#REF!-";Hb!{@"</f>
        <v>#REF!</v>
      </c>
      <c r="EL30" t="e">
        <f>#REF!-";Hb!{A"</f>
        <v>#REF!</v>
      </c>
      <c r="EM30" t="e">
        <f>#REF!-";Hb!{B"</f>
        <v>#REF!</v>
      </c>
      <c r="EN30" t="e">
        <f>#REF!-";Hb!{C"</f>
        <v>#REF!</v>
      </c>
      <c r="EO30" t="e">
        <f>#REF!-";Hb!{D"</f>
        <v>#REF!</v>
      </c>
      <c r="EP30" t="e">
        <f>#REF!-";Hb!{E"</f>
        <v>#REF!</v>
      </c>
      <c r="EQ30" t="e">
        <f>#REF!-";Hb!{F"</f>
        <v>#REF!</v>
      </c>
      <c r="ER30" t="e">
        <f>#REF!-";Hb!{G"</f>
        <v>#REF!</v>
      </c>
      <c r="ES30" t="e">
        <f>#REF!-";Hb!{H"</f>
        <v>#REF!</v>
      </c>
      <c r="ET30" t="e">
        <f>#REF!-";Hb!{I"</f>
        <v>#REF!</v>
      </c>
      <c r="EU30" t="e">
        <f>#REF!-";Hb!{J"</f>
        <v>#REF!</v>
      </c>
      <c r="EV30" t="e">
        <f>#REF!-";Hb!{K"</f>
        <v>#REF!</v>
      </c>
      <c r="EW30" t="e">
        <f>#REF!-";Hb!{L"</f>
        <v>#REF!</v>
      </c>
      <c r="EX30" t="e">
        <f>#REF!-";Hb!{M"</f>
        <v>#REF!</v>
      </c>
      <c r="EY30" t="e">
        <f>#REF!-";Hb!{N"</f>
        <v>#REF!</v>
      </c>
      <c r="EZ30" t="e">
        <f>#REF!-";Hb!{O"</f>
        <v>#REF!</v>
      </c>
      <c r="FA30" t="e">
        <f>#REF!-";Hb!{P"</f>
        <v>#REF!</v>
      </c>
      <c r="FB30" t="e">
        <f>#REF!-";Hb!{Q"</f>
        <v>#REF!</v>
      </c>
      <c r="FC30" t="e">
        <f>#REF!-";Hb!{R"</f>
        <v>#REF!</v>
      </c>
      <c r="FD30" t="e">
        <f>#REF!-";Hb!{S"</f>
        <v>#REF!</v>
      </c>
      <c r="FE30" t="e">
        <f>#REF!-";Hb!{T"</f>
        <v>#REF!</v>
      </c>
      <c r="FF30" t="e">
        <f>#REF!-";Hb!{U"</f>
        <v>#REF!</v>
      </c>
      <c r="FG30" t="e">
        <f>#REF!-";Hb!{V"</f>
        <v>#REF!</v>
      </c>
      <c r="FH30" t="e">
        <f>#REF!-";Hb!{W"</f>
        <v>#REF!</v>
      </c>
      <c r="FI30" t="e">
        <f>#REF!-";Hb!{X"</f>
        <v>#REF!</v>
      </c>
      <c r="FJ30" t="e">
        <f>#REF!-";Hb!{Y"</f>
        <v>#REF!</v>
      </c>
      <c r="FK30" t="e">
        <f>#REF!-";Hb!{Z"</f>
        <v>#REF!</v>
      </c>
      <c r="FL30" t="e">
        <f>#REF!-";Hb!{["</f>
        <v>#REF!</v>
      </c>
      <c r="FM30" t="e">
        <f>#REF!-";Hb!{\"</f>
        <v>#REF!</v>
      </c>
      <c r="FN30" t="e">
        <f>#REF!-";Hb!{]"</f>
        <v>#REF!</v>
      </c>
      <c r="FO30" t="e">
        <f>#REF!-";Hb!{^"</f>
        <v>#REF!</v>
      </c>
      <c r="FP30" t="e">
        <f>#REF!-";Hb!{_"</f>
        <v>#REF!</v>
      </c>
      <c r="FQ30" t="e">
        <f>#REF!-";Hb!{`"</f>
        <v>#REF!</v>
      </c>
      <c r="FR30" t="e">
        <f>#REF!-";Hb!{a"</f>
        <v>#REF!</v>
      </c>
      <c r="FS30" t="e">
        <f>#REF!-";Hb!{b"</f>
        <v>#REF!</v>
      </c>
      <c r="FT30" t="e">
        <f>#REF!-";Hb!{c"</f>
        <v>#REF!</v>
      </c>
      <c r="FU30" t="e">
        <f>#REF!-";Hb!{d"</f>
        <v>#REF!</v>
      </c>
      <c r="FV30" t="e">
        <f>#REF!-";Hb!{e"</f>
        <v>#REF!</v>
      </c>
      <c r="FW30" t="e">
        <f>#REF!-";Hb!{f"</f>
        <v>#REF!</v>
      </c>
      <c r="FX30" t="e">
        <f>#REF!-";Hb!{g"</f>
        <v>#REF!</v>
      </c>
      <c r="FY30" t="e">
        <f>#REF!-";Hb!{h"</f>
        <v>#REF!</v>
      </c>
      <c r="FZ30" t="e">
        <f>#REF!-";Hb!{i"</f>
        <v>#REF!</v>
      </c>
      <c r="GA30" t="e">
        <f>#REF!-";Hb!{j"</f>
        <v>#REF!</v>
      </c>
      <c r="GB30" t="e">
        <f>#REF!-";Hb!{k"</f>
        <v>#REF!</v>
      </c>
      <c r="GC30" t="e">
        <f>#REF!-";Hb!{l"</f>
        <v>#REF!</v>
      </c>
      <c r="GD30" t="e">
        <f>#REF!-";Hb!{m"</f>
        <v>#REF!</v>
      </c>
      <c r="GE30" t="e">
        <f>#REF!-";Hb!{n"</f>
        <v>#REF!</v>
      </c>
      <c r="GF30" t="e">
        <f>#REF!-";Hb!{o"</f>
        <v>#REF!</v>
      </c>
      <c r="GG30" t="e">
        <f>#REF!-";Hb!{p"</f>
        <v>#REF!</v>
      </c>
      <c r="GH30" t="e">
        <f>#REF!-";Hb!{q"</f>
        <v>#REF!</v>
      </c>
      <c r="GI30" t="e">
        <f>#REF!-";Hb!{r"</f>
        <v>#REF!</v>
      </c>
      <c r="GJ30" t="e">
        <f>#REF!-";Hb!{s"</f>
        <v>#REF!</v>
      </c>
      <c r="GK30" t="e">
        <f>#REF!-";Hb!{t"</f>
        <v>#REF!</v>
      </c>
      <c r="GL30" t="e">
        <f>#REF!-";Hb!{u"</f>
        <v>#REF!</v>
      </c>
      <c r="GM30" t="e">
        <f>#REF!-";Hb!{v"</f>
        <v>#REF!</v>
      </c>
      <c r="GN30" t="e">
        <f>#REF!-";Hb!{w"</f>
        <v>#REF!</v>
      </c>
      <c r="GO30" t="e">
        <f>#REF!-";Hb!{x"</f>
        <v>#REF!</v>
      </c>
      <c r="GP30" t="e">
        <f>#REF!-";Hb!{y"</f>
        <v>#REF!</v>
      </c>
      <c r="GQ30" t="e">
        <f>#REF!-";Hb!{z"</f>
        <v>#REF!</v>
      </c>
      <c r="GR30" t="e">
        <f>#REF!-";Hb!{{"</f>
        <v>#REF!</v>
      </c>
      <c r="GS30" t="e">
        <f>#REF!-";Hb!{|"</f>
        <v>#REF!</v>
      </c>
      <c r="GT30" t="e">
        <f>#REF!-";Hb!{}"</f>
        <v>#REF!</v>
      </c>
      <c r="GU30" t="e">
        <f>#REF!-";Hb!{~"</f>
        <v>#REF!</v>
      </c>
      <c r="GV30" t="e">
        <f>#REF!-";Hb!|#"</f>
        <v>#REF!</v>
      </c>
      <c r="GW30" t="e">
        <f>#REF!-";Hb!|$"</f>
        <v>#REF!</v>
      </c>
      <c r="GX30" t="e">
        <f>#REF!-";Hb!|%"</f>
        <v>#REF!</v>
      </c>
      <c r="GY30" t="e">
        <f>#REF!-";Hb!|&amp;"</f>
        <v>#REF!</v>
      </c>
      <c r="GZ30" t="e">
        <f>#REF!-";Hb!|'"</f>
        <v>#REF!</v>
      </c>
      <c r="HA30" t="e">
        <f>#REF!-";Hb!|("</f>
        <v>#REF!</v>
      </c>
      <c r="HB30" t="e">
        <f>#REF!-";Hb!|)"</f>
        <v>#REF!</v>
      </c>
      <c r="HC30" t="e">
        <f>#REF!-";Hb!|."</f>
        <v>#REF!</v>
      </c>
      <c r="HD30" t="e">
        <f>#REF!-";Hb!|/"</f>
        <v>#REF!</v>
      </c>
      <c r="HE30" t="e">
        <f>#REF!-";Hb!|0"</f>
        <v>#REF!</v>
      </c>
      <c r="HF30" t="e">
        <f>#REF!-";Hb!|1"</f>
        <v>#REF!</v>
      </c>
      <c r="HG30" t="e">
        <f>#REF!-";Hb!|2"</f>
        <v>#REF!</v>
      </c>
      <c r="HH30" t="e">
        <f>#REF!-";Hb!|3"</f>
        <v>#REF!</v>
      </c>
      <c r="HI30" t="e">
        <f>#REF!-";Hb!|4"</f>
        <v>#REF!</v>
      </c>
      <c r="HJ30" t="e">
        <f>#REF!-";Hb!|5"</f>
        <v>#REF!</v>
      </c>
      <c r="HK30" t="e">
        <f>#REF!-";Hb!|6"</f>
        <v>#REF!</v>
      </c>
      <c r="HL30" t="e">
        <f>#REF!-";Hb!|7"</f>
        <v>#REF!</v>
      </c>
      <c r="HM30" t="e">
        <f>#REF!-";Hb!|8"</f>
        <v>#REF!</v>
      </c>
      <c r="HN30" t="e">
        <f>#REF!-";Hb!|9"</f>
        <v>#REF!</v>
      </c>
      <c r="HO30" t="e">
        <f>#REF!-";Hb!|:"</f>
        <v>#REF!</v>
      </c>
      <c r="HP30" t="e">
        <f>#REF!-";Hb!|;"</f>
        <v>#REF!</v>
      </c>
      <c r="HQ30" t="e">
        <f>#REF!-";Hb!|&lt;"</f>
        <v>#REF!</v>
      </c>
      <c r="HR30" t="e">
        <f>#REF!-";Hb!|="</f>
        <v>#REF!</v>
      </c>
      <c r="HS30" t="e">
        <f>#REF!-";Hb!|&gt;"</f>
        <v>#REF!</v>
      </c>
      <c r="HT30" t="e">
        <f>#REF!-";Hb!|?"</f>
        <v>#REF!</v>
      </c>
      <c r="HU30" t="e">
        <f>#REF!-";Hb!|@"</f>
        <v>#REF!</v>
      </c>
      <c r="HV30" t="e">
        <f>#REF!-";Hb!|A"</f>
        <v>#REF!</v>
      </c>
      <c r="HW30" t="e">
        <f>#REF!-";Hb!|B"</f>
        <v>#REF!</v>
      </c>
      <c r="HX30" t="e">
        <f>#REF!-";Hb!|C"</f>
        <v>#REF!</v>
      </c>
      <c r="HY30" t="e">
        <f>#REF!-";Hb!|D"</f>
        <v>#REF!</v>
      </c>
      <c r="HZ30" t="e">
        <f>#REF!-";Hb!|E"</f>
        <v>#REF!</v>
      </c>
      <c r="IA30" t="e">
        <f>#REF!-";Hb!|F"</f>
        <v>#REF!</v>
      </c>
      <c r="IB30" t="e">
        <f>#REF!-";Hb!|G"</f>
        <v>#REF!</v>
      </c>
      <c r="IC30" t="e">
        <f>#REF!-";Hb!|H"</f>
        <v>#REF!</v>
      </c>
      <c r="ID30" t="e">
        <f>#REF!-";Hb!|I"</f>
        <v>#REF!</v>
      </c>
      <c r="IE30" t="e">
        <f>#REF!-";Hb!|J"</f>
        <v>#REF!</v>
      </c>
      <c r="IF30" t="e">
        <f>#REF!-";Hb!|K"</f>
        <v>#REF!</v>
      </c>
      <c r="IG30" t="e">
        <f>#REF!-";Hb!|L"</f>
        <v>#REF!</v>
      </c>
      <c r="IH30" t="e">
        <f>#REF!-";Hb!|M"</f>
        <v>#REF!</v>
      </c>
      <c r="II30" t="e">
        <f>#REF!-";Hb!|N"</f>
        <v>#REF!</v>
      </c>
      <c r="IJ30" t="e">
        <f>#REF!-";Hb!|O"</f>
        <v>#REF!</v>
      </c>
      <c r="IK30" t="e">
        <f>#REF!-";Hb!|P"</f>
        <v>#REF!</v>
      </c>
      <c r="IL30" t="e">
        <f>#REF!-";Hb!|Q"</f>
        <v>#REF!</v>
      </c>
      <c r="IM30" t="e">
        <f>#REF!-";Hb!|R"</f>
        <v>#REF!</v>
      </c>
      <c r="IN30" t="e">
        <f>#REF!-";Hb!|S"</f>
        <v>#REF!</v>
      </c>
      <c r="IO30" t="e">
        <f>#REF!-";Hb!|T"</f>
        <v>#REF!</v>
      </c>
      <c r="IP30" t="e">
        <f>#REF!-";Hb!|U"</f>
        <v>#REF!</v>
      </c>
      <c r="IQ30" t="e">
        <f>#REF!-";Hb!|V"</f>
        <v>#REF!</v>
      </c>
      <c r="IR30" t="e">
        <f>#REF!-";Hb!|W"</f>
        <v>#REF!</v>
      </c>
      <c r="IS30" t="e">
        <f>#REF!-";Hb!|X"</f>
        <v>#REF!</v>
      </c>
      <c r="IT30" t="e">
        <f>#REF!-";Hb!|Y"</f>
        <v>#REF!</v>
      </c>
      <c r="IU30" t="e">
        <f>#REF!-";Hb!|Z"</f>
        <v>#REF!</v>
      </c>
      <c r="IV30" t="e">
        <f>#REF!-";Hb!|["</f>
        <v>#REF!</v>
      </c>
    </row>
    <row r="31" spans="6:256" x14ac:dyDescent="0.25">
      <c r="F31" t="e">
        <f>#REF!-";Hb!|\"</f>
        <v>#REF!</v>
      </c>
      <c r="G31" t="e">
        <f>#REF!-";Hb!|]"</f>
        <v>#REF!</v>
      </c>
      <c r="H31" t="e">
        <f>#REF!-";Hb!|^"</f>
        <v>#REF!</v>
      </c>
      <c r="I31" t="e">
        <f>#REF!-";Hb!|_"</f>
        <v>#REF!</v>
      </c>
      <c r="J31" t="e">
        <f>#REF!-";Hb!|`"</f>
        <v>#REF!</v>
      </c>
      <c r="K31" t="e">
        <f>#REF!-";Hb!|a"</f>
        <v>#REF!</v>
      </c>
      <c r="L31" t="e">
        <f>#REF!-";Hb!|b"</f>
        <v>#REF!</v>
      </c>
      <c r="M31" t="e">
        <f>#REF!-";Hb!|c"</f>
        <v>#REF!</v>
      </c>
      <c r="N31" t="e">
        <f>#REF!-";Hb!|d"</f>
        <v>#REF!</v>
      </c>
      <c r="O31" t="e">
        <f>#REF!-";Hb!|e"</f>
        <v>#REF!</v>
      </c>
      <c r="P31" t="e">
        <f>#REF!-";Hb!|f"</f>
        <v>#REF!</v>
      </c>
      <c r="Q31" t="e">
        <f>#REF!-";Hb!|g"</f>
        <v>#REF!</v>
      </c>
      <c r="R31" t="e">
        <f>#REF!-";Hb!|h"</f>
        <v>#REF!</v>
      </c>
      <c r="S31" t="e">
        <f>#REF!-";Hb!|i"</f>
        <v>#REF!</v>
      </c>
      <c r="T31" t="e">
        <f>#REF!-";Hb!|j"</f>
        <v>#REF!</v>
      </c>
      <c r="U31" t="e">
        <f>#REF!-";Hb!|k"</f>
        <v>#REF!</v>
      </c>
      <c r="V31" t="e">
        <f>#REF!-";Hb!|l"</f>
        <v>#REF!</v>
      </c>
      <c r="W31" t="e">
        <f>#REF!-";Hb!|m"</f>
        <v>#REF!</v>
      </c>
      <c r="X31" t="e">
        <f>#REF!-";Hb!|n"</f>
        <v>#REF!</v>
      </c>
      <c r="Y31" t="e">
        <f>#REF!-";Hb!|o"</f>
        <v>#REF!</v>
      </c>
      <c r="Z31" t="e">
        <f>#REF!-";Hb!|p"</f>
        <v>#REF!</v>
      </c>
      <c r="AA31" t="e">
        <f>#REF!-";Hb!|q"</f>
        <v>#REF!</v>
      </c>
      <c r="AB31" t="e">
        <f>#REF!-";Hb!|r"</f>
        <v>#REF!</v>
      </c>
      <c r="AC31" t="e">
        <f>#REF!-";Hb!|s"</f>
        <v>#REF!</v>
      </c>
      <c r="AD31" t="e">
        <f>#REF!-";Hb!|t"</f>
        <v>#REF!</v>
      </c>
      <c r="AE31" t="e">
        <f>#REF!-";Hb!|u"</f>
        <v>#REF!</v>
      </c>
      <c r="AF31" t="e">
        <f>#REF!-";Hb!|v"</f>
        <v>#REF!</v>
      </c>
      <c r="AG31" t="e">
        <f>#REF!-";Hb!|w"</f>
        <v>#REF!</v>
      </c>
      <c r="AH31" t="e">
        <f>#REF!-";Hb!|x"</f>
        <v>#REF!</v>
      </c>
      <c r="AI31" t="e">
        <f>#REF!-";Hb!|y"</f>
        <v>#REF!</v>
      </c>
      <c r="AJ31" t="e">
        <f>#REF!-";Hb!|z"</f>
        <v>#REF!</v>
      </c>
      <c r="AK31" t="e">
        <f>#REF!-";Hb!|{"</f>
        <v>#REF!</v>
      </c>
      <c r="AL31" t="e">
        <f>#REF!-";Hb!||"</f>
        <v>#REF!</v>
      </c>
      <c r="AM31" t="e">
        <f>#REF!-";Hb!|}"</f>
        <v>#REF!</v>
      </c>
      <c r="AN31" t="e">
        <f>#REF!-";Hb!|~"</f>
        <v>#REF!</v>
      </c>
      <c r="AO31" t="e">
        <f>#REF!-";Hb!}#"</f>
        <v>#REF!</v>
      </c>
      <c r="AP31" t="e">
        <f>#REF!-";Hb!}$"</f>
        <v>#REF!</v>
      </c>
      <c r="AQ31" t="e">
        <f>#REF!-";Hb!}%"</f>
        <v>#REF!</v>
      </c>
      <c r="AR31" t="e">
        <f>#REF!-";Hb!}&amp;"</f>
        <v>#REF!</v>
      </c>
      <c r="AS31" t="e">
        <f>#REF!-";Hb!}'"</f>
        <v>#REF!</v>
      </c>
      <c r="AT31" t="e">
        <f>#REF!-";Hb!}("</f>
        <v>#REF!</v>
      </c>
      <c r="AU31" t="e">
        <f>#REF!-";Hb!})"</f>
        <v>#REF!</v>
      </c>
      <c r="AV31" t="e">
        <f>#REF!-";Hb!}."</f>
        <v>#REF!</v>
      </c>
      <c r="AW31" t="e">
        <f>#REF!-";Hb!}/"</f>
        <v>#REF!</v>
      </c>
      <c r="AX31" t="e">
        <f>#REF!-";Hb!}0"</f>
        <v>#REF!</v>
      </c>
      <c r="AY31" t="e">
        <f>#REF!-";Hb!}1"</f>
        <v>#REF!</v>
      </c>
      <c r="AZ31" t="e">
        <f>#REF!-";Hb!}2"</f>
        <v>#REF!</v>
      </c>
      <c r="BA31" t="e">
        <f>#REF!-";Hb!}3"</f>
        <v>#REF!</v>
      </c>
      <c r="BB31" t="e">
        <f>#REF!-";Hb!}4"</f>
        <v>#REF!</v>
      </c>
      <c r="BC31" t="e">
        <f>#REF!-";Hb!}5"</f>
        <v>#REF!</v>
      </c>
      <c r="BD31" t="e">
        <f>#REF!-";Hb!}6"</f>
        <v>#REF!</v>
      </c>
      <c r="BE31" t="e">
        <f>#REF!-";Hb!}7"</f>
        <v>#REF!</v>
      </c>
      <c r="BF31" t="e">
        <f>#REF!-";Hb!}8"</f>
        <v>#REF!</v>
      </c>
      <c r="BG31" t="e">
        <f>#REF!-";Hb!}9"</f>
        <v>#REF!</v>
      </c>
      <c r="BH31" t="e">
        <f>#REF!-";Hb!}:"</f>
        <v>#REF!</v>
      </c>
      <c r="BI31" t="e">
        <f>#REF!-";Hb!};"</f>
        <v>#REF!</v>
      </c>
      <c r="BJ31" t="e">
        <f>#REF!-";Hb!}&lt;"</f>
        <v>#REF!</v>
      </c>
      <c r="BK31" t="e">
        <f>#REF!-";Hb!}="</f>
        <v>#REF!</v>
      </c>
      <c r="BL31" t="e">
        <f>#REF!-";Hb!}&gt;"</f>
        <v>#REF!</v>
      </c>
      <c r="BM31" t="e">
        <f>#REF!-";Hb!}?"</f>
        <v>#REF!</v>
      </c>
      <c r="BN31" t="e">
        <f>#REF!-";Hb!}@"</f>
        <v>#REF!</v>
      </c>
      <c r="BO31" t="e">
        <f>#REF!-";Hb!}A"</f>
        <v>#REF!</v>
      </c>
      <c r="BP31" t="e">
        <f>#REF!-";Hb!}B"</f>
        <v>#REF!</v>
      </c>
      <c r="BQ31" t="e">
        <f>#REF!-";Hb!}C"</f>
        <v>#REF!</v>
      </c>
      <c r="BR31" t="e">
        <f>#REF!-";Hb!}D"</f>
        <v>#REF!</v>
      </c>
      <c r="BS31" t="e">
        <f>#REF!-";Hb!}E"</f>
        <v>#REF!</v>
      </c>
      <c r="BT31" t="e">
        <f>#REF!-";Hb!}F"</f>
        <v>#REF!</v>
      </c>
      <c r="BU31" t="e">
        <f>#REF!-";Hb!}G"</f>
        <v>#REF!</v>
      </c>
      <c r="BV31" t="e">
        <f>#REF!-";Hb!}H"</f>
        <v>#REF!</v>
      </c>
      <c r="BW31" t="e">
        <f>#REF!-";Hb!}I"</f>
        <v>#REF!</v>
      </c>
      <c r="BX31" t="e">
        <f>#REF!-";Hb!}J"</f>
        <v>#REF!</v>
      </c>
      <c r="BY31" t="e">
        <f>#REF!-";Hb!}K"</f>
        <v>#REF!</v>
      </c>
      <c r="BZ31" t="e">
        <f>#REF!-";Hb!}L"</f>
        <v>#REF!</v>
      </c>
      <c r="CA31" t="e">
        <f>#REF!-";Hb!}M"</f>
        <v>#REF!</v>
      </c>
      <c r="CB31" t="e">
        <f>#REF!-";Hb!}N"</f>
        <v>#REF!</v>
      </c>
      <c r="CC31" t="e">
        <f>#REF!-";Hb!}O"</f>
        <v>#REF!</v>
      </c>
      <c r="CD31" t="e">
        <f>#REF!-";Hb!}P"</f>
        <v>#REF!</v>
      </c>
      <c r="CE31" t="e">
        <f>#REF!-";Hb!}Q"</f>
        <v>#REF!</v>
      </c>
      <c r="CF31" t="e">
        <f>#REF!-";Hb!}R"</f>
        <v>#REF!</v>
      </c>
      <c r="CG31" t="e">
        <f>#REF!-";Hb!}S"</f>
        <v>#REF!</v>
      </c>
      <c r="CH31" t="e">
        <f>#REF!-";Hb!}T"</f>
        <v>#REF!</v>
      </c>
      <c r="CI31" t="e">
        <f>#REF!-";Hb!}U"</f>
        <v>#REF!</v>
      </c>
      <c r="CJ31" t="e">
        <f>#REF!-";Hb!}V"</f>
        <v>#REF!</v>
      </c>
      <c r="CK31" t="e">
        <f>#REF!-";Hb!}W"</f>
        <v>#REF!</v>
      </c>
      <c r="CL31" t="e">
        <f>#REF!-";Hb!}X"</f>
        <v>#REF!</v>
      </c>
      <c r="CM31" t="e">
        <f>#REF!-";Hb!}Y"</f>
        <v>#REF!</v>
      </c>
      <c r="CN31" t="e">
        <f>#REF!-";Hb!}Z"</f>
        <v>#REF!</v>
      </c>
      <c r="CO31" t="e">
        <f>#REF!-";Hb!}["</f>
        <v>#REF!</v>
      </c>
      <c r="CP31" t="e">
        <f>#REF!-";Hb!}\"</f>
        <v>#REF!</v>
      </c>
      <c r="CQ31" t="e">
        <f>#REF!-";Hb!}]"</f>
        <v>#REF!</v>
      </c>
      <c r="CR31" t="e">
        <f>#REF!-";Hb!}^"</f>
        <v>#REF!</v>
      </c>
      <c r="CS31" t="e">
        <f>#REF!-";Hb!}_"</f>
        <v>#REF!</v>
      </c>
      <c r="CT31" t="e">
        <f>#REF!-";Hb!}`"</f>
        <v>#REF!</v>
      </c>
      <c r="CU31" t="e">
        <f>#REF!-";Hb!}a"</f>
        <v>#REF!</v>
      </c>
      <c r="CV31" t="e">
        <f>#REF!-";Hb!}b"</f>
        <v>#REF!</v>
      </c>
      <c r="CW31" t="e">
        <f>#REF!-";Hb!}c"</f>
        <v>#REF!</v>
      </c>
      <c r="CX31" t="e">
        <f>#REF!-";Hb!}d"</f>
        <v>#REF!</v>
      </c>
      <c r="CY31" t="e">
        <f>#REF!-";Hb!}e"</f>
        <v>#REF!</v>
      </c>
      <c r="CZ31" t="e">
        <f>#REF!-";Hb!}f"</f>
        <v>#REF!</v>
      </c>
      <c r="DA31" t="e">
        <f>#REF!-";Hb!}g"</f>
        <v>#REF!</v>
      </c>
      <c r="DB31" t="e">
        <f>#REF!-";Hb!}h"</f>
        <v>#REF!</v>
      </c>
      <c r="DC31" t="e">
        <f>#REF!-";Hb!}i"</f>
        <v>#REF!</v>
      </c>
      <c r="DD31" t="e">
        <f>#REF!-";Hb!}j"</f>
        <v>#REF!</v>
      </c>
      <c r="DE31" t="e">
        <f>#REF!-";Hb!}k"</f>
        <v>#REF!</v>
      </c>
      <c r="DF31" t="e">
        <f>#REF!-";Hb!}l"</f>
        <v>#REF!</v>
      </c>
      <c r="DG31" t="e">
        <f>#REF!-";Hb!}m"</f>
        <v>#REF!</v>
      </c>
      <c r="DH31" t="e">
        <f>#REF!-";Hb!}n"</f>
        <v>#REF!</v>
      </c>
      <c r="DI31" t="e">
        <f>#REF!-";Hb!}o"</f>
        <v>#REF!</v>
      </c>
      <c r="DJ31" t="e">
        <f>#REF!-";Hb!}p"</f>
        <v>#REF!</v>
      </c>
      <c r="DK31" t="e">
        <f>#REF!-";Hb!}q"</f>
        <v>#REF!</v>
      </c>
      <c r="DL31" t="e">
        <f>#REF!-";Hb!}r"</f>
        <v>#REF!</v>
      </c>
      <c r="DM31" t="e">
        <f>#REF!-";Hb!}s"</f>
        <v>#REF!</v>
      </c>
      <c r="DN31" t="e">
        <f>#REF!-";Hb!}t"</f>
        <v>#REF!</v>
      </c>
      <c r="DO31" t="e">
        <f>#REF!-";Hb!}u"</f>
        <v>#REF!</v>
      </c>
      <c r="DP31" t="e">
        <f>#REF!-";Hb!}v"</f>
        <v>#REF!</v>
      </c>
      <c r="DQ31" t="e">
        <f>#REF!-";Hb!}w"</f>
        <v>#REF!</v>
      </c>
      <c r="DR31" t="e">
        <f>#REF!-";Hb!}x"</f>
        <v>#REF!</v>
      </c>
      <c r="DS31" t="e">
        <f>#REF!-";Hb!}y"</f>
        <v>#REF!</v>
      </c>
      <c r="DT31" t="e">
        <f>#REF!-";Hb!}z"</f>
        <v>#REF!</v>
      </c>
      <c r="DU31" t="e">
        <f>#REF!-";Hb!}{"</f>
        <v>#REF!</v>
      </c>
      <c r="DV31" t="e">
        <f>#REF!-";Hb!}|"</f>
        <v>#REF!</v>
      </c>
      <c r="DW31" t="e">
        <f>#REF!-";Hb!}}"</f>
        <v>#REF!</v>
      </c>
      <c r="DX31" t="e">
        <f>#REF!-";Hb!}~"</f>
        <v>#REF!</v>
      </c>
      <c r="DY31" t="e">
        <f>#REF!-";Hb!~#"</f>
        <v>#REF!</v>
      </c>
      <c r="DZ31" t="e">
        <f>#REF!-";Hb!~$"</f>
        <v>#REF!</v>
      </c>
      <c r="EA31" t="e">
        <f>#REF!-";Hb!~%"</f>
        <v>#REF!</v>
      </c>
      <c r="EB31" t="e">
        <f>#REF!-";Hb!~&amp;"</f>
        <v>#REF!</v>
      </c>
      <c r="EC31" t="e">
        <f>#REF!-";Hb!~'"</f>
        <v>#REF!</v>
      </c>
      <c r="ED31" t="e">
        <f>#REF!-";Hb!~("</f>
        <v>#REF!</v>
      </c>
      <c r="EE31" t="e">
        <f>#REF!-";Hb!~)"</f>
        <v>#REF!</v>
      </c>
      <c r="EF31" t="e">
        <f>#REF!-";Hb!~."</f>
        <v>#REF!</v>
      </c>
      <c r="EG31" t="e">
        <f>#REF!-";Hb!~/"</f>
        <v>#REF!</v>
      </c>
      <c r="EH31" t="e">
        <f>#REF!-";Hb!~0"</f>
        <v>#REF!</v>
      </c>
      <c r="EI31" t="e">
        <f>#REF!-";Hb!~1"</f>
        <v>#REF!</v>
      </c>
      <c r="EJ31" t="e">
        <f>#REF!-";Hb!~2"</f>
        <v>#REF!</v>
      </c>
      <c r="EK31" t="e">
        <f>#REF!-";Hb!~3"</f>
        <v>#REF!</v>
      </c>
      <c r="EL31" t="e">
        <f>#REF!-";Hb!~4"</f>
        <v>#REF!</v>
      </c>
      <c r="EM31" t="e">
        <f>#REF!-";Hb!~5"</f>
        <v>#REF!</v>
      </c>
      <c r="EN31" t="e">
        <f>#REF!-";Hb!~6"</f>
        <v>#REF!</v>
      </c>
      <c r="EO31" t="e">
        <f>#REF!-";Hb!~7"</f>
        <v>#REF!</v>
      </c>
      <c r="EP31" t="e">
        <f>#REF!-";Hb!~8"</f>
        <v>#REF!</v>
      </c>
      <c r="EQ31" t="e">
        <f>#REF!-";Hb!~9"</f>
        <v>#REF!</v>
      </c>
      <c r="ER31" t="e">
        <f>#REF!-";Hb!~:"</f>
        <v>#REF!</v>
      </c>
      <c r="ES31" t="e">
        <f>#REF!-";Hb!~;"</f>
        <v>#REF!</v>
      </c>
      <c r="ET31" t="e">
        <f>#REF!-";Hb!~&lt;"</f>
        <v>#REF!</v>
      </c>
      <c r="EU31" t="e">
        <f>#REF!-";Hb!~="</f>
        <v>#REF!</v>
      </c>
      <c r="EV31" t="e">
        <f>#REF!-";Hb!~&gt;"</f>
        <v>#REF!</v>
      </c>
      <c r="EW31" t="e">
        <f>#REF!-";Hb!~?"</f>
        <v>#REF!</v>
      </c>
      <c r="EX31" t="e">
        <f>#REF!-";Hb!~@"</f>
        <v>#REF!</v>
      </c>
      <c r="EY31" t="e">
        <f>#REF!-";Hb!~A"</f>
        <v>#REF!</v>
      </c>
      <c r="EZ31" t="e">
        <f>#REF!-";Hb!~B"</f>
        <v>#REF!</v>
      </c>
      <c r="FA31" t="e">
        <f>#REF!-";Hb!~C"</f>
        <v>#REF!</v>
      </c>
      <c r="FB31" t="e">
        <f>#REF!-";Hb!~D"</f>
        <v>#REF!</v>
      </c>
      <c r="FC31" t="e">
        <f>#REF!-";Hb!~E"</f>
        <v>#REF!</v>
      </c>
      <c r="FD31" t="e">
        <f>#REF!-";Hb!~F"</f>
        <v>#REF!</v>
      </c>
      <c r="FE31" t="e">
        <f>#REF!-";Hb!~G"</f>
        <v>#REF!</v>
      </c>
      <c r="FF31" t="e">
        <f>#REF!-";Hb!~H"</f>
        <v>#REF!</v>
      </c>
      <c r="FG31" t="e">
        <f>#REF!-";Hb!~I"</f>
        <v>#REF!</v>
      </c>
      <c r="FH31" t="e">
        <f>#REF!-";Hb!~J"</f>
        <v>#REF!</v>
      </c>
      <c r="FI31" t="e">
        <f>#REF!-";Hb!~K"</f>
        <v>#REF!</v>
      </c>
      <c r="FJ31" t="e">
        <f>#REF!-";Hb!~L"</f>
        <v>#REF!</v>
      </c>
      <c r="FK31" t="e">
        <f>#REF!-";Hb!~M"</f>
        <v>#REF!</v>
      </c>
      <c r="FL31" t="e">
        <f>#REF!-";Hb!~N"</f>
        <v>#REF!</v>
      </c>
      <c r="FM31" t="e">
        <f>#REF!-";Hb!~O"</f>
        <v>#REF!</v>
      </c>
      <c r="FN31" t="e">
        <f>#REF!-";Hb!~P"</f>
        <v>#REF!</v>
      </c>
      <c r="FO31" t="e">
        <f>#REF!-";Hb!~Q"</f>
        <v>#REF!</v>
      </c>
      <c r="FP31" t="e">
        <f>#REF!-";Hb!~R"</f>
        <v>#REF!</v>
      </c>
      <c r="FQ31" t="e">
        <f>#REF!-";Hb!~S"</f>
        <v>#REF!</v>
      </c>
      <c r="FR31" t="e">
        <f>#REF!-";Hb!~T"</f>
        <v>#REF!</v>
      </c>
      <c r="FS31" t="e">
        <f>#REF!-";Hb!~U"</f>
        <v>#REF!</v>
      </c>
      <c r="FT31" t="e">
        <f>#REF!-";Hb!~V"</f>
        <v>#REF!</v>
      </c>
      <c r="FU31" t="e">
        <f>#REF!-";Hb!~W"</f>
        <v>#REF!</v>
      </c>
      <c r="FV31" t="e">
        <f>#REF!-";Hb!~X"</f>
        <v>#REF!</v>
      </c>
      <c r="FW31" t="e">
        <f>#REF!-";Hb!~Y"</f>
        <v>#REF!</v>
      </c>
      <c r="FX31" t="e">
        <f>#REF!-";Hb!~Z"</f>
        <v>#REF!</v>
      </c>
      <c r="FY31" t="e">
        <f>#REF!-";Hb!~["</f>
        <v>#REF!</v>
      </c>
      <c r="FZ31" t="e">
        <f>#REF!-";Hb!~\"</f>
        <v>#REF!</v>
      </c>
      <c r="GA31" t="e">
        <f>#REF!-";Hb!~]"</f>
        <v>#REF!</v>
      </c>
      <c r="GB31" t="e">
        <f>#REF!-";Hb!~^"</f>
        <v>#REF!</v>
      </c>
      <c r="GC31" t="e">
        <f>#REF!-";Hb!~_"</f>
        <v>#REF!</v>
      </c>
      <c r="GD31" t="e">
        <f>#REF!-";Hb!~`"</f>
        <v>#REF!</v>
      </c>
      <c r="GE31" t="e">
        <f>#REF!-";Hb!~a"</f>
        <v>#REF!</v>
      </c>
      <c r="GF31" t="e">
        <f>#REF!-";Hb!~b"</f>
        <v>#REF!</v>
      </c>
      <c r="GG31" t="e">
        <f>#REF!-";Hb!~c"</f>
        <v>#REF!</v>
      </c>
      <c r="GH31" t="e">
        <f>#REF!-";Hb!~d"</f>
        <v>#REF!</v>
      </c>
      <c r="GI31" t="e">
        <f>#REF!-";Hb!~e"</f>
        <v>#REF!</v>
      </c>
      <c r="GJ31" t="e">
        <f>#REF!-";Hb!~f"</f>
        <v>#REF!</v>
      </c>
      <c r="GK31" t="e">
        <f>#REF!-";Hb!~g"</f>
        <v>#REF!</v>
      </c>
      <c r="GL31" t="e">
        <f>#REF!-";Hb!~h"</f>
        <v>#REF!</v>
      </c>
      <c r="GM31" t="e">
        <f>#REF!-";Hb!~i"</f>
        <v>#REF!</v>
      </c>
      <c r="GN31" t="e">
        <f>#REF!-";Hb!~j"</f>
        <v>#REF!</v>
      </c>
      <c r="GO31" t="e">
        <f>#REF!-";Hb!~k"</f>
        <v>#REF!</v>
      </c>
      <c r="GP31" t="e">
        <f>#REF!-";Hb!~l"</f>
        <v>#REF!</v>
      </c>
      <c r="GQ31" t="e">
        <f>#REF!-";Hb!~m"</f>
        <v>#REF!</v>
      </c>
      <c r="GR31" t="e">
        <f>#REF!-";Hb!~n"</f>
        <v>#REF!</v>
      </c>
      <c r="GS31" t="e">
        <f>#REF!-";Hb!~o"</f>
        <v>#REF!</v>
      </c>
      <c r="GT31" t="e">
        <f>#REF!-";Hb!~p"</f>
        <v>#REF!</v>
      </c>
      <c r="GU31" t="e">
        <f>#REF!-";Hb!~q"</f>
        <v>#REF!</v>
      </c>
      <c r="GV31" t="e">
        <f>#REF!-";Hb!~r"</f>
        <v>#REF!</v>
      </c>
      <c r="GW31" t="e">
        <f>#REF!-";Hb!~s"</f>
        <v>#REF!</v>
      </c>
      <c r="GX31" t="e">
        <f>#REF!-";Hb!~t"</f>
        <v>#REF!</v>
      </c>
      <c r="GY31" t="e">
        <f>#REF!-";Hb!~u"</f>
        <v>#REF!</v>
      </c>
      <c r="GZ31" t="e">
        <f>#REF!-";Hb!~v"</f>
        <v>#REF!</v>
      </c>
      <c r="HA31" t="e">
        <f>#REF!-";Hb!~w"</f>
        <v>#REF!</v>
      </c>
      <c r="HB31" t="e">
        <f>#REF!-";Hb!~x"</f>
        <v>#REF!</v>
      </c>
      <c r="HC31" t="e">
        <f>#REF!-";Hb!~y"</f>
        <v>#REF!</v>
      </c>
      <c r="HD31" t="e">
        <f>#REF!-";Hb!~z"</f>
        <v>#REF!</v>
      </c>
      <c r="HE31" t="e">
        <f>#REF!-";Hb!~{"</f>
        <v>#REF!</v>
      </c>
      <c r="HF31" t="e">
        <f>#REF!-";Hb!~|"</f>
        <v>#REF!</v>
      </c>
      <c r="HG31" t="e">
        <f>#REF!-";Hb!~}"</f>
        <v>#REF!</v>
      </c>
      <c r="HH31" t="e">
        <f>#REF!-";Hb!~~"</f>
        <v>#REF!</v>
      </c>
      <c r="HI31" t="e">
        <f>#REF!-";Hb!$##"</f>
        <v>#REF!</v>
      </c>
      <c r="HJ31" t="e">
        <f>#REF!-";Hb!$#$"</f>
        <v>#REF!</v>
      </c>
      <c r="HK31" t="e">
        <f>#REF!-";Hb!$#%"</f>
        <v>#REF!</v>
      </c>
      <c r="HL31" t="e">
        <f>#REF!-";Hb!$#&amp;"</f>
        <v>#REF!</v>
      </c>
      <c r="HM31" t="e">
        <f>#REF!-";Hb!$#'"</f>
        <v>#REF!</v>
      </c>
      <c r="HN31" t="e">
        <f>#REF!-";Hb!$#("</f>
        <v>#REF!</v>
      </c>
      <c r="HO31" t="e">
        <f>#REF!-";Hb!$#)"</f>
        <v>#REF!</v>
      </c>
      <c r="HP31" t="e">
        <f>#REF!-";Hb!$#."</f>
        <v>#REF!</v>
      </c>
      <c r="HQ31" t="e">
        <f>#REF!-";Hb!$#/"</f>
        <v>#REF!</v>
      </c>
      <c r="HR31" t="e">
        <f>#REF!-";Hb!$#0"</f>
        <v>#REF!</v>
      </c>
      <c r="HS31" t="e">
        <f>#REF!-";Hb!$#1"</f>
        <v>#REF!</v>
      </c>
      <c r="HT31" t="e">
        <f>#REF!-";Hb!$#2"</f>
        <v>#REF!</v>
      </c>
      <c r="HU31" t="e">
        <f>#REF!-";Hb!$#3"</f>
        <v>#REF!</v>
      </c>
      <c r="HV31" t="e">
        <f>#REF!-";Hb!$#4"</f>
        <v>#REF!</v>
      </c>
      <c r="HW31" t="e">
        <f>#REF!-";Hb!$#5"</f>
        <v>#REF!</v>
      </c>
      <c r="HX31" t="e">
        <f>#REF!-";Hb!$#6"</f>
        <v>#REF!</v>
      </c>
      <c r="HY31" t="e">
        <f>#REF!-";Hb!$#7"</f>
        <v>#REF!</v>
      </c>
      <c r="HZ31" t="e">
        <f>#REF!-";Hb!$#8"</f>
        <v>#REF!</v>
      </c>
      <c r="IA31" t="e">
        <f>#REF!-";Hb!$#9"</f>
        <v>#REF!</v>
      </c>
      <c r="IB31" t="e">
        <f>#REF!-";Hb!$#:"</f>
        <v>#REF!</v>
      </c>
      <c r="IC31" t="e">
        <f>#REF!-";Hb!$#;"</f>
        <v>#REF!</v>
      </c>
      <c r="ID31" t="e">
        <f>#REF!-";Hb!$#&lt;"</f>
        <v>#REF!</v>
      </c>
      <c r="IE31" t="e">
        <f>#REF!-";Hb!$#="</f>
        <v>#REF!</v>
      </c>
      <c r="IF31" t="e">
        <f>#REF!-";Hb!$#&gt;"</f>
        <v>#REF!</v>
      </c>
      <c r="IG31" t="e">
        <f>#REF!-";Hb!$#?"</f>
        <v>#REF!</v>
      </c>
      <c r="IH31" t="e">
        <f>#REF!-";Hb!$#@"</f>
        <v>#REF!</v>
      </c>
      <c r="II31" t="e">
        <f>#REF!-";Hb!$#A"</f>
        <v>#REF!</v>
      </c>
      <c r="IJ31" t="e">
        <f>#REF!-";Hb!$#B"</f>
        <v>#REF!</v>
      </c>
      <c r="IK31" t="e">
        <f>#REF!-";Hb!$#C"</f>
        <v>#REF!</v>
      </c>
      <c r="IL31" t="e">
        <f>#REF!-";Hb!$#D"</f>
        <v>#REF!</v>
      </c>
      <c r="IM31" t="e">
        <f>#REF!-";Hb!$#E"</f>
        <v>#REF!</v>
      </c>
      <c r="IN31" t="e">
        <f>#REF!-";Hb!$#F"</f>
        <v>#REF!</v>
      </c>
      <c r="IO31" t="e">
        <f>#REF!-";Hb!$#G"</f>
        <v>#REF!</v>
      </c>
      <c r="IP31" t="e">
        <f>#REF!-";Hb!$#H"</f>
        <v>#REF!</v>
      </c>
      <c r="IQ31" t="e">
        <f>#REF!-";Hb!$#I"</f>
        <v>#REF!</v>
      </c>
      <c r="IR31" t="e">
        <f>#REF!-";Hb!$#J"</f>
        <v>#REF!</v>
      </c>
      <c r="IS31" t="e">
        <f>#REF!-";Hb!$#K"</f>
        <v>#REF!</v>
      </c>
      <c r="IT31" t="e">
        <f>#REF!-";Hb!$#L"</f>
        <v>#REF!</v>
      </c>
      <c r="IU31" t="e">
        <f>#REF!-";Hb!$#M"</f>
        <v>#REF!</v>
      </c>
      <c r="IV31" t="e">
        <f>#REF!-";Hb!$#N"</f>
        <v>#REF!</v>
      </c>
    </row>
    <row r="32" spans="6:256" x14ac:dyDescent="0.25">
      <c r="F32" t="e">
        <f>#REF!-";Hb!$#O"</f>
        <v>#REF!</v>
      </c>
      <c r="G32" t="e">
        <f>#REF!-";Hb!$#P"</f>
        <v>#REF!</v>
      </c>
      <c r="H32" t="e">
        <f>#REF!-";Hb!$#Q"</f>
        <v>#REF!</v>
      </c>
      <c r="I32" t="e">
        <f>#REF!-";Hb!$#R"</f>
        <v>#REF!</v>
      </c>
      <c r="J32" t="e">
        <f>#REF!-";Hb!$#S"</f>
        <v>#REF!</v>
      </c>
      <c r="K32" t="e">
        <f>#REF!-";Hb!$#T"</f>
        <v>#REF!</v>
      </c>
      <c r="L32" t="e">
        <f>#REF!-";Hb!$#U"</f>
        <v>#REF!</v>
      </c>
      <c r="M32" t="e">
        <f>#REF!-";Hb!$#V"</f>
        <v>#REF!</v>
      </c>
      <c r="N32" t="e">
        <f>#REF!-";Hb!$#W"</f>
        <v>#REF!</v>
      </c>
      <c r="O32" t="e">
        <f>#REF!-";Hb!$#X"</f>
        <v>#REF!</v>
      </c>
      <c r="P32" t="e">
        <f>#REF!-";Hb!$#Y"</f>
        <v>#REF!</v>
      </c>
      <c r="Q32" t="e">
        <f>#REF!-";Hb!$#Z"</f>
        <v>#REF!</v>
      </c>
      <c r="R32" t="e">
        <f>#REF!-";Hb!$#["</f>
        <v>#REF!</v>
      </c>
      <c r="S32" t="e">
        <f>#REF!-";Hb!$#\"</f>
        <v>#REF!</v>
      </c>
      <c r="T32" t="e">
        <f>#REF!-";Hb!$#]"</f>
        <v>#REF!</v>
      </c>
      <c r="U32" t="e">
        <f>#REF!-";Hb!$#^"</f>
        <v>#REF!</v>
      </c>
      <c r="V32" t="e">
        <f>#REF!-";Hb!$#_"</f>
        <v>#REF!</v>
      </c>
      <c r="W32" t="e">
        <f>#REF!-";Hb!$#`"</f>
        <v>#REF!</v>
      </c>
      <c r="X32" t="e">
        <f>#REF!-";Hb!$#a"</f>
        <v>#REF!</v>
      </c>
      <c r="Y32" t="e">
        <f>#REF!-";Hb!$#b"</f>
        <v>#REF!</v>
      </c>
      <c r="Z32" t="e">
        <f>#REF!-";Hb!$#c"</f>
        <v>#REF!</v>
      </c>
      <c r="AA32" t="e">
        <f>#REF!-";Hb!$#d"</f>
        <v>#REF!</v>
      </c>
      <c r="AB32" t="e">
        <f>#REF!-";Hb!$#e"</f>
        <v>#REF!</v>
      </c>
      <c r="AC32" t="e">
        <f>#REF!-";Hb!$#f"</f>
        <v>#REF!</v>
      </c>
      <c r="AD32" t="e">
        <f>#REF!-";Hb!$#g"</f>
        <v>#REF!</v>
      </c>
      <c r="AE32" t="e">
        <f>#REF!-";Hb!$#h"</f>
        <v>#REF!</v>
      </c>
      <c r="AF32" t="e">
        <f>#REF!-";Hb!$#i"</f>
        <v>#REF!</v>
      </c>
      <c r="AG32" t="e">
        <f>#REF!-";Hb!$#j"</f>
        <v>#REF!</v>
      </c>
      <c r="AH32" t="e">
        <f>#REF!-";Hb!$#k"</f>
        <v>#REF!</v>
      </c>
      <c r="AI32" t="e">
        <f>#REF!-";Hb!$#l"</f>
        <v>#REF!</v>
      </c>
      <c r="AJ32" t="e">
        <f>#REF!-";Hb!$#m"</f>
        <v>#REF!</v>
      </c>
      <c r="AK32" t="e">
        <f>#REF!-";Hb!$#n"</f>
        <v>#REF!</v>
      </c>
      <c r="AL32" t="e">
        <f>#REF!-";Hb!$#o"</f>
        <v>#REF!</v>
      </c>
      <c r="AM32" t="e">
        <f>#REF!-";Hb!$#p"</f>
        <v>#REF!</v>
      </c>
      <c r="AN32" t="e">
        <f>#REF!-";Hb!$#q"</f>
        <v>#REF!</v>
      </c>
      <c r="AO32" t="e">
        <f>#REF!-";Hb!$#r"</f>
        <v>#REF!</v>
      </c>
      <c r="AP32" t="e">
        <f>#REF!-";Hb!$#s"</f>
        <v>#REF!</v>
      </c>
      <c r="AQ32" t="e">
        <f>#REF!-";Hb!$#t"</f>
        <v>#REF!</v>
      </c>
      <c r="AR32" t="e">
        <f>#REF!-";Hb!$#u"</f>
        <v>#REF!</v>
      </c>
      <c r="AS32" t="e">
        <f>#REF!-";Hb!$#v"</f>
        <v>#REF!</v>
      </c>
      <c r="AT32" t="e">
        <f>#REF!-";Hb!$#w"</f>
        <v>#REF!</v>
      </c>
      <c r="AU32" t="e">
        <f>#REF!-";Hb!$#x"</f>
        <v>#REF!</v>
      </c>
      <c r="AV32" t="e">
        <f>#REF!-";Hb!$#y"</f>
        <v>#REF!</v>
      </c>
      <c r="AW32" t="e">
        <f>#REF!-";Hb!$#z"</f>
        <v>#REF!</v>
      </c>
      <c r="AX32" t="e">
        <f>#REF!-";Hb!$#{"</f>
        <v>#REF!</v>
      </c>
      <c r="AY32" t="e">
        <f>#REF!-";Hb!$#|"</f>
        <v>#REF!</v>
      </c>
      <c r="AZ32" t="e">
        <f>#REF!-";Hb!$#}"</f>
        <v>#REF!</v>
      </c>
      <c r="BA32" t="e">
        <f>#REF!-";Hb!$#~"</f>
        <v>#REF!</v>
      </c>
      <c r="BB32" t="e">
        <f>#REF!-";Hb!$$#"</f>
        <v>#REF!</v>
      </c>
      <c r="BC32" t="e">
        <f>#REF!-";Hb!$$$"</f>
        <v>#REF!</v>
      </c>
      <c r="BD32" t="e">
        <f>#REF!-";Hb!$$%"</f>
        <v>#REF!</v>
      </c>
      <c r="BE32" t="e">
        <f>#REF!-";Hb!$$&amp;"</f>
        <v>#REF!</v>
      </c>
      <c r="BF32" t="e">
        <f>#REF!-";Hb!$$'"</f>
        <v>#REF!</v>
      </c>
      <c r="BG32" t="e">
        <f>#REF!-";Hb!$$("</f>
        <v>#REF!</v>
      </c>
      <c r="BH32" t="e">
        <f>#REF!-";Hb!$$)"</f>
        <v>#REF!</v>
      </c>
      <c r="BI32" t="e">
        <f>#REF!-";Hb!$$."</f>
        <v>#REF!</v>
      </c>
      <c r="BJ32" t="e">
        <f>#REF!-";Hb!$$/"</f>
        <v>#REF!</v>
      </c>
      <c r="BK32" t="e">
        <f>#REF!-";Hb!$$0"</f>
        <v>#REF!</v>
      </c>
      <c r="BL32" t="e">
        <f>#REF!-";Hb!$$1"</f>
        <v>#REF!</v>
      </c>
      <c r="BM32" t="e">
        <f>#REF!-";Hb!$$2"</f>
        <v>#REF!</v>
      </c>
      <c r="BN32" t="e">
        <f>#REF!-";Hb!$$3"</f>
        <v>#REF!</v>
      </c>
      <c r="BO32" t="e">
        <f>#REF!-";Hb!$$4"</f>
        <v>#REF!</v>
      </c>
      <c r="BP32" t="e">
        <f>#REF!-";Hb!$$5"</f>
        <v>#REF!</v>
      </c>
      <c r="BQ32" t="e">
        <f>#REF!-";Hb!$$6"</f>
        <v>#REF!</v>
      </c>
      <c r="BR32" t="e">
        <f>#REF!-";Hb!$$7"</f>
        <v>#REF!</v>
      </c>
      <c r="BS32" t="e">
        <f>#REF!-";Hb!$$8"</f>
        <v>#REF!</v>
      </c>
      <c r="BT32" t="e">
        <f>#REF!-";Hb!$$9"</f>
        <v>#REF!</v>
      </c>
      <c r="BU32" t="e">
        <f>#REF!-";Hb!$$:"</f>
        <v>#REF!</v>
      </c>
      <c r="BV32" t="e">
        <f>#REF!-";Hb!$$;"</f>
        <v>#REF!</v>
      </c>
      <c r="BW32" t="e">
        <f>#REF!-";Hb!$$&lt;"</f>
        <v>#REF!</v>
      </c>
      <c r="BX32" t="e">
        <f>#REF!-";Hb!$$="</f>
        <v>#REF!</v>
      </c>
      <c r="BY32" t="e">
        <f>#REF!-";Hb!$$&gt;"</f>
        <v>#REF!</v>
      </c>
      <c r="BZ32" t="e">
        <f>#REF!-";Hb!$$?"</f>
        <v>#REF!</v>
      </c>
      <c r="CA32" t="e">
        <f>#REF!-";Hb!$$@"</f>
        <v>#REF!</v>
      </c>
      <c r="CB32" t="e">
        <f>#REF!-";Hb!$$A"</f>
        <v>#REF!</v>
      </c>
      <c r="CC32" t="e">
        <f>#REF!-";Hb!$$B"</f>
        <v>#REF!</v>
      </c>
      <c r="CD32" t="e">
        <f>#REF!-";Hb!$$C"</f>
        <v>#REF!</v>
      </c>
      <c r="CE32" t="e">
        <f>#REF!-";Hb!$$D"</f>
        <v>#REF!</v>
      </c>
      <c r="CF32" t="e">
        <f>#REF!-";Hb!$$E"</f>
        <v>#REF!</v>
      </c>
      <c r="CG32" t="e">
        <f>#REF!-";Hb!$$F"</f>
        <v>#REF!</v>
      </c>
      <c r="CH32" t="e">
        <f>#REF!-";Hb!$$G"</f>
        <v>#REF!</v>
      </c>
      <c r="CI32" t="e">
        <f>#REF!-";Hb!$$H"</f>
        <v>#REF!</v>
      </c>
      <c r="CJ32" t="e">
        <f>#REF!-";Hb!$$I"</f>
        <v>#REF!</v>
      </c>
      <c r="CK32" t="e">
        <f>#REF!-";Hb!$$J"</f>
        <v>#REF!</v>
      </c>
      <c r="CL32" t="e">
        <f>#REF!-";Hb!$$K"</f>
        <v>#REF!</v>
      </c>
      <c r="CM32" t="e">
        <f>#REF!-";Hb!$$L"</f>
        <v>#REF!</v>
      </c>
      <c r="CN32" t="e">
        <f>#REF!-";Hb!$$M"</f>
        <v>#REF!</v>
      </c>
      <c r="CO32" t="e">
        <f>#REF!-";Hb!$$N"</f>
        <v>#REF!</v>
      </c>
      <c r="CP32" t="e">
        <f>#REF!-";Hb!$$O"</f>
        <v>#REF!</v>
      </c>
      <c r="CQ32" t="e">
        <f>#REF!-";Hb!$$P"</f>
        <v>#REF!</v>
      </c>
      <c r="CR32" t="e">
        <f>#REF!-";Hb!$$Q"</f>
        <v>#REF!</v>
      </c>
      <c r="CS32" t="e">
        <f>#REF!-";Hb!$$R"</f>
        <v>#REF!</v>
      </c>
      <c r="CT32" t="e">
        <f>#REF!-";Hb!$$S"</f>
        <v>#REF!</v>
      </c>
      <c r="CU32" t="e">
        <f>#REF!-";Hb!$$T"</f>
        <v>#REF!</v>
      </c>
      <c r="CV32" t="e">
        <f>#REF!-";Hb!$$U"</f>
        <v>#REF!</v>
      </c>
      <c r="CW32" t="e">
        <f>#REF!-";Hb!$$V"</f>
        <v>#REF!</v>
      </c>
      <c r="CX32" t="e">
        <f>#REF!-";Hb!$$W"</f>
        <v>#REF!</v>
      </c>
      <c r="CY32" t="e">
        <f>#REF!-";Hb!$$X"</f>
        <v>#REF!</v>
      </c>
      <c r="CZ32" t="e">
        <f>#REF!-";Hb!$$Y"</f>
        <v>#REF!</v>
      </c>
      <c r="DA32" t="e">
        <f>#REF!-";Hb!$$Z"</f>
        <v>#REF!</v>
      </c>
      <c r="DB32" t="e">
        <f>#REF!-";Hb!$$["</f>
        <v>#REF!</v>
      </c>
      <c r="DC32" t="e">
        <f>#REF!-";Hb!$$\"</f>
        <v>#REF!</v>
      </c>
      <c r="DD32" t="e">
        <f>#REF!-";Hb!$$]"</f>
        <v>#REF!</v>
      </c>
      <c r="DE32" t="e">
        <f>#REF!+";Hb!$$^"</f>
        <v>#REF!</v>
      </c>
      <c r="DF32" t="e">
        <f>#REF!+";Hb!$$_"</f>
        <v>#REF!</v>
      </c>
      <c r="DG32" t="e">
        <f>#REF!+";Hb!$$`"</f>
        <v>#REF!</v>
      </c>
      <c r="DH32" t="e">
        <f>#REF!+";Hb!$$a"</f>
        <v>#REF!</v>
      </c>
      <c r="DI32" t="e">
        <f>#REF!+";Hb!$$b"</f>
        <v>#REF!</v>
      </c>
      <c r="DJ32" t="e">
        <f>#REF!+";Hb!$$c"</f>
        <v>#REF!</v>
      </c>
      <c r="DK32" t="e">
        <f>#REF!+";Hb!$$d"</f>
        <v>#REF!</v>
      </c>
      <c r="DL32" t="e">
        <f>#REF!+";Hb!$$e"</f>
        <v>#REF!</v>
      </c>
      <c r="DM32" t="e">
        <f>#REF!+";Hb!$$f"</f>
        <v>#REF!</v>
      </c>
      <c r="DN32" t="e">
        <f>#REF!+";Hb!$$g"</f>
        <v>#REF!</v>
      </c>
      <c r="DO32" t="e">
        <f>#REF!+";Hb!$$h"</f>
        <v>#REF!</v>
      </c>
      <c r="DP32" t="e">
        <f>#REF!+";Hb!$$i"</f>
        <v>#REF!</v>
      </c>
      <c r="DQ32" t="e">
        <f>#REF!+";Hb!$$j"</f>
        <v>#REF!</v>
      </c>
      <c r="DR32" t="e">
        <f>#REF!+";Hb!$$k"</f>
        <v>#REF!</v>
      </c>
      <c r="DS32" t="e">
        <f>#REF!+";Hb!$$l"</f>
        <v>#REF!</v>
      </c>
      <c r="DT32" t="e">
        <f>#REF!+";Hb!$$m"</f>
        <v>#REF!</v>
      </c>
      <c r="DU32" t="e">
        <f>#REF!+";Hb!$$n"</f>
        <v>#REF!</v>
      </c>
      <c r="DV32" t="e">
        <f>#REF!+";Hb!$$o"</f>
        <v>#REF!</v>
      </c>
      <c r="DW32" t="e">
        <f>#REF!+";Hb!$$p"</f>
        <v>#REF!</v>
      </c>
      <c r="DX32" t="e">
        <f>#REF!+";Hb!$$q"</f>
        <v>#REF!</v>
      </c>
      <c r="DY32" t="e">
        <f>#REF!+";Hb!$$r"</f>
        <v>#REF!</v>
      </c>
      <c r="DZ32" t="e">
        <f>#REF!+";Hb!$$s"</f>
        <v>#REF!</v>
      </c>
      <c r="EA32" t="e">
        <f>#REF!+";Hb!$$t"</f>
        <v>#REF!</v>
      </c>
      <c r="EB32" t="e">
        <f>#REF!+";Hb!$$u"</f>
        <v>#REF!</v>
      </c>
      <c r="EC32" t="e">
        <f>#REF!+";Hb!$$v"</f>
        <v>#REF!</v>
      </c>
      <c r="ED32" t="e">
        <f>#REF!+";Hb!$$w"</f>
        <v>#REF!</v>
      </c>
      <c r="EE32" t="e">
        <f>#REF!+";Hb!$$x"</f>
        <v>#REF!</v>
      </c>
      <c r="EF32" t="e">
        <f>#REF!+";Hb!$$y"</f>
        <v>#REF!</v>
      </c>
      <c r="EG32" t="e">
        <f>#REF!+";Hb!$$z"</f>
        <v>#REF!</v>
      </c>
      <c r="EH32" t="e">
        <f>#REF!+";Hb!$${"</f>
        <v>#REF!</v>
      </c>
      <c r="EI32" t="e">
        <f>#REF!+";Hb!$$|"</f>
        <v>#REF!</v>
      </c>
      <c r="EJ32" t="e">
        <f>#REF!+";Hb!$$}"</f>
        <v>#REF!</v>
      </c>
      <c r="EK32" t="e">
        <f>#REF!+";Hb!$$~"</f>
        <v>#REF!</v>
      </c>
      <c r="EL32" t="e">
        <f>#REF!+";Hb!$%#"</f>
        <v>#REF!</v>
      </c>
      <c r="EM32" t="e">
        <f>#REF!+";Hb!$%$"</f>
        <v>#REF!</v>
      </c>
      <c r="EN32" t="e">
        <f>#REF!+";Hb!$%%"</f>
        <v>#REF!</v>
      </c>
      <c r="EO32" t="e">
        <f>#REF!+";Hb!$%&amp;"</f>
        <v>#REF!</v>
      </c>
      <c r="EP32" t="e">
        <f>#REF!+";Hb!$%'"</f>
        <v>#REF!</v>
      </c>
      <c r="EQ32" t="e">
        <f>#REF!+";Hb!$%("</f>
        <v>#REF!</v>
      </c>
      <c r="ER32" t="e">
        <f>#REF!+";Hb!$%)"</f>
        <v>#REF!</v>
      </c>
      <c r="ES32" t="e">
        <f>#REF!+";Hb!$%."</f>
        <v>#REF!</v>
      </c>
      <c r="ET32" t="e">
        <f>#REF!+";Hb!$%/"</f>
        <v>#REF!</v>
      </c>
      <c r="EU32" t="e">
        <f>#REF!+";Hb!$%0"</f>
        <v>#REF!</v>
      </c>
      <c r="EV32" t="e">
        <f>#REF!+";Hb!$%1"</f>
        <v>#REF!</v>
      </c>
      <c r="EW32" t="e">
        <f>#REF!+";Hb!$%2"</f>
        <v>#REF!</v>
      </c>
      <c r="EX32" t="e">
        <f>#REF!+";Hb!$%3"</f>
        <v>#REF!</v>
      </c>
      <c r="EY32" t="e">
        <f>#REF!+";Hb!$%4"</f>
        <v>#REF!</v>
      </c>
      <c r="EZ32" t="e">
        <f>#REF!+";Hb!$%5"</f>
        <v>#REF!</v>
      </c>
      <c r="FA32" t="e">
        <f>#REF!+";Hb!$%6"</f>
        <v>#REF!</v>
      </c>
      <c r="FB32" t="e">
        <f>#REF!+";Hb!$%7"</f>
        <v>#REF!</v>
      </c>
      <c r="FC32" t="e">
        <f>#REF!+";Hb!$%8"</f>
        <v>#REF!</v>
      </c>
      <c r="FD32" t="e">
        <f>#REF!+";Hb!$%9"</f>
        <v>#REF!</v>
      </c>
      <c r="FE32" t="e">
        <f>#REF!+";Hb!$%:"</f>
        <v>#REF!</v>
      </c>
      <c r="FF32" t="e">
        <f>#REF!+";Hb!$%;"</f>
        <v>#REF!</v>
      </c>
      <c r="FG32" t="e">
        <f>#REF!+";Hb!$%&lt;"</f>
        <v>#REF!</v>
      </c>
      <c r="FH32" t="e">
        <f>#REF!+";Hb!$%="</f>
        <v>#REF!</v>
      </c>
      <c r="FI32" t="e">
        <f>#REF!+";Hb!$%&gt;"</f>
        <v>#REF!</v>
      </c>
      <c r="FJ32" t="e">
        <f>#REF!+";Hb!$%?"</f>
        <v>#REF!</v>
      </c>
      <c r="FK32" t="e">
        <f>#REF!+";Hb!$%@"</f>
        <v>#REF!</v>
      </c>
      <c r="FL32" t="e">
        <f>#REF!+";Hb!$%A"</f>
        <v>#REF!</v>
      </c>
      <c r="FM32" t="e">
        <f>#REF!+";Hb!$%B"</f>
        <v>#REF!</v>
      </c>
      <c r="FN32" t="e">
        <f>#REF!+";Hb!$%C"</f>
        <v>#REF!</v>
      </c>
      <c r="FO32" t="e">
        <f>#REF!+";Hb!$%D"</f>
        <v>#REF!</v>
      </c>
      <c r="FP32" t="e">
        <f>#REF!+";Hb!$%E"</f>
        <v>#REF!</v>
      </c>
      <c r="FQ32" t="e">
        <f>#REF!+";Hb!$%F"</f>
        <v>#REF!</v>
      </c>
      <c r="FR32" t="e">
        <f>#REF!+";Hb!$%G"</f>
        <v>#REF!</v>
      </c>
      <c r="FS32" t="e">
        <f>#REF!+";Hb!$%H"</f>
        <v>#REF!</v>
      </c>
      <c r="FT32" t="e">
        <f>#REF!+";Hb!$%I"</f>
        <v>#REF!</v>
      </c>
      <c r="FU32" t="e">
        <f>#REF!+";Hb!$%J"</f>
        <v>#REF!</v>
      </c>
      <c r="FV32" t="e">
        <f>#REF!+";Hb!$%K"</f>
        <v>#REF!</v>
      </c>
      <c r="FW32" t="e">
        <f>#REF!+";Hb!$%L"</f>
        <v>#REF!</v>
      </c>
      <c r="FX32" t="e">
        <f>#REF!+";Hb!$%M"</f>
        <v>#REF!</v>
      </c>
      <c r="FY32" t="e">
        <f>#REF!+";Hb!$%N"</f>
        <v>#REF!</v>
      </c>
      <c r="FZ32" t="e">
        <f>#REF!+";Hb!$%O"</f>
        <v>#REF!</v>
      </c>
      <c r="GA32" t="e">
        <f>#REF!+";Hb!$%P"</f>
        <v>#REF!</v>
      </c>
      <c r="GB32" t="e">
        <f>#REF!+";Hb!$%Q"</f>
        <v>#REF!</v>
      </c>
      <c r="GC32" t="e">
        <f>#REF!+";Hb!$%R"</f>
        <v>#REF!</v>
      </c>
      <c r="GD32" t="e">
        <f>#REF!+";Hb!$%S"</f>
        <v>#REF!</v>
      </c>
      <c r="GE32" t="e">
        <f>#REF!+";Hb!$%T"</f>
        <v>#REF!</v>
      </c>
      <c r="GF32" t="e">
        <f>#REF!+";Hb!$%U"</f>
        <v>#REF!</v>
      </c>
      <c r="GG32" t="e">
        <f>#REF!+";Hb!$%V"</f>
        <v>#REF!</v>
      </c>
      <c r="GH32" t="e">
        <f>#REF!+";Hb!$%W"</f>
        <v>#REF!</v>
      </c>
      <c r="GI32" t="e">
        <f>#REF!+";Hb!$%X"</f>
        <v>#REF!</v>
      </c>
      <c r="GJ32" t="e">
        <f>#REF!+";Hb!$%Y"</f>
        <v>#REF!</v>
      </c>
      <c r="GK32" t="e">
        <f>#REF!+";Hb!$%Z"</f>
        <v>#REF!</v>
      </c>
      <c r="GL32" t="e">
        <f>#REF!+";Hb!$%["</f>
        <v>#REF!</v>
      </c>
      <c r="GM32" t="e">
        <f>#REF!+";Hb!$%\"</f>
        <v>#REF!</v>
      </c>
      <c r="GN32" t="e">
        <f>#REF!+";Hb!$%]"</f>
        <v>#REF!</v>
      </c>
      <c r="GO32" t="e">
        <f>#REF!+";Hb!$%^"</f>
        <v>#REF!</v>
      </c>
      <c r="GP32" t="e">
        <f>#REF!+";Hb!$%_"</f>
        <v>#REF!</v>
      </c>
      <c r="GQ32" t="e">
        <f>#REF!+";Hb!$%`"</f>
        <v>#REF!</v>
      </c>
      <c r="GR32" t="e">
        <f>#REF!+";Hb!$%a"</f>
        <v>#REF!</v>
      </c>
      <c r="GS32" t="e">
        <f>#REF!+";Hb!$%b"</f>
        <v>#REF!</v>
      </c>
      <c r="GT32" t="e">
        <f>#REF!+";Hb!$%c"</f>
        <v>#REF!</v>
      </c>
      <c r="GU32" t="e">
        <f>#REF!+";Hb!$%d"</f>
        <v>#REF!</v>
      </c>
      <c r="GV32" t="e">
        <f>#REF!+";Hb!$%e"</f>
        <v>#REF!</v>
      </c>
      <c r="GW32" t="e">
        <f>#REF!+";Hb!$%f"</f>
        <v>#REF!</v>
      </c>
      <c r="GX32" t="e">
        <f>#REF!+";Hb!$%g"</f>
        <v>#REF!</v>
      </c>
      <c r="GY32" t="e">
        <f>#REF!+";Hb!$%h"</f>
        <v>#REF!</v>
      </c>
      <c r="GZ32" t="e">
        <f>#REF!+";Hb!$%i"</f>
        <v>#REF!</v>
      </c>
      <c r="HA32" t="e">
        <f>#REF!+";Hb!$%j"</f>
        <v>#REF!</v>
      </c>
      <c r="HB32" t="e">
        <f>#REF!+";Hb!$%k"</f>
        <v>#REF!</v>
      </c>
      <c r="HC32" t="e">
        <f>#REF!+";Hb!$%l"</f>
        <v>#REF!</v>
      </c>
      <c r="HD32" t="e">
        <f>#REF!+";Hb!$%m"</f>
        <v>#REF!</v>
      </c>
      <c r="HE32" t="e">
        <f>#REF!+";Hb!$%n"</f>
        <v>#REF!</v>
      </c>
      <c r="HF32" t="e">
        <f>#REF!+";Hb!$%o"</f>
        <v>#REF!</v>
      </c>
      <c r="HG32" t="e">
        <f>#REF!+";Hb!$%p"</f>
        <v>#REF!</v>
      </c>
      <c r="HH32" t="e">
        <f>#REF!+";Hb!$%q"</f>
        <v>#REF!</v>
      </c>
      <c r="HI32" t="e">
        <f>#REF!+";Hb!$%r"</f>
        <v>#REF!</v>
      </c>
      <c r="HJ32" t="e">
        <f>#REF!+";Hb!$%s"</f>
        <v>#REF!</v>
      </c>
      <c r="HK32" t="e">
        <f>#REF!+";Hb!$%t"</f>
        <v>#REF!</v>
      </c>
      <c r="HL32" t="e">
        <f>#REF!+";Hb!$%u"</f>
        <v>#REF!</v>
      </c>
      <c r="HM32" t="e">
        <f>#REF!+";Hb!$%v"</f>
        <v>#REF!</v>
      </c>
      <c r="HN32" t="e">
        <f>#REF!+";Hb!$%w"</f>
        <v>#REF!</v>
      </c>
      <c r="HO32" t="e">
        <f>#REF!+";Hb!$%x"</f>
        <v>#REF!</v>
      </c>
      <c r="HP32" t="e">
        <f>#REF!+";Hb!$%y"</f>
        <v>#REF!</v>
      </c>
      <c r="HQ32" t="e">
        <f>#REF!+";Hb!$%z"</f>
        <v>#REF!</v>
      </c>
      <c r="HR32" t="e">
        <f>#REF!+";Hb!$%{"</f>
        <v>#REF!</v>
      </c>
      <c r="HS32" t="e">
        <f>#REF!+";Hb!$%|"</f>
        <v>#REF!</v>
      </c>
      <c r="HT32" t="e">
        <f>#REF!+";Hb!$%}"</f>
        <v>#REF!</v>
      </c>
      <c r="HU32" t="e">
        <f>#REF!+";Hb!$%~"</f>
        <v>#REF!</v>
      </c>
      <c r="HV32" t="e">
        <f>#REF!+";Hb!$&amp;#"</f>
        <v>#REF!</v>
      </c>
      <c r="HW32" t="e">
        <f>#REF!+";Hb!$&amp;$"</f>
        <v>#REF!</v>
      </c>
      <c r="HX32" t="e">
        <f>#REF!+";Hb!$&amp;%"</f>
        <v>#REF!</v>
      </c>
      <c r="HY32" t="e">
        <f>#REF!+";Hb!$&amp;&amp;"</f>
        <v>#REF!</v>
      </c>
      <c r="HZ32" t="e">
        <f>#REF!+";Hb!$&amp;'"</f>
        <v>#REF!</v>
      </c>
      <c r="IA32" t="e">
        <f>#REF!+";Hb!$&amp;("</f>
        <v>#REF!</v>
      </c>
      <c r="IB32" t="e">
        <f>#REF!+";Hb!$&amp;)"</f>
        <v>#REF!</v>
      </c>
      <c r="IC32" t="e">
        <f>#REF!+";Hb!$&amp;."</f>
        <v>#REF!</v>
      </c>
      <c r="ID32" t="e">
        <f>#REF!+";Hb!$&amp;/"</f>
        <v>#REF!</v>
      </c>
      <c r="IE32" t="e">
        <f>#REF!+";Hb!$&amp;0"</f>
        <v>#REF!</v>
      </c>
      <c r="IF32" t="e">
        <f>#REF!+";Hb!$&amp;1"</f>
        <v>#REF!</v>
      </c>
      <c r="IG32" t="e">
        <f>#REF!+";Hb!$&amp;2"</f>
        <v>#REF!</v>
      </c>
      <c r="IH32" t="e">
        <f>#REF!+";Hb!$&amp;3"</f>
        <v>#REF!</v>
      </c>
      <c r="II32" t="e">
        <f>#REF!+";Hb!$&amp;4"</f>
        <v>#REF!</v>
      </c>
      <c r="IJ32" t="e">
        <f>#REF!+";Hb!$&amp;5"</f>
        <v>#REF!</v>
      </c>
      <c r="IK32" t="e">
        <f>#REF!+";Hb!$&amp;6"</f>
        <v>#REF!</v>
      </c>
      <c r="IL32" t="e">
        <f>#REF!+";Hb!$&amp;7"</f>
        <v>#REF!</v>
      </c>
      <c r="IM32" t="e">
        <f>#REF!+";Hb!$&amp;8"</f>
        <v>#REF!</v>
      </c>
      <c r="IN32" t="e">
        <f>#REF!+";Hb!$&amp;9"</f>
        <v>#REF!</v>
      </c>
      <c r="IO32" t="e">
        <f>#REF!+";Hb!$&amp;:"</f>
        <v>#REF!</v>
      </c>
      <c r="IP32" t="e">
        <f>#REF!+";Hb!$&amp;;"</f>
        <v>#REF!</v>
      </c>
      <c r="IQ32" t="e">
        <f>#REF!+";Hb!$&amp;&lt;"</f>
        <v>#REF!</v>
      </c>
      <c r="IR32" t="e">
        <f>#REF!+";Hb!$&amp;="</f>
        <v>#REF!</v>
      </c>
      <c r="IS32" t="e">
        <f>#REF!+";Hb!$&amp;&gt;"</f>
        <v>#REF!</v>
      </c>
      <c r="IT32" t="e">
        <f>#REF!+";Hb!$&amp;?"</f>
        <v>#REF!</v>
      </c>
      <c r="IU32" t="e">
        <f>#REF!+";Hb!$&amp;@"</f>
        <v>#REF!</v>
      </c>
      <c r="IV32" t="e">
        <f>#REF!+";Hb!$&amp;A"</f>
        <v>#REF!</v>
      </c>
    </row>
    <row r="33" spans="6:256" x14ac:dyDescent="0.25">
      <c r="F33" t="e">
        <f>#REF!+";Hb!$&amp;B"</f>
        <v>#REF!</v>
      </c>
      <c r="G33" t="e">
        <f>#REF!+";Hb!$&amp;C"</f>
        <v>#REF!</v>
      </c>
      <c r="H33" t="e">
        <f>#REF!+";Hb!$&amp;D"</f>
        <v>#REF!</v>
      </c>
      <c r="I33" t="e">
        <f>#REF!+";Hb!$&amp;E"</f>
        <v>#REF!</v>
      </c>
      <c r="J33" t="e">
        <f>#REF!+";Hb!$&amp;F"</f>
        <v>#REF!</v>
      </c>
      <c r="K33" t="e">
        <f>#REF!+";Hb!$&amp;G"</f>
        <v>#REF!</v>
      </c>
      <c r="L33" t="e">
        <f>#REF!+";Hb!$&amp;H"</f>
        <v>#REF!</v>
      </c>
      <c r="M33" t="e">
        <f>#REF!+";Hb!$&amp;I"</f>
        <v>#REF!</v>
      </c>
      <c r="N33" t="e">
        <f>#REF!+";Hb!$&amp;J"</f>
        <v>#REF!</v>
      </c>
      <c r="O33" t="e">
        <f>#REF!+";Hb!$&amp;K"</f>
        <v>#REF!</v>
      </c>
      <c r="P33" t="e">
        <f>#REF!+";Hb!$&amp;L"</f>
        <v>#REF!</v>
      </c>
      <c r="Q33" t="e">
        <f>#REF!+";Hb!$&amp;M"</f>
        <v>#REF!</v>
      </c>
      <c r="R33" t="e">
        <f>#REF!+";Hb!$&amp;N"</f>
        <v>#REF!</v>
      </c>
      <c r="S33" t="e">
        <f>#REF!+";Hb!$&amp;O"</f>
        <v>#REF!</v>
      </c>
      <c r="T33" t="e">
        <f>#REF!+";Hb!$&amp;P"</f>
        <v>#REF!</v>
      </c>
      <c r="U33" t="e">
        <f>#REF!+";Hb!$&amp;Q"</f>
        <v>#REF!</v>
      </c>
      <c r="V33" t="e">
        <f>#REF!+";Hb!$&amp;R"</f>
        <v>#REF!</v>
      </c>
      <c r="W33" t="e">
        <f>#REF!+";Hb!$&amp;S"</f>
        <v>#REF!</v>
      </c>
      <c r="X33" t="e">
        <f>#REF!+";Hb!$&amp;T"</f>
        <v>#REF!</v>
      </c>
      <c r="Y33" t="e">
        <f>#REF!+";Hb!$&amp;U"</f>
        <v>#REF!</v>
      </c>
      <c r="Z33" t="e">
        <f>#REF!+";Hb!$&amp;V"</f>
        <v>#REF!</v>
      </c>
      <c r="AA33" t="e">
        <f>#REF!+";Hb!$&amp;W"</f>
        <v>#REF!</v>
      </c>
      <c r="AB33" t="e">
        <f>#REF!+";Hb!$&amp;X"</f>
        <v>#REF!</v>
      </c>
      <c r="AC33" t="e">
        <f>#REF!+";Hb!$&amp;Y"</f>
        <v>#REF!</v>
      </c>
      <c r="AD33" t="e">
        <f>#REF!+";Hb!$&amp;Z"</f>
        <v>#REF!</v>
      </c>
      <c r="AE33" t="e">
        <f>#REF!+";Hb!$&amp;["</f>
        <v>#REF!</v>
      </c>
      <c r="AF33" t="e">
        <f>#REF!+";Hb!$&amp;\"</f>
        <v>#REF!</v>
      </c>
      <c r="AG33" t="e">
        <f>#REF!+";Hb!$&amp;]"</f>
        <v>#REF!</v>
      </c>
      <c r="AH33" t="e">
        <f>#REF!+";Hb!$&amp;^"</f>
        <v>#REF!</v>
      </c>
      <c r="AI33" t="e">
        <f>#REF!+";Hb!$&amp;_"</f>
        <v>#REF!</v>
      </c>
      <c r="AJ33" t="e">
        <f>#REF!+";Hb!$&amp;`"</f>
        <v>#REF!</v>
      </c>
      <c r="AK33" t="e">
        <f>#REF!+";Hb!$&amp;a"</f>
        <v>#REF!</v>
      </c>
      <c r="AL33" t="e">
        <f>#REF!+";Hb!$&amp;b"</f>
        <v>#REF!</v>
      </c>
      <c r="AM33" t="e">
        <f>#REF!+";Hb!$&amp;c"</f>
        <v>#REF!</v>
      </c>
      <c r="AN33" t="e">
        <f>#REF!+";Hb!$&amp;d"</f>
        <v>#REF!</v>
      </c>
      <c r="AO33" t="e">
        <f>#REF!+";Hb!$&amp;e"</f>
        <v>#REF!</v>
      </c>
      <c r="AP33" t="e">
        <f>#REF!+";Hb!$&amp;f"</f>
        <v>#REF!</v>
      </c>
      <c r="AQ33" t="e">
        <f>#REF!+";Hb!$&amp;g"</f>
        <v>#REF!</v>
      </c>
      <c r="AR33" t="e">
        <f>#REF!+";Hb!$&amp;h"</f>
        <v>#REF!</v>
      </c>
      <c r="AS33" t="e">
        <f>#REF!+";Hb!$&amp;i"</f>
        <v>#REF!</v>
      </c>
      <c r="AT33" t="e">
        <f>#REF!+";Hb!$&amp;j"</f>
        <v>#REF!</v>
      </c>
      <c r="AU33" t="e">
        <f>#REF!+";Hb!$&amp;k"</f>
        <v>#REF!</v>
      </c>
      <c r="AV33" t="e">
        <f>#REF!+";Hb!$&amp;l"</f>
        <v>#REF!</v>
      </c>
      <c r="AW33" t="e">
        <f>#REF!+";Hb!$&amp;m"</f>
        <v>#REF!</v>
      </c>
      <c r="AX33" t="e">
        <f>#REF!+";Hb!$&amp;n"</f>
        <v>#REF!</v>
      </c>
      <c r="AY33" t="e">
        <f>#REF!+";Hb!$&amp;o"</f>
        <v>#REF!</v>
      </c>
      <c r="AZ33" t="e">
        <f>#REF!+";Hb!$&amp;p"</f>
        <v>#REF!</v>
      </c>
      <c r="BA33" t="e">
        <f>#REF!+";Hb!$&amp;q"</f>
        <v>#REF!</v>
      </c>
      <c r="BB33" t="e">
        <f>#REF!+";Hb!$&amp;r"</f>
        <v>#REF!</v>
      </c>
      <c r="BC33" t="e">
        <f>#REF!+";Hb!$&amp;s"</f>
        <v>#REF!</v>
      </c>
      <c r="BD33" t="e">
        <f>#REF!+";Hb!$&amp;t"</f>
        <v>#REF!</v>
      </c>
      <c r="BE33" t="e">
        <f>#REF!+";Hb!$&amp;u"</f>
        <v>#REF!</v>
      </c>
      <c r="BF33" t="e">
        <f>#REF!+";Hb!$&amp;v"</f>
        <v>#REF!</v>
      </c>
      <c r="BG33" t="e">
        <f>#REF!+";Hb!$&amp;w"</f>
        <v>#REF!</v>
      </c>
      <c r="BH33" t="e">
        <f>#REF!+";Hb!$&amp;x"</f>
        <v>#REF!</v>
      </c>
      <c r="BI33" t="e">
        <f>#REF!+";Hb!$&amp;y"</f>
        <v>#REF!</v>
      </c>
      <c r="BJ33" t="e">
        <f>#REF!+";Hb!$&amp;z"</f>
        <v>#REF!</v>
      </c>
      <c r="BK33" t="e">
        <f>#REF!+";Hb!$&amp;{"</f>
        <v>#REF!</v>
      </c>
      <c r="BL33" t="e">
        <f>#REF!+";Hb!$&amp;|"</f>
        <v>#REF!</v>
      </c>
      <c r="BM33" t="e">
        <f>#REF!+";Hb!$&amp;}"</f>
        <v>#REF!</v>
      </c>
      <c r="BN33" t="e">
        <f>#REF!+";Hb!$&amp;~"</f>
        <v>#REF!</v>
      </c>
      <c r="BO33" t="e">
        <f>#REF!+";Hb!$'#"</f>
        <v>#REF!</v>
      </c>
      <c r="BP33" t="e">
        <f>#REF!+";Hb!$'$"</f>
        <v>#REF!</v>
      </c>
      <c r="BQ33" t="e">
        <f>#REF!+";Hb!$'%"</f>
        <v>#REF!</v>
      </c>
      <c r="BR33" t="e">
        <f>#REF!+";Hb!$'&amp;"</f>
        <v>#REF!</v>
      </c>
      <c r="BS33" t="e">
        <f>#REF!+";Hb!$''"</f>
        <v>#REF!</v>
      </c>
      <c r="BT33" t="e">
        <f>#REF!+";Hb!$'("</f>
        <v>#REF!</v>
      </c>
      <c r="BU33" t="e">
        <f>#REF!+";Hb!$')"</f>
        <v>#REF!</v>
      </c>
      <c r="BV33" t="e">
        <f>#REF!+";Hb!$'."</f>
        <v>#REF!</v>
      </c>
      <c r="BW33" t="e">
        <f>#REF!+";Hb!$'/"</f>
        <v>#REF!</v>
      </c>
      <c r="BX33" t="e">
        <f>#REF!+";Hb!$'0"</f>
        <v>#REF!</v>
      </c>
      <c r="BY33" t="e">
        <f>#REF!+";Hb!$'1"</f>
        <v>#REF!</v>
      </c>
      <c r="BZ33" t="e">
        <f>#REF!+";Hb!$'2"</f>
        <v>#REF!</v>
      </c>
      <c r="CA33" t="e">
        <f>#REF!+";Hb!$'3"</f>
        <v>#REF!</v>
      </c>
      <c r="CB33" t="e">
        <f>#REF!+";Hb!$'4"</f>
        <v>#REF!</v>
      </c>
      <c r="CC33" t="e">
        <f>#REF!+";Hb!$'5"</f>
        <v>#REF!</v>
      </c>
      <c r="CD33" t="e">
        <f>#REF!+";Hb!$'6"</f>
        <v>#REF!</v>
      </c>
      <c r="CE33" t="e">
        <f>#REF!+";Hb!$'7"</f>
        <v>#REF!</v>
      </c>
      <c r="CF33" t="e">
        <f>#REF!+";Hb!$'8"</f>
        <v>#REF!</v>
      </c>
      <c r="CG33" t="e">
        <f>#REF!+";Hb!$'9"</f>
        <v>#REF!</v>
      </c>
      <c r="CH33" t="e">
        <f>#REF!+";Hb!$':"</f>
        <v>#REF!</v>
      </c>
      <c r="CI33" t="e">
        <f>#REF!+";Hb!$';"</f>
        <v>#REF!</v>
      </c>
      <c r="CJ33" t="e">
        <f>#REF!+";Hb!$'&lt;"</f>
        <v>#REF!</v>
      </c>
      <c r="CK33" t="e">
        <f>#REF!+";Hb!$'="</f>
        <v>#REF!</v>
      </c>
      <c r="CL33" t="e">
        <f>#REF!+";Hb!$'&gt;"</f>
        <v>#REF!</v>
      </c>
      <c r="CM33" t="e">
        <f>#REF!+";Hb!$'?"</f>
        <v>#REF!</v>
      </c>
      <c r="CN33" t="e">
        <f>#REF!+";Hb!$'@"</f>
        <v>#REF!</v>
      </c>
      <c r="CO33" t="e">
        <f>#REF!+";Hb!$'A"</f>
        <v>#REF!</v>
      </c>
      <c r="CP33" t="e">
        <f>#REF!+";Hb!$'B"</f>
        <v>#REF!</v>
      </c>
      <c r="CQ33" t="e">
        <f>#REF!+";Hb!$'C"</f>
        <v>#REF!</v>
      </c>
      <c r="CR33" t="e">
        <f>#REF!+";Hb!$'D"</f>
        <v>#REF!</v>
      </c>
      <c r="CS33" t="e">
        <f>#REF!+";Hb!$'E"</f>
        <v>#REF!</v>
      </c>
      <c r="CT33" t="e">
        <f>#REF!+";Hb!$'F"</f>
        <v>#REF!</v>
      </c>
      <c r="CU33" t="e">
        <f>#REF!+";Hb!$'G"</f>
        <v>#REF!</v>
      </c>
      <c r="CV33" t="e">
        <f>#REF!+";Hb!$'H"</f>
        <v>#REF!</v>
      </c>
      <c r="CW33" t="e">
        <f>#REF!+";Hb!$'I"</f>
        <v>#REF!</v>
      </c>
      <c r="CX33" t="e">
        <f>#REF!+";Hb!$'J"</f>
        <v>#REF!</v>
      </c>
      <c r="CY33" t="e">
        <f>#REF!+";Hb!$'K"</f>
        <v>#REF!</v>
      </c>
      <c r="CZ33" t="e">
        <f>#REF!+";Hb!$'L"</f>
        <v>#REF!</v>
      </c>
      <c r="DA33" t="e">
        <f>#REF!+";Hb!$'M"</f>
        <v>#REF!</v>
      </c>
      <c r="DB33" t="e">
        <f>#REF!+";Hb!$'N"</f>
        <v>#REF!</v>
      </c>
      <c r="DC33" t="e">
        <f>#REF!+";Hb!$'O"</f>
        <v>#REF!</v>
      </c>
      <c r="DD33" t="e">
        <f>#REF!+";Hb!$'P"</f>
        <v>#REF!</v>
      </c>
      <c r="DE33" t="e">
        <f>#REF!+";Hb!$'Q"</f>
        <v>#REF!</v>
      </c>
      <c r="DF33" t="e">
        <f>#REF!+";Hb!$'R"</f>
        <v>#REF!</v>
      </c>
      <c r="DG33" t="e">
        <f>#REF!+";Hb!$'S"</f>
        <v>#REF!</v>
      </c>
      <c r="DH33" t="e">
        <f>#REF!+";Hb!$'T"</f>
        <v>#REF!</v>
      </c>
      <c r="DI33" t="e">
        <f>#REF!+";Hb!$'U"</f>
        <v>#REF!</v>
      </c>
      <c r="DJ33" t="e">
        <f>#REF!+";Hb!$'V"</f>
        <v>#REF!</v>
      </c>
      <c r="DK33" t="e">
        <f>#REF!+";Hb!$'W"</f>
        <v>#REF!</v>
      </c>
      <c r="DL33" t="e">
        <f>#REF!+";Hb!$'X"</f>
        <v>#REF!</v>
      </c>
      <c r="DM33" t="e">
        <f>#REF!+";Hb!$'Y"</f>
        <v>#REF!</v>
      </c>
      <c r="DN33" t="e">
        <f>#REF!+";Hb!$'Z"</f>
        <v>#REF!</v>
      </c>
      <c r="DO33" t="e">
        <f>#REF!+";Hb!$'["</f>
        <v>#REF!</v>
      </c>
      <c r="DP33" t="e">
        <f>#REF!+";Hb!$'\"</f>
        <v>#REF!</v>
      </c>
      <c r="DQ33" t="e">
        <f>#REF!+";Hb!$']"</f>
        <v>#REF!</v>
      </c>
      <c r="DR33" t="e">
        <f>#REF!+";Hb!$'^"</f>
        <v>#REF!</v>
      </c>
      <c r="DS33" t="e">
        <f>#REF!+";Hb!$'_"</f>
        <v>#REF!</v>
      </c>
      <c r="DT33" t="e">
        <f>#REF!+";Hb!$'`"</f>
        <v>#REF!</v>
      </c>
      <c r="DU33" t="e">
        <f>#REF!+";Hb!$'a"</f>
        <v>#REF!</v>
      </c>
      <c r="DV33" t="e">
        <f>#REF!+";Hb!$'b"</f>
        <v>#REF!</v>
      </c>
      <c r="DW33" t="e">
        <f>#REF!+";Hb!$'c"</f>
        <v>#REF!</v>
      </c>
      <c r="DX33" t="e">
        <f>#REF!+";Hb!$'d"</f>
        <v>#REF!</v>
      </c>
      <c r="DY33" t="e">
        <f>#REF!+";Hb!$'e"</f>
        <v>#REF!</v>
      </c>
      <c r="DZ33" t="e">
        <f>#REF!+";Hb!$'f"</f>
        <v>#REF!</v>
      </c>
      <c r="EA33" t="e">
        <f>#REF!+";Hb!$'g"</f>
        <v>#REF!</v>
      </c>
      <c r="EB33" t="e">
        <f>#REF!+";Hb!$'h"</f>
        <v>#REF!</v>
      </c>
      <c r="EC33" t="e">
        <f>#REF!+";Hb!$'i"</f>
        <v>#REF!</v>
      </c>
      <c r="ED33" t="e">
        <f>#REF!+";Hb!$'j"</f>
        <v>#REF!</v>
      </c>
      <c r="EE33" t="e">
        <f>#REF!+";Hb!$'k"</f>
        <v>#REF!</v>
      </c>
      <c r="EF33" t="e">
        <f>#REF!+";Hb!$'l"</f>
        <v>#REF!</v>
      </c>
      <c r="EG33" t="e">
        <f>#REF!+";Hb!$'m"</f>
        <v>#REF!</v>
      </c>
      <c r="EH33" t="e">
        <f>#REF!+";Hb!$'n"</f>
        <v>#REF!</v>
      </c>
      <c r="EI33" t="e">
        <f>#REF!+";Hb!$'o"</f>
        <v>#REF!</v>
      </c>
      <c r="EJ33" t="e">
        <f>#REF!+";Hb!$'p"</f>
        <v>#REF!</v>
      </c>
      <c r="EK33" t="e">
        <f>#REF!+";Hb!$'q"</f>
        <v>#REF!</v>
      </c>
      <c r="EL33" t="e">
        <f>#REF!+";Hb!$'r"</f>
        <v>#REF!</v>
      </c>
      <c r="EM33" t="e">
        <f>#REF!+";Hb!$'s"</f>
        <v>#REF!</v>
      </c>
      <c r="EN33" t="e">
        <f>#REF!+";Hb!$'t"</f>
        <v>#REF!</v>
      </c>
      <c r="EO33" t="e">
        <f>#REF!+";Hb!$'u"</f>
        <v>#REF!</v>
      </c>
      <c r="EP33" t="e">
        <f>#REF!+";Hb!$'v"</f>
        <v>#REF!</v>
      </c>
      <c r="EQ33" t="e">
        <f>#REF!+";Hb!$'w"</f>
        <v>#REF!</v>
      </c>
      <c r="ER33" t="e">
        <f>#REF!+";Hb!$'x"</f>
        <v>#REF!</v>
      </c>
      <c r="ES33" t="e">
        <f>#REF!+";Hb!$'y"</f>
        <v>#REF!</v>
      </c>
      <c r="ET33" t="e">
        <f>#REF!+";Hb!$'z"</f>
        <v>#REF!</v>
      </c>
      <c r="EU33" t="e">
        <f>#REF!+";Hb!$'{"</f>
        <v>#REF!</v>
      </c>
      <c r="EV33" t="e">
        <f>#REF!+";Hb!$'|"</f>
        <v>#REF!</v>
      </c>
      <c r="EW33" t="e">
        <f>#REF!+";Hb!$'}"</f>
        <v>#REF!</v>
      </c>
      <c r="EX33" t="e">
        <f>#REF!+";Hb!$'~"</f>
        <v>#REF!</v>
      </c>
      <c r="EY33" t="e">
        <f>#REF!+";Hb!$(#"</f>
        <v>#REF!</v>
      </c>
      <c r="EZ33" t="e">
        <f>#REF!+";Hb!$($"</f>
        <v>#REF!</v>
      </c>
      <c r="FA33" t="e">
        <f>#REF!+";Hb!$(%"</f>
        <v>#REF!</v>
      </c>
      <c r="FB33" t="e">
        <f>#REF!+";Hb!$(&amp;"</f>
        <v>#REF!</v>
      </c>
      <c r="FC33" t="e">
        <f>#REF!+";Hb!$('"</f>
        <v>#REF!</v>
      </c>
      <c r="FD33" t="e">
        <f>#REF!+";Hb!$(("</f>
        <v>#REF!</v>
      </c>
      <c r="FE33" t="e">
        <f>#REF!+";Hb!$()"</f>
        <v>#REF!</v>
      </c>
      <c r="FF33" t="e">
        <f>#REF!+";Hb!$(."</f>
        <v>#REF!</v>
      </c>
      <c r="FG33" t="e">
        <f>#REF!+";Hb!$(/"</f>
        <v>#REF!</v>
      </c>
      <c r="FH33" t="e">
        <f>#REF!+";Hb!$(0"</f>
        <v>#REF!</v>
      </c>
      <c r="FI33" t="e">
        <f>#REF!+";Hb!$(1"</f>
        <v>#REF!</v>
      </c>
      <c r="FJ33" t="e">
        <f>#REF!+";Hb!$(2"</f>
        <v>#REF!</v>
      </c>
      <c r="FK33" t="e">
        <f>#REF!+";Hb!$(3"</f>
        <v>#REF!</v>
      </c>
      <c r="FL33" t="e">
        <f>#REF!+";Hb!$(4"</f>
        <v>#REF!</v>
      </c>
      <c r="FM33" t="e">
        <f>#REF!+";Hb!$(5"</f>
        <v>#REF!</v>
      </c>
      <c r="FN33" t="e">
        <f>#REF!+";Hb!$(6"</f>
        <v>#REF!</v>
      </c>
      <c r="FO33" t="e">
        <f>#REF!+";Hb!$(7"</f>
        <v>#REF!</v>
      </c>
      <c r="FP33" t="e">
        <f>#REF!+";Hb!$(8"</f>
        <v>#REF!</v>
      </c>
      <c r="FQ33" t="e">
        <f>#REF!+";Hb!$(9"</f>
        <v>#REF!</v>
      </c>
      <c r="FR33" t="e">
        <f>#REF!+";Hb!$(:"</f>
        <v>#REF!</v>
      </c>
      <c r="FS33" t="e">
        <f>#REF!+";Hb!$(;"</f>
        <v>#REF!</v>
      </c>
      <c r="FT33" t="e">
        <f>#REF!+";Hb!$(&lt;"</f>
        <v>#REF!</v>
      </c>
      <c r="FU33" t="e">
        <f>#REF!+";Hb!$(="</f>
        <v>#REF!</v>
      </c>
      <c r="FV33" t="e">
        <f>#REF!+";Hb!$(&gt;"</f>
        <v>#REF!</v>
      </c>
      <c r="FW33" t="e">
        <f>#REF!+";Hb!$(?"</f>
        <v>#REF!</v>
      </c>
      <c r="FX33" t="e">
        <f>#REF!+";Hb!$(@"</f>
        <v>#REF!</v>
      </c>
      <c r="FY33" t="e">
        <f>#REF!+";Hb!$(A"</f>
        <v>#REF!</v>
      </c>
      <c r="FZ33" t="e">
        <f>#REF!+";Hb!$(B"</f>
        <v>#REF!</v>
      </c>
      <c r="GA33" t="e">
        <f>#REF!+";Hb!$(C"</f>
        <v>#REF!</v>
      </c>
      <c r="GB33" t="e">
        <f>#REF!+";Hb!$(D"</f>
        <v>#REF!</v>
      </c>
      <c r="GC33" t="e">
        <f>#REF!+";Hb!$(E"</f>
        <v>#REF!</v>
      </c>
      <c r="GD33" t="e">
        <f>#REF!+";Hb!$(F"</f>
        <v>#REF!</v>
      </c>
      <c r="GE33" t="e">
        <f>#REF!+";Hb!$(G"</f>
        <v>#REF!</v>
      </c>
      <c r="GF33" t="e">
        <f>#REF!+";Hb!$(H"</f>
        <v>#REF!</v>
      </c>
      <c r="GG33" t="e">
        <f>#REF!+";Hb!$(I"</f>
        <v>#REF!</v>
      </c>
      <c r="GH33" t="e">
        <f>#REF!+";Hb!$(J"</f>
        <v>#REF!</v>
      </c>
      <c r="GI33" t="e">
        <f>#REF!+";Hb!$(K"</f>
        <v>#REF!</v>
      </c>
      <c r="GJ33" t="e">
        <f>#REF!+";Hb!$(L"</f>
        <v>#REF!</v>
      </c>
      <c r="GK33" t="e">
        <f>#REF!+";Hb!$(M"</f>
        <v>#REF!</v>
      </c>
      <c r="GL33" t="e">
        <f>#REF!+";Hb!$(N"</f>
        <v>#REF!</v>
      </c>
      <c r="GM33" t="e">
        <f>#REF!+";Hb!$(O"</f>
        <v>#REF!</v>
      </c>
      <c r="GN33" t="e">
        <f>#REF!+";Hb!$(P"</f>
        <v>#REF!</v>
      </c>
      <c r="GO33" t="e">
        <f>#REF!+";Hb!$(Q"</f>
        <v>#REF!</v>
      </c>
      <c r="GP33" t="e">
        <f>#REF!+";Hb!$(R"</f>
        <v>#REF!</v>
      </c>
      <c r="GQ33" t="e">
        <f>#REF!+";Hb!$(S"</f>
        <v>#REF!</v>
      </c>
      <c r="GR33" t="e">
        <f>#REF!+";Hb!$(T"</f>
        <v>#REF!</v>
      </c>
      <c r="GS33" t="e">
        <f>#REF!+";Hb!$(U"</f>
        <v>#REF!</v>
      </c>
      <c r="GT33" t="e">
        <f>#REF!+";Hb!$(V"</f>
        <v>#REF!</v>
      </c>
      <c r="GU33" t="e">
        <f>#REF!+";Hb!$(W"</f>
        <v>#REF!</v>
      </c>
      <c r="GV33" t="e">
        <f>#REF!+";Hb!$(X"</f>
        <v>#REF!</v>
      </c>
      <c r="GW33" t="e">
        <f>#REF!+";Hb!$(Y"</f>
        <v>#REF!</v>
      </c>
      <c r="GX33" t="e">
        <f>#REF!+";Hb!$(Z"</f>
        <v>#REF!</v>
      </c>
      <c r="GY33" t="e">
        <f>#REF!+";Hb!$(["</f>
        <v>#REF!</v>
      </c>
      <c r="GZ33" t="e">
        <f>#REF!+";Hb!$(\"</f>
        <v>#REF!</v>
      </c>
      <c r="HA33" t="e">
        <f>#REF!+";Hb!$(]"</f>
        <v>#REF!</v>
      </c>
      <c r="HB33" t="e">
        <f>#REF!+";Hb!$(^"</f>
        <v>#REF!</v>
      </c>
      <c r="HC33" t="e">
        <f>#REF!+";Hb!$(_"</f>
        <v>#REF!</v>
      </c>
      <c r="HD33" t="e">
        <f>#REF!+";Hb!$(`"</f>
        <v>#REF!</v>
      </c>
      <c r="HE33" t="e">
        <f>#REF!+";Hb!$(a"</f>
        <v>#REF!</v>
      </c>
      <c r="HF33" t="e">
        <f>#REF!+";Hb!$(b"</f>
        <v>#REF!</v>
      </c>
      <c r="HG33" t="e">
        <f>#REF!+";Hb!$(c"</f>
        <v>#REF!</v>
      </c>
      <c r="HH33" t="e">
        <f>#REF!+";Hb!$(d"</f>
        <v>#REF!</v>
      </c>
      <c r="HI33" t="e">
        <f>#REF!+";Hb!$(e"</f>
        <v>#REF!</v>
      </c>
      <c r="HJ33" t="e">
        <f>#REF!+";Hb!$(f"</f>
        <v>#REF!</v>
      </c>
      <c r="HK33" t="e">
        <f>#REF!+";Hb!$(g"</f>
        <v>#REF!</v>
      </c>
      <c r="HL33" t="e">
        <f>#REF!+";Hb!$(h"</f>
        <v>#REF!</v>
      </c>
      <c r="HM33" t="e">
        <f>#REF!+";Hb!$(i"</f>
        <v>#REF!</v>
      </c>
      <c r="HN33" t="e">
        <f>#REF!+";Hb!$(j"</f>
        <v>#REF!</v>
      </c>
      <c r="HO33" t="e">
        <f>#REF!+";Hb!$(k"</f>
        <v>#REF!</v>
      </c>
      <c r="HP33" t="e">
        <f>#REF!+";Hb!$(l"</f>
        <v>#REF!</v>
      </c>
      <c r="HQ33" t="e">
        <f>#REF!+";Hb!$(m"</f>
        <v>#REF!</v>
      </c>
      <c r="HR33" t="e">
        <f>#REF!+";Hb!$(n"</f>
        <v>#REF!</v>
      </c>
      <c r="HS33" t="e">
        <f>#REF!+";Hb!$(o"</f>
        <v>#REF!</v>
      </c>
      <c r="HT33" t="e">
        <f>#REF!+";Hb!$(p"</f>
        <v>#REF!</v>
      </c>
      <c r="HU33" t="e">
        <f>#REF!+";Hb!$(q"</f>
        <v>#REF!</v>
      </c>
      <c r="HV33" t="e">
        <f>#REF!+";Hb!$(r"</f>
        <v>#REF!</v>
      </c>
      <c r="HW33" t="e">
        <f>#REF!+";Hb!$(s"</f>
        <v>#REF!</v>
      </c>
      <c r="HX33" t="e">
        <f>#REF!+";Hb!$(t"</f>
        <v>#REF!</v>
      </c>
      <c r="HY33" t="e">
        <f>#REF!+";Hb!$(u"</f>
        <v>#REF!</v>
      </c>
      <c r="HZ33" t="e">
        <f>#REF!+";Hb!$(v"</f>
        <v>#REF!</v>
      </c>
      <c r="IA33" t="e">
        <f>#REF!+";Hb!$(w"</f>
        <v>#REF!</v>
      </c>
      <c r="IB33" t="e">
        <f>#REF!+";Hb!$(x"</f>
        <v>#REF!</v>
      </c>
      <c r="IC33" t="e">
        <f>#REF!+";Hb!$(y"</f>
        <v>#REF!</v>
      </c>
      <c r="ID33" t="e">
        <f>#REF!+";Hb!$(z"</f>
        <v>#REF!</v>
      </c>
      <c r="IE33" t="e">
        <f>#REF!+";Hb!$({"</f>
        <v>#REF!</v>
      </c>
      <c r="IF33" t="e">
        <f>#REF!+";Hb!$(|"</f>
        <v>#REF!</v>
      </c>
      <c r="IG33" t="e">
        <f>#REF!+";Hb!$(}"</f>
        <v>#REF!</v>
      </c>
      <c r="IH33" t="e">
        <f>#REF!+";Hb!$(~"</f>
        <v>#REF!</v>
      </c>
      <c r="II33" t="e">
        <f>#REF!+";Hb!$)#"</f>
        <v>#REF!</v>
      </c>
      <c r="IJ33" t="e">
        <f>#REF!+";Hb!$)$"</f>
        <v>#REF!</v>
      </c>
      <c r="IK33" t="e">
        <f>#REF!+";Hb!$)%"</f>
        <v>#REF!</v>
      </c>
      <c r="IL33" t="e">
        <f>#REF!+";Hb!$)&amp;"</f>
        <v>#REF!</v>
      </c>
      <c r="IM33" t="e">
        <f>#REF!+";Hb!$)'"</f>
        <v>#REF!</v>
      </c>
      <c r="IN33" t="e">
        <f>#REF!+";Hb!$)("</f>
        <v>#REF!</v>
      </c>
      <c r="IO33" t="e">
        <f>#REF!+";Hb!$))"</f>
        <v>#REF!</v>
      </c>
      <c r="IP33" t="e">
        <f>#REF!+";Hb!$)."</f>
        <v>#REF!</v>
      </c>
      <c r="IQ33" t="e">
        <f>#REF!+";Hb!$)/"</f>
        <v>#REF!</v>
      </c>
      <c r="IR33" t="e">
        <f>#REF!+";Hb!$)0"</f>
        <v>#REF!</v>
      </c>
      <c r="IS33" t="e">
        <f>#REF!+";Hb!$)1"</f>
        <v>#REF!</v>
      </c>
      <c r="IT33" t="e">
        <f>#REF!+";Hb!$)2"</f>
        <v>#REF!</v>
      </c>
      <c r="IU33" t="e">
        <f>#REF!+";Hb!$)3"</f>
        <v>#REF!</v>
      </c>
      <c r="IV33" t="e">
        <f>#REF!+";Hb!$)4"</f>
        <v>#REF!</v>
      </c>
    </row>
    <row r="34" spans="6:256" x14ac:dyDescent="0.25">
      <c r="F34" t="e">
        <f>#REF!+";Hb!$)5"</f>
        <v>#REF!</v>
      </c>
      <c r="G34" t="e">
        <f>#REF!+";Hb!$)6"</f>
        <v>#REF!</v>
      </c>
      <c r="H34" t="e">
        <f>#REF!+";Hb!$)7"</f>
        <v>#REF!</v>
      </c>
      <c r="I34" t="e">
        <f>#REF!+";Hb!$)8"</f>
        <v>#REF!</v>
      </c>
      <c r="J34" t="e">
        <f>#REF!+";Hb!$)9"</f>
        <v>#REF!</v>
      </c>
      <c r="K34" t="e">
        <f>#REF!+";Hb!$):"</f>
        <v>#REF!</v>
      </c>
      <c r="L34" t="e">
        <f>#REF!+";Hb!$);"</f>
        <v>#REF!</v>
      </c>
      <c r="M34" t="e">
        <f>#REF!+";Hb!$)&lt;"</f>
        <v>#REF!</v>
      </c>
      <c r="N34" t="e">
        <f>#REF!+";Hb!$)="</f>
        <v>#REF!</v>
      </c>
      <c r="O34" t="e">
        <f>#REF!+";Hb!$)&gt;"</f>
        <v>#REF!</v>
      </c>
      <c r="P34" t="e">
        <f>#REF!+";Hb!$)?"</f>
        <v>#REF!</v>
      </c>
      <c r="Q34" t="e">
        <f>#REF!+";Hb!$)@"</f>
        <v>#REF!</v>
      </c>
      <c r="R34" t="e">
        <f>#REF!+";Hb!$)A"</f>
        <v>#REF!</v>
      </c>
      <c r="S34" t="e">
        <f>#REF!+";Hb!$)B"</f>
        <v>#REF!</v>
      </c>
      <c r="T34" t="e">
        <f>#REF!+";Hb!$)C"</f>
        <v>#REF!</v>
      </c>
      <c r="U34" t="e">
        <f>#REF!+";Hb!$)D"</f>
        <v>#REF!</v>
      </c>
      <c r="V34" t="e">
        <f>#REF!+";Hb!$)E"</f>
        <v>#REF!</v>
      </c>
      <c r="W34" t="e">
        <f>#REF!+";Hb!$)F"</f>
        <v>#REF!</v>
      </c>
      <c r="X34" t="e">
        <f>#REF!+";Hb!$)G"</f>
        <v>#REF!</v>
      </c>
      <c r="Y34" t="e">
        <f>#REF!+";Hb!$)H"</f>
        <v>#REF!</v>
      </c>
      <c r="Z34" t="e">
        <f>#REF!+";Hb!$)I"</f>
        <v>#REF!</v>
      </c>
      <c r="AA34" t="e">
        <f>#REF!+";Hb!$)J"</f>
        <v>#REF!</v>
      </c>
      <c r="AB34" t="e">
        <f>#REF!+";Hb!$)K"</f>
        <v>#REF!</v>
      </c>
      <c r="AC34" t="e">
        <f>#REF!+";Hb!$)L"</f>
        <v>#REF!</v>
      </c>
      <c r="AD34" t="e">
        <f>#REF!+";Hb!$)M"</f>
        <v>#REF!</v>
      </c>
      <c r="AE34" t="e">
        <f>#REF!+";Hb!$)N"</f>
        <v>#REF!</v>
      </c>
      <c r="AF34" t="e">
        <f>#REF!+";Hb!$)O"</f>
        <v>#REF!</v>
      </c>
      <c r="AG34" t="e">
        <f>#REF!+";Hb!$)P"</f>
        <v>#REF!</v>
      </c>
      <c r="AH34" t="e">
        <f>#REF!+";Hb!$)Q"</f>
        <v>#REF!</v>
      </c>
      <c r="AI34" t="e">
        <f>#REF!+";Hb!$)R"</f>
        <v>#REF!</v>
      </c>
      <c r="AJ34" t="e">
        <f>#REF!+";Hb!$)S"</f>
        <v>#REF!</v>
      </c>
      <c r="AK34" t="e">
        <f>#REF!+";Hb!$)T"</f>
        <v>#REF!</v>
      </c>
      <c r="AL34" t="e">
        <f>#REF!+";Hb!$)U"</f>
        <v>#REF!</v>
      </c>
      <c r="AM34" t="e">
        <f>#REF!+";Hb!$)V"</f>
        <v>#REF!</v>
      </c>
      <c r="AN34" t="e">
        <f>#REF!+";Hb!$)W"</f>
        <v>#REF!</v>
      </c>
      <c r="AO34" t="e">
        <f>#REF!+";Hb!$)X"</f>
        <v>#REF!</v>
      </c>
      <c r="AP34" t="e">
        <f>#REF!+";Hb!$)Y"</f>
        <v>#REF!</v>
      </c>
      <c r="AQ34" t="e">
        <f>#REF!+";Hb!$)Z"</f>
        <v>#REF!</v>
      </c>
      <c r="AR34" t="e">
        <f>#REF!+";Hb!$)["</f>
        <v>#REF!</v>
      </c>
      <c r="AS34" t="e">
        <f>#REF!+";Hb!$)\"</f>
        <v>#REF!</v>
      </c>
      <c r="AT34" t="e">
        <f>#REF!+";Hb!$)]"</f>
        <v>#REF!</v>
      </c>
      <c r="AU34" t="e">
        <f>#REF!+";Hb!$)^"</f>
        <v>#REF!</v>
      </c>
      <c r="AV34" t="e">
        <f>#REF!+";Hb!$)_"</f>
        <v>#REF!</v>
      </c>
      <c r="AW34" t="e">
        <f>#REF!+";Hb!$)`"</f>
        <v>#REF!</v>
      </c>
      <c r="AX34" t="e">
        <f>#REF!+";Hb!$)a"</f>
        <v>#REF!</v>
      </c>
      <c r="AY34" t="e">
        <f>#REF!+";Hb!$)b"</f>
        <v>#REF!</v>
      </c>
      <c r="AZ34" t="e">
        <f>#REF!+";Hb!$)c"</f>
        <v>#REF!</v>
      </c>
      <c r="BA34" t="e">
        <f>#REF!+";Hb!$)d"</f>
        <v>#REF!</v>
      </c>
      <c r="BB34" t="e">
        <f>#REF!+";Hb!$)e"</f>
        <v>#REF!</v>
      </c>
      <c r="BC34" t="e">
        <f>#REF!+";Hb!$)f"</f>
        <v>#REF!</v>
      </c>
      <c r="BD34" t="e">
        <f>#REF!+";Hb!$)g"</f>
        <v>#REF!</v>
      </c>
      <c r="BE34" t="e">
        <f>#REF!+";Hb!$)h"</f>
        <v>#REF!</v>
      </c>
      <c r="BF34" t="e">
        <f>#REF!+";Hb!$)i"</f>
        <v>#REF!</v>
      </c>
      <c r="BG34" t="e">
        <f>#REF!+";Hb!$)j"</f>
        <v>#REF!</v>
      </c>
      <c r="BH34" t="e">
        <f>#REF!+";Hb!$)k"</f>
        <v>#REF!</v>
      </c>
      <c r="BI34" t="e">
        <f>#REF!+";Hb!$)l"</f>
        <v>#REF!</v>
      </c>
      <c r="BJ34" t="e">
        <f>#REF!+";Hb!$)m"</f>
        <v>#REF!</v>
      </c>
      <c r="BK34" t="e">
        <f>#REF!+";Hb!$)n"</f>
        <v>#REF!</v>
      </c>
      <c r="BL34" t="e">
        <f>#REF!+";Hb!$)o"</f>
        <v>#REF!</v>
      </c>
      <c r="BM34" t="e">
        <f>#REF!+";Hb!$)p"</f>
        <v>#REF!</v>
      </c>
      <c r="BN34" t="e">
        <f>#REF!+";Hb!$)q"</f>
        <v>#REF!</v>
      </c>
      <c r="BO34" t="e">
        <f>#REF!+";Hb!$)r"</f>
        <v>#REF!</v>
      </c>
      <c r="BP34" t="e">
        <f>#REF!+";Hb!$)s"</f>
        <v>#REF!</v>
      </c>
      <c r="BQ34" t="e">
        <f>#REF!+";Hb!$)t"</f>
        <v>#REF!</v>
      </c>
      <c r="BR34" t="e">
        <f>#REF!+";Hb!$)u"</f>
        <v>#REF!</v>
      </c>
      <c r="BS34" t="e">
        <f>#REF!+";Hb!$)v"</f>
        <v>#REF!</v>
      </c>
      <c r="BT34" t="e">
        <f>#REF!+";Hb!$)w"</f>
        <v>#REF!</v>
      </c>
      <c r="BU34" t="e">
        <f>#REF!+";Hb!$)x"</f>
        <v>#REF!</v>
      </c>
      <c r="BV34" t="e">
        <f>#REF!+";Hb!$)y"</f>
        <v>#REF!</v>
      </c>
      <c r="BW34" t="e">
        <f>#REF!+";Hb!$)z"</f>
        <v>#REF!</v>
      </c>
      <c r="BX34" t="e">
        <f>#REF!+";Hb!$){"</f>
        <v>#REF!</v>
      </c>
      <c r="BY34" t="e">
        <f>#REF!+";Hb!$)|"</f>
        <v>#REF!</v>
      </c>
      <c r="BZ34" t="e">
        <f>#REF!+";Hb!$)}"</f>
        <v>#REF!</v>
      </c>
      <c r="CA34" t="e">
        <f>#REF!+";Hb!$)~"</f>
        <v>#REF!</v>
      </c>
      <c r="CB34" t="e">
        <f>#REF!+";Hb!$.#"</f>
        <v>#REF!</v>
      </c>
      <c r="CC34" t="e">
        <f>#REF!+";Hb!$.$"</f>
        <v>#REF!</v>
      </c>
      <c r="CD34" t="e">
        <f>#REF!+";Hb!$.%"</f>
        <v>#REF!</v>
      </c>
      <c r="CE34" t="e">
        <f>#REF!+";Hb!$.&amp;"</f>
        <v>#REF!</v>
      </c>
      <c r="CF34" t="e">
        <f>#REF!+";Hb!$.'"</f>
        <v>#REF!</v>
      </c>
      <c r="CG34" t="e">
        <f>#REF!+";Hb!$.("</f>
        <v>#REF!</v>
      </c>
      <c r="CH34" t="e">
        <f>#REF!+";Hb!$.)"</f>
        <v>#REF!</v>
      </c>
      <c r="CI34" t="e">
        <f>#REF!+";Hb!$.."</f>
        <v>#REF!</v>
      </c>
      <c r="CJ34" t="e">
        <f>#REF!+";Hb!$./"</f>
        <v>#REF!</v>
      </c>
      <c r="CK34" t="e">
        <f>#REF!+";Hb!$.0"</f>
        <v>#REF!</v>
      </c>
      <c r="CL34" t="e">
        <f>#REF!+";Hb!$.1"</f>
        <v>#REF!</v>
      </c>
      <c r="CM34" t="e">
        <f>#REF!+";Hb!$.2"</f>
        <v>#REF!</v>
      </c>
      <c r="CN34" t="e">
        <f>#REF!+";Hb!$.3"</f>
        <v>#REF!</v>
      </c>
      <c r="CO34" t="e">
        <f>#REF!+";Hb!$.4"</f>
        <v>#REF!</v>
      </c>
      <c r="CP34" t="e">
        <f>#REF!+";Hb!$.5"</f>
        <v>#REF!</v>
      </c>
      <c r="CQ34" t="e">
        <f>#REF!+";Hb!$.6"</f>
        <v>#REF!</v>
      </c>
      <c r="CR34" t="e">
        <f>#REF!+";Hb!$.7"</f>
        <v>#REF!</v>
      </c>
      <c r="CS34" t="e">
        <f>#REF!+";Hb!$.8"</f>
        <v>#REF!</v>
      </c>
      <c r="CT34" t="e">
        <f>#REF!+";Hb!$.9"</f>
        <v>#REF!</v>
      </c>
      <c r="CU34" t="e">
        <f>#REF!+";Hb!$.:"</f>
        <v>#REF!</v>
      </c>
      <c r="CV34" t="e">
        <f>#REF!+";Hb!$.;"</f>
        <v>#REF!</v>
      </c>
      <c r="CW34" t="e">
        <f>#REF!+";Hb!$.&lt;"</f>
        <v>#REF!</v>
      </c>
      <c r="CX34" t="e">
        <f>#REF!+";Hb!$.="</f>
        <v>#REF!</v>
      </c>
      <c r="CY34" t="e">
        <f>#REF!+";Hb!$.&gt;"</f>
        <v>#REF!</v>
      </c>
      <c r="CZ34" t="e">
        <f>#REF!+";Hb!$.?"</f>
        <v>#REF!</v>
      </c>
      <c r="DA34" t="e">
        <f>#REF!+";Hb!$.@"</f>
        <v>#REF!</v>
      </c>
      <c r="DB34" t="e">
        <f>#REF!+";Hb!$.A"</f>
        <v>#REF!</v>
      </c>
      <c r="DC34" t="e">
        <f>#REF!+";Hb!$.B"</f>
        <v>#REF!</v>
      </c>
      <c r="DD34" t="e">
        <f>#REF!+";Hb!$.C"</f>
        <v>#REF!</v>
      </c>
      <c r="DE34" t="e">
        <f>#REF!+";Hb!$.D"</f>
        <v>#REF!</v>
      </c>
      <c r="DF34" t="e">
        <f>#REF!+";Hb!$.E"</f>
        <v>#REF!</v>
      </c>
      <c r="DG34" t="e">
        <f>#REF!+";Hb!$.F"</f>
        <v>#REF!</v>
      </c>
      <c r="DH34" t="e">
        <f>#REF!+";Hb!$.G"</f>
        <v>#REF!</v>
      </c>
      <c r="DI34" t="e">
        <f>#REF!+";Hb!$.H"</f>
        <v>#REF!</v>
      </c>
      <c r="DJ34" t="e">
        <f>#REF!+";Hb!$.I"</f>
        <v>#REF!</v>
      </c>
      <c r="DK34" t="e">
        <f>#REF!+";Hb!$.J"</f>
        <v>#REF!</v>
      </c>
      <c r="DL34" t="e">
        <f>#REF!+";Hb!$.K"</f>
        <v>#REF!</v>
      </c>
      <c r="DM34" t="e">
        <f>#REF!+";Hb!$.L"</f>
        <v>#REF!</v>
      </c>
      <c r="DN34" t="e">
        <f>#REF!+";Hb!$.M"</f>
        <v>#REF!</v>
      </c>
      <c r="DO34" t="e">
        <f>#REF!+";Hb!$.N"</f>
        <v>#REF!</v>
      </c>
      <c r="DP34" t="e">
        <f>#REF!+";Hb!$.O"</f>
        <v>#REF!</v>
      </c>
      <c r="DQ34" t="e">
        <f>#REF!+";Hb!$.P"</f>
        <v>#REF!</v>
      </c>
      <c r="DR34" t="e">
        <f>#REF!+";Hb!$.Q"</f>
        <v>#REF!</v>
      </c>
      <c r="DS34" t="e">
        <f>#REF!+";Hb!$.R"</f>
        <v>#REF!</v>
      </c>
      <c r="DT34" t="e">
        <f>#REF!+";Hb!$.S"</f>
        <v>#REF!</v>
      </c>
      <c r="DU34" t="e">
        <f>#REF!+";Hb!$.T"</f>
        <v>#REF!</v>
      </c>
      <c r="DV34" t="e">
        <f>#REF!+";Hb!$.U"</f>
        <v>#REF!</v>
      </c>
      <c r="DW34" t="e">
        <f>#REF!+";Hb!$.V"</f>
        <v>#REF!</v>
      </c>
      <c r="DX34" t="e">
        <f>#REF!+";Hb!$.W"</f>
        <v>#REF!</v>
      </c>
      <c r="DY34" t="e">
        <f>#REF!+";Hb!$.X"</f>
        <v>#REF!</v>
      </c>
      <c r="DZ34" t="e">
        <f>#REF!+";Hb!$.Y"</f>
        <v>#REF!</v>
      </c>
      <c r="EA34" t="e">
        <f>#REF!+";Hb!$.Z"</f>
        <v>#REF!</v>
      </c>
      <c r="EB34" t="e">
        <f>#REF!+";Hb!$.["</f>
        <v>#REF!</v>
      </c>
      <c r="EC34" t="e">
        <f>#REF!+";Hb!$.\"</f>
        <v>#REF!</v>
      </c>
      <c r="ED34" t="e">
        <f>#REF!+";Hb!$.]"</f>
        <v>#REF!</v>
      </c>
      <c r="EE34" t="e">
        <f>#REF!+";Hb!$.^"</f>
        <v>#REF!</v>
      </c>
      <c r="EF34" t="e">
        <f>#REF!+";Hb!$._"</f>
        <v>#REF!</v>
      </c>
      <c r="EG34" t="e">
        <f>#REF!+";Hb!$.`"</f>
        <v>#REF!</v>
      </c>
      <c r="EH34" t="e">
        <f>#REF!+";Hb!$.a"</f>
        <v>#REF!</v>
      </c>
      <c r="EI34" t="e">
        <f>#REF!+";Hb!$.b"</f>
        <v>#REF!</v>
      </c>
      <c r="EJ34" t="e">
        <f>#REF!+";Hb!$.c"</f>
        <v>#REF!</v>
      </c>
      <c r="EK34" t="e">
        <f>#REF!+";Hb!$.d"</f>
        <v>#REF!</v>
      </c>
      <c r="EL34" t="e">
        <f>#REF!+";Hb!$.e"</f>
        <v>#REF!</v>
      </c>
      <c r="EM34" t="e">
        <f>#REF!+";Hb!$.f"</f>
        <v>#REF!</v>
      </c>
      <c r="EN34" t="e">
        <f>#REF!+";Hb!$.g"</f>
        <v>#REF!</v>
      </c>
      <c r="EO34" t="e">
        <f>#REF!+";Hb!$.h"</f>
        <v>#REF!</v>
      </c>
      <c r="EP34" t="e">
        <f>#REF!+";Hb!$.i"</f>
        <v>#REF!</v>
      </c>
      <c r="EQ34" t="e">
        <f>#REF!+";Hb!$.j"</f>
        <v>#REF!</v>
      </c>
      <c r="ER34" t="e">
        <f>#REF!+";Hb!$.k"</f>
        <v>#REF!</v>
      </c>
      <c r="ES34" t="e">
        <f>#REF!+";Hb!$.l"</f>
        <v>#REF!</v>
      </c>
      <c r="ET34" t="e">
        <f>#REF!+";Hb!$.m"</f>
        <v>#REF!</v>
      </c>
      <c r="EU34" t="e">
        <f>#REF!+";Hb!$.n"</f>
        <v>#REF!</v>
      </c>
      <c r="EV34" t="e">
        <f>#REF!+";Hb!$.o"</f>
        <v>#REF!</v>
      </c>
      <c r="EW34" t="e">
        <f>#REF!+";Hb!$.p"</f>
        <v>#REF!</v>
      </c>
      <c r="EX34" t="e">
        <f>#REF!+";Hb!$.q"</f>
        <v>#REF!</v>
      </c>
      <c r="EY34" t="e">
        <f>#REF!+";Hb!$.r"</f>
        <v>#REF!</v>
      </c>
      <c r="EZ34" t="e">
        <f>#REF!+";Hb!$.s"</f>
        <v>#REF!</v>
      </c>
      <c r="FA34" t="e">
        <f>#REF!+";Hb!$.t"</f>
        <v>#REF!</v>
      </c>
      <c r="FB34" t="e">
        <f>#REF!+";Hb!$.u"</f>
        <v>#REF!</v>
      </c>
      <c r="FC34" t="e">
        <f>#REF!+";Hb!$.v"</f>
        <v>#REF!</v>
      </c>
      <c r="FD34" t="e">
        <f>#REF!+";Hb!$.w"</f>
        <v>#REF!</v>
      </c>
      <c r="FE34" t="e">
        <f>#REF!+";Hb!$.x"</f>
        <v>#REF!</v>
      </c>
      <c r="FF34" t="e">
        <f>#REF!+";Hb!$.y"</f>
        <v>#REF!</v>
      </c>
      <c r="FG34" t="e">
        <f>#REF!+";Hb!$.z"</f>
        <v>#REF!</v>
      </c>
      <c r="FH34" t="e">
        <f>#REF!+";Hb!$.{"</f>
        <v>#REF!</v>
      </c>
      <c r="FI34" t="e">
        <f>#REF!+";Hb!$.|"</f>
        <v>#REF!</v>
      </c>
      <c r="FJ34" t="e">
        <f>#REF!+";Hb!$.}"</f>
        <v>#REF!</v>
      </c>
      <c r="FK34" t="e">
        <f>#REF!+";Hb!$.~"</f>
        <v>#REF!</v>
      </c>
      <c r="FL34" t="e">
        <f>#REF!+";Hb!$/#"</f>
        <v>#REF!</v>
      </c>
      <c r="FM34" t="e">
        <f>#REF!+";Hb!$/$"</f>
        <v>#REF!</v>
      </c>
      <c r="FN34" t="e">
        <f>#REF!+";Hb!$/%"</f>
        <v>#REF!</v>
      </c>
      <c r="FO34" t="e">
        <f>#REF!+";Hb!$/&amp;"</f>
        <v>#REF!</v>
      </c>
      <c r="FP34" t="e">
        <f>#REF!+";Hb!$/'"</f>
        <v>#REF!</v>
      </c>
      <c r="FQ34" t="e">
        <f>#REF!+";Hb!$/("</f>
        <v>#REF!</v>
      </c>
      <c r="FR34" t="e">
        <f>#REF!+";Hb!$/)"</f>
        <v>#REF!</v>
      </c>
      <c r="FS34" t="e">
        <f>#REF!+";Hb!$/."</f>
        <v>#REF!</v>
      </c>
      <c r="FT34" t="e">
        <f>#REF!+";Hb!$//"</f>
        <v>#REF!</v>
      </c>
      <c r="FU34" t="e">
        <f>#REF!+";Hb!$/0"</f>
        <v>#REF!</v>
      </c>
      <c r="FV34" t="e">
        <f>#REF!+";Hb!$/1"</f>
        <v>#REF!</v>
      </c>
      <c r="FW34" t="e">
        <f>#REF!+";Hb!$/2"</f>
        <v>#REF!</v>
      </c>
      <c r="FX34" t="e">
        <f>#REF!+";Hb!$/3"</f>
        <v>#REF!</v>
      </c>
      <c r="FY34" t="e">
        <f>#REF!+";Hb!$/4"</f>
        <v>#REF!</v>
      </c>
      <c r="FZ34" t="e">
        <f>#REF!+";Hb!$/5"</f>
        <v>#REF!</v>
      </c>
      <c r="GA34" t="e">
        <f>#REF!+";Hb!$/6"</f>
        <v>#REF!</v>
      </c>
      <c r="GB34" t="e">
        <f>#REF!+";Hb!$/7"</f>
        <v>#REF!</v>
      </c>
      <c r="GC34" t="e">
        <f>#REF!+";Hb!$/8"</f>
        <v>#REF!</v>
      </c>
      <c r="GD34" t="e">
        <f>#REF!+";Hb!$/9"</f>
        <v>#REF!</v>
      </c>
      <c r="GE34" t="e">
        <f>#REF!+";Hb!$/:"</f>
        <v>#REF!</v>
      </c>
      <c r="GF34" t="e">
        <f>#REF!+";Hb!$/;"</f>
        <v>#REF!</v>
      </c>
      <c r="GG34" t="e">
        <f>#REF!+";Hb!$/&lt;"</f>
        <v>#REF!</v>
      </c>
      <c r="GH34" t="e">
        <f>#REF!+";Hb!$/="</f>
        <v>#REF!</v>
      </c>
      <c r="GI34" t="e">
        <f>#REF!+";Hb!$/&gt;"</f>
        <v>#REF!</v>
      </c>
      <c r="GJ34" t="e">
        <f>#REF!+";Hb!$/?"</f>
        <v>#REF!</v>
      </c>
      <c r="GK34" t="e">
        <f>#REF!+";Hb!$/@"</f>
        <v>#REF!</v>
      </c>
      <c r="GL34" t="e">
        <f>#REF!+";Hb!$/A"</f>
        <v>#REF!</v>
      </c>
      <c r="GM34" t="e">
        <f>#REF!+";Hb!$/B"</f>
        <v>#REF!</v>
      </c>
      <c r="GN34" t="e">
        <f>#REF!+";Hb!$/C"</f>
        <v>#REF!</v>
      </c>
      <c r="GO34" t="e">
        <f>#REF!+";Hb!$/D"</f>
        <v>#REF!</v>
      </c>
      <c r="GP34" t="e">
        <f>#REF!+";Hb!$/E"</f>
        <v>#REF!</v>
      </c>
      <c r="GQ34" t="e">
        <f>#REF!+";Hb!$/F"</f>
        <v>#REF!</v>
      </c>
      <c r="GR34" t="e">
        <f>#REF!+";Hb!$/G"</f>
        <v>#REF!</v>
      </c>
      <c r="GS34" t="e">
        <f>#REF!+";Hb!$/H"</f>
        <v>#REF!</v>
      </c>
      <c r="GT34" t="e">
        <f>#REF!+";Hb!$/I"</f>
        <v>#REF!</v>
      </c>
      <c r="GU34" t="e">
        <f>#REF!+";Hb!$/J"</f>
        <v>#REF!</v>
      </c>
      <c r="GV34" t="e">
        <f>#REF!+";Hb!$/K"</f>
        <v>#REF!</v>
      </c>
      <c r="GW34" t="e">
        <f>#REF!+";Hb!$/L"</f>
        <v>#REF!</v>
      </c>
      <c r="GX34" t="e">
        <f>#REF!+";Hb!$/M"</f>
        <v>#REF!</v>
      </c>
      <c r="GY34" t="e">
        <f>#REF!+";Hb!$/N"</f>
        <v>#REF!</v>
      </c>
      <c r="GZ34" t="e">
        <f>#REF!+";Hb!$/O"</f>
        <v>#REF!</v>
      </c>
      <c r="HA34" t="e">
        <f>#REF!+";Hb!$/P"</f>
        <v>#REF!</v>
      </c>
      <c r="HB34" t="e">
        <f>#REF!+";Hb!$/Q"</f>
        <v>#REF!</v>
      </c>
      <c r="HC34" t="e">
        <f>#REF!+";Hb!$/R"</f>
        <v>#REF!</v>
      </c>
      <c r="HD34" t="e">
        <f>#REF!+";Hb!$/S"</f>
        <v>#REF!</v>
      </c>
      <c r="HE34" t="e">
        <f>#REF!+";Hb!$/T"</f>
        <v>#REF!</v>
      </c>
      <c r="HF34" t="e">
        <f>#REF!+";Hb!$/U"</f>
        <v>#REF!</v>
      </c>
      <c r="HG34" t="e">
        <f>#REF!+";Hb!$/V"</f>
        <v>#REF!</v>
      </c>
      <c r="HH34" t="e">
        <f>#REF!+";Hb!$/W"</f>
        <v>#REF!</v>
      </c>
      <c r="HI34" t="e">
        <f>#REF!+";Hb!$/X"</f>
        <v>#REF!</v>
      </c>
      <c r="HJ34" t="e">
        <f>#REF!+";Hb!$/Y"</f>
        <v>#REF!</v>
      </c>
      <c r="HK34" t="e">
        <f>#REF!+";Hb!$/Z"</f>
        <v>#REF!</v>
      </c>
      <c r="HL34" t="e">
        <f>#REF!+";Hb!$/["</f>
        <v>#REF!</v>
      </c>
      <c r="HM34" t="e">
        <f>#REF!+";Hb!$/\"</f>
        <v>#REF!</v>
      </c>
      <c r="HN34" t="e">
        <f>#REF!+";Hb!$/]"</f>
        <v>#REF!</v>
      </c>
      <c r="HO34" t="e">
        <f>#REF!+";Hb!$/^"</f>
        <v>#REF!</v>
      </c>
      <c r="HP34" t="e">
        <f>#REF!+";Hb!$/_"</f>
        <v>#REF!</v>
      </c>
      <c r="HQ34" t="e">
        <f>#REF!+";Hb!$/`"</f>
        <v>#REF!</v>
      </c>
      <c r="HR34" t="e">
        <f>#REF!+";Hb!$/a"</f>
        <v>#REF!</v>
      </c>
      <c r="HS34" t="e">
        <f>#REF!+";Hb!$/b"</f>
        <v>#REF!</v>
      </c>
      <c r="HT34" t="e">
        <f>#REF!+";Hb!$/c"</f>
        <v>#REF!</v>
      </c>
      <c r="HU34" t="e">
        <f>#REF!+";Hb!$/d"</f>
        <v>#REF!</v>
      </c>
      <c r="HV34" t="e">
        <f>#REF!+";Hb!$/e"</f>
        <v>#REF!</v>
      </c>
      <c r="HW34" t="e">
        <f>#REF!+";Hb!$/f"</f>
        <v>#REF!</v>
      </c>
      <c r="HX34" t="e">
        <f>#REF!+";Hb!$/g"</f>
        <v>#REF!</v>
      </c>
      <c r="HY34" t="e">
        <f>#REF!+";Hb!$/h"</f>
        <v>#REF!</v>
      </c>
      <c r="HZ34" t="e">
        <f>#REF!+";Hb!$/i"</f>
        <v>#REF!</v>
      </c>
      <c r="IA34" t="e">
        <f>#REF!+";Hb!$/j"</f>
        <v>#REF!</v>
      </c>
      <c r="IB34" t="e">
        <f>#REF!+";Hb!$/k"</f>
        <v>#REF!</v>
      </c>
      <c r="IC34" t="e">
        <f>#REF!+";Hb!$/l"</f>
        <v>#REF!</v>
      </c>
      <c r="ID34" t="e">
        <f>#REF!+";Hb!$/m"</f>
        <v>#REF!</v>
      </c>
      <c r="IE34" t="e">
        <f>#REF!+";Hb!$/n"</f>
        <v>#REF!</v>
      </c>
      <c r="IF34" t="e">
        <f>#REF!+";Hb!$/o"</f>
        <v>#REF!</v>
      </c>
      <c r="IG34" t="e">
        <f>#REF!+";Hb!$/p"</f>
        <v>#REF!</v>
      </c>
      <c r="IH34" t="e">
        <f>#REF!+";Hb!$/q"</f>
        <v>#REF!</v>
      </c>
      <c r="II34" t="e">
        <f>#REF!+";Hb!$/r"</f>
        <v>#REF!</v>
      </c>
      <c r="IJ34" t="e">
        <f>#REF!+";Hb!$/s"</f>
        <v>#REF!</v>
      </c>
      <c r="IK34" t="e">
        <f>#REF!+";Hb!$/t"</f>
        <v>#REF!</v>
      </c>
      <c r="IL34" t="e">
        <f>#REF!+";Hb!$/u"</f>
        <v>#REF!</v>
      </c>
      <c r="IM34" t="e">
        <f>#REF!+";Hb!$/v"</f>
        <v>#REF!</v>
      </c>
      <c r="IN34" t="e">
        <f>#REF!+";Hb!$/w"</f>
        <v>#REF!</v>
      </c>
      <c r="IO34" t="e">
        <f>#REF!+";Hb!$/x"</f>
        <v>#REF!</v>
      </c>
      <c r="IP34" t="e">
        <f>#REF!+";Hb!$/y"</f>
        <v>#REF!</v>
      </c>
      <c r="IQ34" t="e">
        <f>#REF!+";Hb!$/z"</f>
        <v>#REF!</v>
      </c>
      <c r="IR34" t="e">
        <f>#REF!+";Hb!$/{"</f>
        <v>#REF!</v>
      </c>
      <c r="IS34" t="e">
        <f>#REF!+";Hb!$/|"</f>
        <v>#REF!</v>
      </c>
      <c r="IT34" t="e">
        <f>#REF!+";Hb!$/}"</f>
        <v>#REF!</v>
      </c>
      <c r="IU34" t="e">
        <f>#REF!+";Hb!$/~"</f>
        <v>#REF!</v>
      </c>
      <c r="IV34" t="e">
        <f>#REF!+";Hb!$0#"</f>
        <v>#REF!</v>
      </c>
    </row>
    <row r="35" spans="6:256" x14ac:dyDescent="0.25">
      <c r="F35" t="e">
        <f>#REF!+";Hb!$0$"</f>
        <v>#REF!</v>
      </c>
      <c r="G35" t="e">
        <f>#REF!+";Hb!$0%"</f>
        <v>#REF!</v>
      </c>
      <c r="H35" t="e">
        <f>#REF!+";Hb!$0&amp;"</f>
        <v>#REF!</v>
      </c>
      <c r="I35" t="e">
        <f>#REF!+";Hb!$0'"</f>
        <v>#REF!</v>
      </c>
      <c r="J35" t="e">
        <f>#REF!+";Hb!$0("</f>
        <v>#REF!</v>
      </c>
      <c r="K35" t="e">
        <f>#REF!+";Hb!$0)"</f>
        <v>#REF!</v>
      </c>
      <c r="L35" t="e">
        <f>#REF!+";Hb!$0."</f>
        <v>#REF!</v>
      </c>
      <c r="M35" t="e">
        <f>#REF!+";Hb!$0/"</f>
        <v>#REF!</v>
      </c>
      <c r="N35" t="e">
        <f>#REF!+";Hb!$00"</f>
        <v>#REF!</v>
      </c>
      <c r="O35" t="e">
        <f>#REF!+";Hb!$01"</f>
        <v>#REF!</v>
      </c>
      <c r="P35" t="e">
        <f>#REF!+";Hb!$02"</f>
        <v>#REF!</v>
      </c>
      <c r="Q35" t="e">
        <f>#REF!+";Hb!$03"</f>
        <v>#REF!</v>
      </c>
      <c r="R35" t="e">
        <f>#REF!+";Hb!$04"</f>
        <v>#REF!</v>
      </c>
      <c r="S35" t="e">
        <f>#REF!+";Hb!$05"</f>
        <v>#REF!</v>
      </c>
      <c r="T35" t="e">
        <f>#REF!+";Hb!$06"</f>
        <v>#REF!</v>
      </c>
      <c r="U35" t="e">
        <f>#REF!+";Hb!$07"</f>
        <v>#REF!</v>
      </c>
      <c r="V35" t="e">
        <f>#REF!+";Hb!$08"</f>
        <v>#REF!</v>
      </c>
      <c r="W35" t="e">
        <f>#REF!+";Hb!$09"</f>
        <v>#REF!</v>
      </c>
      <c r="X35" t="e">
        <f>#REF!+";Hb!$0:"</f>
        <v>#REF!</v>
      </c>
      <c r="Y35" t="e">
        <f>#REF!+";Hb!$0;"</f>
        <v>#REF!</v>
      </c>
      <c r="Z35" t="e">
        <f>#REF!+";Hb!$0&lt;"</f>
        <v>#REF!</v>
      </c>
      <c r="AA35" t="e">
        <f>#REF!+";Hb!$0="</f>
        <v>#REF!</v>
      </c>
      <c r="AB35" t="e">
        <f>#REF!+";Hb!$0&gt;"</f>
        <v>#REF!</v>
      </c>
      <c r="AC35" t="e">
        <f>#REF!+";Hb!$0?"</f>
        <v>#REF!</v>
      </c>
      <c r="AD35" t="e">
        <f>#REF!+";Hb!$0@"</f>
        <v>#REF!</v>
      </c>
      <c r="AE35" t="e">
        <f>#REF!+";Hb!$0A"</f>
        <v>#REF!</v>
      </c>
      <c r="AF35" t="e">
        <f>#REF!+";Hb!$0B"</f>
        <v>#REF!</v>
      </c>
      <c r="AG35" t="e">
        <f>#REF!+";Hb!$0C"</f>
        <v>#REF!</v>
      </c>
      <c r="AH35" t="e">
        <f>#REF!+";Hb!$0D"</f>
        <v>#REF!</v>
      </c>
      <c r="AI35" t="e">
        <f>#REF!+";Hb!$0E"</f>
        <v>#REF!</v>
      </c>
      <c r="AJ35" t="e">
        <f>#REF!+";Hb!$0F"</f>
        <v>#REF!</v>
      </c>
      <c r="AK35" t="e">
        <f>#REF!+";Hb!$0G"</f>
        <v>#REF!</v>
      </c>
      <c r="AL35" t="e">
        <f>#REF!+";Hb!$0H"</f>
        <v>#REF!</v>
      </c>
      <c r="AM35" t="e">
        <f>#REF!+";Hb!$0I"</f>
        <v>#REF!</v>
      </c>
      <c r="AN35" t="e">
        <f>#REF!+";Hb!$0J"</f>
        <v>#REF!</v>
      </c>
      <c r="AO35" t="e">
        <f>#REF!+";Hb!$0K"</f>
        <v>#REF!</v>
      </c>
      <c r="AP35" t="e">
        <f>#REF!+";Hb!$0L"</f>
        <v>#REF!</v>
      </c>
      <c r="AQ35" t="e">
        <f>#REF!+";Hb!$0M"</f>
        <v>#REF!</v>
      </c>
      <c r="AR35" t="e">
        <f>#REF!+";Hb!$0N"</f>
        <v>#REF!</v>
      </c>
      <c r="AS35" t="e">
        <f>#REF!+";Hb!$0O"</f>
        <v>#REF!</v>
      </c>
      <c r="AT35" t="e">
        <f>#REF!+";Hb!$0P"</f>
        <v>#REF!</v>
      </c>
      <c r="AU35" t="e">
        <f>#REF!+";Hb!$0Q"</f>
        <v>#REF!</v>
      </c>
      <c r="AV35" t="e">
        <f>#REF!+";Hb!$0R"</f>
        <v>#REF!</v>
      </c>
      <c r="AW35" t="e">
        <f>#REF!+";Hb!$0S"</f>
        <v>#REF!</v>
      </c>
      <c r="AX35" t="e">
        <f>#REF!+";Hb!$0T"</f>
        <v>#REF!</v>
      </c>
      <c r="AY35" t="e">
        <f>#REF!+";Hb!$0U"</f>
        <v>#REF!</v>
      </c>
      <c r="AZ35" t="e">
        <f>#REF!+";Hb!$0V"</f>
        <v>#REF!</v>
      </c>
      <c r="BA35" t="e">
        <f>#REF!+";Hb!$0W"</f>
        <v>#REF!</v>
      </c>
      <c r="BB35" t="e">
        <f>#REF!+";Hb!$0X"</f>
        <v>#REF!</v>
      </c>
      <c r="BC35" t="e">
        <f>#REF!+";Hb!$0Y"</f>
        <v>#REF!</v>
      </c>
      <c r="BD35" t="e">
        <f>#REF!+";Hb!$0Z"</f>
        <v>#REF!</v>
      </c>
      <c r="BE35" t="e">
        <f>#REF!+";Hb!$0["</f>
        <v>#REF!</v>
      </c>
      <c r="BF35" t="e">
        <f>#REF!+";Hb!$0\"</f>
        <v>#REF!</v>
      </c>
      <c r="BG35" t="e">
        <f>#REF!+";Hb!$0]"</f>
        <v>#REF!</v>
      </c>
      <c r="BH35" t="e">
        <f>#REF!+";Hb!$0^"</f>
        <v>#REF!</v>
      </c>
      <c r="BI35" t="e">
        <f>#REF!+";Hb!$0_"</f>
        <v>#REF!</v>
      </c>
      <c r="BJ35" t="e">
        <f>#REF!+";Hb!$0`"</f>
        <v>#REF!</v>
      </c>
      <c r="BK35" t="e">
        <f>#REF!+";Hb!$0a"</f>
        <v>#REF!</v>
      </c>
      <c r="BL35" t="e">
        <f>#REF!+";Hb!$0b"</f>
        <v>#REF!</v>
      </c>
      <c r="BM35" t="e">
        <f>#REF!+";Hb!$0c"</f>
        <v>#REF!</v>
      </c>
      <c r="BN35" t="e">
        <f>#REF!+";Hb!$0d"</f>
        <v>#REF!</v>
      </c>
      <c r="BO35" t="e">
        <f>#REF!+";Hb!$0e"</f>
        <v>#REF!</v>
      </c>
      <c r="BP35" t="e">
        <f>#REF!+";Hb!$0f"</f>
        <v>#REF!</v>
      </c>
      <c r="BQ35" t="e">
        <f>#REF!+";Hb!$0g"</f>
        <v>#REF!</v>
      </c>
      <c r="BR35" t="e">
        <f>#REF!+";Hb!$0h"</f>
        <v>#REF!</v>
      </c>
      <c r="BS35" t="e">
        <f>#REF!+";Hb!$0i"</f>
        <v>#REF!</v>
      </c>
      <c r="BT35" t="e">
        <f>#REF!+";Hb!$0j"</f>
        <v>#REF!</v>
      </c>
      <c r="BU35" t="e">
        <f>#REF!+";Hb!$0k"</f>
        <v>#REF!</v>
      </c>
      <c r="BV35" t="e">
        <f>#REF!+";Hb!$0l"</f>
        <v>#REF!</v>
      </c>
      <c r="BW35" t="e">
        <f>#REF!+";Hb!$0m"</f>
        <v>#REF!</v>
      </c>
      <c r="BX35" t="e">
        <f>#REF!+";Hb!$0n"</f>
        <v>#REF!</v>
      </c>
      <c r="BY35" t="e">
        <f>#REF!+";Hb!$0o"</f>
        <v>#REF!</v>
      </c>
      <c r="BZ35" t="e">
        <f>#REF!+";Hb!$0p"</f>
        <v>#REF!</v>
      </c>
      <c r="CA35" t="e">
        <f>#REF!+";Hb!$0q"</f>
        <v>#REF!</v>
      </c>
      <c r="CB35" t="e">
        <f>#REF!+";Hb!$0r"</f>
        <v>#REF!</v>
      </c>
      <c r="CC35" t="e">
        <f>#REF!+";Hb!$0s"</f>
        <v>#REF!</v>
      </c>
      <c r="CD35" t="e">
        <f>#REF!+";Hb!$0t"</f>
        <v>#REF!</v>
      </c>
      <c r="CE35" t="e">
        <f>#REF!+";Hb!$0u"</f>
        <v>#REF!</v>
      </c>
      <c r="CF35" t="e">
        <f>#REF!+";Hb!$0v"</f>
        <v>#REF!</v>
      </c>
      <c r="CG35" t="e">
        <f>#REF!+";Hb!$0w"</f>
        <v>#REF!</v>
      </c>
      <c r="CH35" t="e">
        <f>#REF!+";Hb!$0x"</f>
        <v>#REF!</v>
      </c>
      <c r="CI35" t="e">
        <f>#REF!+";Hb!$0y"</f>
        <v>#REF!</v>
      </c>
      <c r="CJ35" t="e">
        <f>#REF!+";Hb!$0z"</f>
        <v>#REF!</v>
      </c>
      <c r="CK35" t="e">
        <f>#REF!+";Hb!$0{"</f>
        <v>#REF!</v>
      </c>
      <c r="CL35" t="e">
        <f>#REF!+";Hb!$0|"</f>
        <v>#REF!</v>
      </c>
      <c r="CM35" t="e">
        <f>#REF!+";Hb!$0}"</f>
        <v>#REF!</v>
      </c>
      <c r="CN35" t="e">
        <f>#REF!+";Hb!$0~"</f>
        <v>#REF!</v>
      </c>
      <c r="CO35" t="e">
        <f>#REF!+";Hb!$1#"</f>
        <v>#REF!</v>
      </c>
      <c r="CP35" t="e">
        <f>#REF!+";Hb!$1$"</f>
        <v>#REF!</v>
      </c>
      <c r="CQ35" t="e">
        <f>#REF!+";Hb!$1%"</f>
        <v>#REF!</v>
      </c>
      <c r="CR35" t="e">
        <f>#REF!+";Hb!$1&amp;"</f>
        <v>#REF!</v>
      </c>
      <c r="CS35" t="e">
        <f>#REF!+";Hb!$1'"</f>
        <v>#REF!</v>
      </c>
      <c r="CT35" t="e">
        <f>#REF!+";Hb!$1("</f>
        <v>#REF!</v>
      </c>
      <c r="CU35" t="e">
        <f>#REF!+";Hb!$1)"</f>
        <v>#REF!</v>
      </c>
      <c r="CV35" t="e">
        <f>#REF!+";Hb!$1."</f>
        <v>#REF!</v>
      </c>
      <c r="CW35" t="e">
        <f>#REF!+";Hb!$1/"</f>
        <v>#REF!</v>
      </c>
      <c r="CX35" t="e">
        <f>#REF!+";Hb!$10"</f>
        <v>#REF!</v>
      </c>
      <c r="CY35" t="e">
        <f>#REF!+";Hb!$11"</f>
        <v>#REF!</v>
      </c>
      <c r="CZ35" t="e">
        <f>#REF!+";Hb!$12"</f>
        <v>#REF!</v>
      </c>
      <c r="DA35" t="e">
        <f>#REF!+";Hb!$13"</f>
        <v>#REF!</v>
      </c>
      <c r="DB35" t="e">
        <f>#REF!+";Hb!$14"</f>
        <v>#REF!</v>
      </c>
      <c r="DC35" t="e">
        <f>#REF!+";Hb!$15"</f>
        <v>#REF!</v>
      </c>
      <c r="DD35" t="e">
        <f>#REF!+";Hb!$16"</f>
        <v>#REF!</v>
      </c>
      <c r="DE35" t="e">
        <f>#REF!+";Hb!$17"</f>
        <v>#REF!</v>
      </c>
      <c r="DF35" t="e">
        <f>#REF!+";Hb!$18"</f>
        <v>#REF!</v>
      </c>
      <c r="DG35" t="e">
        <f>#REF!+";Hb!$19"</f>
        <v>#REF!</v>
      </c>
      <c r="DH35" t="e">
        <f>#REF!+";Hb!$1:"</f>
        <v>#REF!</v>
      </c>
      <c r="DI35" t="e">
        <f>#REF!+";Hb!$1;"</f>
        <v>#REF!</v>
      </c>
      <c r="DJ35" t="e">
        <f>#REF!+";Hb!$1&lt;"</f>
        <v>#REF!</v>
      </c>
      <c r="DK35" t="e">
        <f>#REF!+";Hb!$1="</f>
        <v>#REF!</v>
      </c>
      <c r="DL35" t="e">
        <f>#REF!+";Hb!$1&gt;"</f>
        <v>#REF!</v>
      </c>
      <c r="DM35" t="e">
        <f>#REF!+";Hb!$1?"</f>
        <v>#REF!</v>
      </c>
      <c r="DN35" t="e">
        <f>#REF!+";Hb!$1@"</f>
        <v>#REF!</v>
      </c>
      <c r="DO35" t="e">
        <f>#REF!+";Hb!$1A"</f>
        <v>#REF!</v>
      </c>
      <c r="DP35" t="e">
        <f>#REF!+";Hb!$1B"</f>
        <v>#REF!</v>
      </c>
      <c r="DQ35" t="e">
        <f>#REF!+";Hb!$1C"</f>
        <v>#REF!</v>
      </c>
      <c r="DR35" t="e">
        <f>#REF!+";Hb!$1D"</f>
        <v>#REF!</v>
      </c>
      <c r="DS35" t="e">
        <f>#REF!+";Hb!$1E"</f>
        <v>#REF!</v>
      </c>
      <c r="DT35" t="e">
        <f>#REF!+";Hb!$1F"</f>
        <v>#REF!</v>
      </c>
      <c r="DU35" t="e">
        <f>#REF!+";Hb!$1G"</f>
        <v>#REF!</v>
      </c>
      <c r="DV35" t="e">
        <f>#REF!+";Hb!$1H"</f>
        <v>#REF!</v>
      </c>
      <c r="DW35" t="e">
        <f>#REF!+";Hb!$1I"</f>
        <v>#REF!</v>
      </c>
      <c r="DX35" t="e">
        <f>#REF!+";Hb!$1J"</f>
        <v>#REF!</v>
      </c>
      <c r="DY35" t="e">
        <f>#REF!+";Hb!$1K"</f>
        <v>#REF!</v>
      </c>
      <c r="DZ35" t="e">
        <f>#REF!+";Hb!$1L"</f>
        <v>#REF!</v>
      </c>
      <c r="EA35" t="e">
        <f>#REF!+";Hb!$1M"</f>
        <v>#REF!</v>
      </c>
      <c r="EB35" t="e">
        <f>#REF!+";Hb!$1N"</f>
        <v>#REF!</v>
      </c>
      <c r="EC35" t="e">
        <f>#REF!+";Hb!$1O"</f>
        <v>#REF!</v>
      </c>
      <c r="ED35" t="e">
        <f>#REF!+";Hb!$1P"</f>
        <v>#REF!</v>
      </c>
      <c r="EE35" t="e">
        <f>#REF!+";Hb!$1Q"</f>
        <v>#REF!</v>
      </c>
      <c r="EF35" t="e">
        <f>#REF!+";Hb!$1R"</f>
        <v>#REF!</v>
      </c>
      <c r="EG35" t="e">
        <f>#REF!+";Hb!$1S"</f>
        <v>#REF!</v>
      </c>
      <c r="EH35" t="e">
        <f>#REF!+";Hb!$1T"</f>
        <v>#REF!</v>
      </c>
      <c r="EI35" t="e">
        <f>#REF!+";Hb!$1U"</f>
        <v>#REF!</v>
      </c>
      <c r="EJ35" t="e">
        <f>#REF!+";Hb!$1V"</f>
        <v>#REF!</v>
      </c>
      <c r="EK35" t="e">
        <f>#REF!+";Hb!$1W"</f>
        <v>#REF!</v>
      </c>
      <c r="EL35" t="e">
        <f>#REF!+";Hb!$1X"</f>
        <v>#REF!</v>
      </c>
      <c r="EM35" t="e">
        <f>#REF!+";Hb!$1Y"</f>
        <v>#REF!</v>
      </c>
      <c r="EN35" t="e">
        <f>#REF!+";Hb!$1Z"</f>
        <v>#REF!</v>
      </c>
      <c r="EO35" t="e">
        <f>#REF!+";Hb!$1["</f>
        <v>#REF!</v>
      </c>
      <c r="EP35" t="e">
        <f>#REF!+";Hb!$1\"</f>
        <v>#REF!</v>
      </c>
      <c r="EQ35" t="e">
        <f>#REF!+";Hb!$1]"</f>
        <v>#REF!</v>
      </c>
      <c r="ER35" t="e">
        <f>#REF!+";Hb!$1^"</f>
        <v>#REF!</v>
      </c>
      <c r="ES35" t="e">
        <f>#REF!+";Hb!$1_"</f>
        <v>#REF!</v>
      </c>
      <c r="ET35" t="e">
        <f>#REF!+";Hb!$1`"</f>
        <v>#REF!</v>
      </c>
      <c r="EU35" t="e">
        <f>#REF!+";Hb!$1a"</f>
        <v>#REF!</v>
      </c>
      <c r="EV35" t="e">
        <f>#REF!+";Hb!$1b"</f>
        <v>#REF!</v>
      </c>
      <c r="EW35" t="e">
        <f>#REF!+";Hb!$1c"</f>
        <v>#REF!</v>
      </c>
      <c r="EX35" t="e">
        <f>#REF!+";Hb!$1d"</f>
        <v>#REF!</v>
      </c>
      <c r="EY35" t="e">
        <f>#REF!+";Hb!$1e"</f>
        <v>#REF!</v>
      </c>
      <c r="EZ35" t="e">
        <f>#REF!+";Hb!$1f"</f>
        <v>#REF!</v>
      </c>
      <c r="FA35" t="e">
        <f>#REF!+";Hb!$1g"</f>
        <v>#REF!</v>
      </c>
      <c r="FB35" t="e">
        <f>#REF!+";Hb!$1h"</f>
        <v>#REF!</v>
      </c>
      <c r="FC35" t="e">
        <f>#REF!+";Hb!$1i"</f>
        <v>#REF!</v>
      </c>
      <c r="FD35" t="e">
        <f>#REF!+";Hb!$1j"</f>
        <v>#REF!</v>
      </c>
      <c r="FE35" t="e">
        <f>#REF!+";Hb!$1k"</f>
        <v>#REF!</v>
      </c>
      <c r="FF35" t="e">
        <f>#REF!+";Hb!$1l"</f>
        <v>#REF!</v>
      </c>
      <c r="FG35" t="e">
        <f>#REF!+";Hb!$1m"</f>
        <v>#REF!</v>
      </c>
      <c r="FH35" t="e">
        <f>#REF!+";Hb!$1n"</f>
        <v>#REF!</v>
      </c>
      <c r="FI35" t="e">
        <f>#REF!+";Hb!$1o"</f>
        <v>#REF!</v>
      </c>
      <c r="FJ35" t="e">
        <f>#REF!+";Hb!$1p"</f>
        <v>#REF!</v>
      </c>
      <c r="FK35" t="e">
        <f>#REF!+";Hb!$1q"</f>
        <v>#REF!</v>
      </c>
      <c r="FL35" t="e">
        <f>#REF!+";Hb!$1r"</f>
        <v>#REF!</v>
      </c>
      <c r="FM35" t="e">
        <f>#REF!+";Hb!$1s"</f>
        <v>#REF!</v>
      </c>
      <c r="FN35" t="e">
        <f>#REF!+";Hb!$1t"</f>
        <v>#REF!</v>
      </c>
      <c r="FO35" t="e">
        <f>#REF!+";Hb!$1u"</f>
        <v>#REF!</v>
      </c>
      <c r="FP35" t="e">
        <f>#REF!+";Hb!$1v"</f>
        <v>#REF!</v>
      </c>
      <c r="FQ35" t="e">
        <f>#REF!+";Hb!$1w"</f>
        <v>#REF!</v>
      </c>
      <c r="FR35" t="e">
        <f>#REF!+";Hb!$1x"</f>
        <v>#REF!</v>
      </c>
      <c r="FS35" t="e">
        <f>#REF!+";Hb!$1y"</f>
        <v>#REF!</v>
      </c>
      <c r="FT35" t="e">
        <f>#REF!+";Hb!$1z"</f>
        <v>#REF!</v>
      </c>
      <c r="FU35" t="e">
        <f>#REF!+";Hb!$1{"</f>
        <v>#REF!</v>
      </c>
      <c r="FV35" t="e">
        <f>#REF!+";Hb!$1|"</f>
        <v>#REF!</v>
      </c>
      <c r="FW35" t="e">
        <f>#REF!+";Hb!$1}"</f>
        <v>#REF!</v>
      </c>
      <c r="FX35" t="e">
        <f>#REF!+";Hb!$1~"</f>
        <v>#REF!</v>
      </c>
      <c r="FY35" t="e">
        <f>#REF!+";Hb!$2#"</f>
        <v>#REF!</v>
      </c>
      <c r="FZ35" t="e">
        <f>#REF!+";Hb!$2$"</f>
        <v>#REF!</v>
      </c>
      <c r="GA35" t="e">
        <f>#REF!+";Hb!$2%"</f>
        <v>#REF!</v>
      </c>
      <c r="GB35" t="e">
        <f>#REF!+";Hb!$2&amp;"</f>
        <v>#REF!</v>
      </c>
      <c r="GC35" t="e">
        <f>#REF!+";Hb!$2'"</f>
        <v>#REF!</v>
      </c>
      <c r="GD35" t="e">
        <f>#REF!+";Hb!$2("</f>
        <v>#REF!</v>
      </c>
      <c r="GE35" t="e">
        <f>#REF!+";Hb!$2)"</f>
        <v>#REF!</v>
      </c>
      <c r="GF35" t="e">
        <f>#REF!+";Hb!$2."</f>
        <v>#REF!</v>
      </c>
      <c r="GG35" t="e">
        <f>#REF!+";Hb!$2/"</f>
        <v>#REF!</v>
      </c>
      <c r="GH35" t="e">
        <f>#REF!+";Hb!$20"</f>
        <v>#REF!</v>
      </c>
      <c r="GI35" t="e">
        <f>#REF!+";Hb!$21"</f>
        <v>#REF!</v>
      </c>
      <c r="GJ35" t="e">
        <f>#REF!+";Hb!$22"</f>
        <v>#REF!</v>
      </c>
      <c r="GK35" t="e">
        <f>#REF!+";Hb!$23"</f>
        <v>#REF!</v>
      </c>
      <c r="GL35" t="e">
        <f>#REF!+";Hb!$24"</f>
        <v>#REF!</v>
      </c>
      <c r="GM35" t="e">
        <f>#REF!+";Hb!$25"</f>
        <v>#REF!</v>
      </c>
      <c r="GN35" t="e">
        <f>#REF!+";Hb!$26"</f>
        <v>#REF!</v>
      </c>
      <c r="GO35" t="e">
        <f>#REF!+";Hb!$27"</f>
        <v>#REF!</v>
      </c>
      <c r="GP35" t="e">
        <f>#REF!+";Hb!$28"</f>
        <v>#REF!</v>
      </c>
      <c r="GQ35" t="e">
        <f>#REF!+";Hb!$29"</f>
        <v>#REF!</v>
      </c>
      <c r="GR35" t="e">
        <f>#REF!+";Hb!$2:"</f>
        <v>#REF!</v>
      </c>
      <c r="GS35" t="e">
        <f>#REF!+";Hb!$2;"</f>
        <v>#REF!</v>
      </c>
      <c r="GT35" t="e">
        <f>#REF!+";Hb!$2&lt;"</f>
        <v>#REF!</v>
      </c>
      <c r="GU35" t="e">
        <f>#REF!+";Hb!$2="</f>
        <v>#REF!</v>
      </c>
      <c r="GV35" t="e">
        <f>#REF!+";Hb!$2&gt;"</f>
        <v>#REF!</v>
      </c>
      <c r="GW35" t="e">
        <f>#REF!+";Hb!$2?"</f>
        <v>#REF!</v>
      </c>
      <c r="GX35" t="e">
        <f>#REF!+";Hb!$2@"</f>
        <v>#REF!</v>
      </c>
      <c r="GY35" t="e">
        <f>#REF!+";Hb!$2A"</f>
        <v>#REF!</v>
      </c>
      <c r="GZ35" t="e">
        <f>#REF!+";Hb!$2B"</f>
        <v>#REF!</v>
      </c>
      <c r="HA35" t="e">
        <f>#REF!+";Hb!$2C"</f>
        <v>#REF!</v>
      </c>
      <c r="HB35" t="e">
        <f>#REF!+";Hb!$2D"</f>
        <v>#REF!</v>
      </c>
      <c r="HC35" t="e">
        <f>#REF!+";Hb!$2E"</f>
        <v>#REF!</v>
      </c>
      <c r="HD35" t="e">
        <f>#REF!+";Hb!$2F"</f>
        <v>#REF!</v>
      </c>
      <c r="HE35" t="e">
        <f>#REF!+";Hb!$2G"</f>
        <v>#REF!</v>
      </c>
      <c r="HF35" t="e">
        <f>#REF!+";Hb!$2H"</f>
        <v>#REF!</v>
      </c>
      <c r="HG35" t="e">
        <f>#REF!+";Hb!$2I"</f>
        <v>#REF!</v>
      </c>
      <c r="HH35" t="e">
        <f>#REF!+";Hb!$2J"</f>
        <v>#REF!</v>
      </c>
      <c r="HI35" t="e">
        <f>#REF!+";Hb!$2K"</f>
        <v>#REF!</v>
      </c>
      <c r="HJ35" t="e">
        <f>#REF!+";Hb!$2L"</f>
        <v>#REF!</v>
      </c>
      <c r="HK35" t="e">
        <f>#REF!+";Hb!$2M"</f>
        <v>#REF!</v>
      </c>
      <c r="HL35" t="e">
        <f>#REF!+";Hb!$2N"</f>
        <v>#REF!</v>
      </c>
      <c r="HM35" t="e">
        <f>#REF!+";Hb!$2O"</f>
        <v>#REF!</v>
      </c>
      <c r="HN35" t="e">
        <f>#REF!+";Hb!$2P"</f>
        <v>#REF!</v>
      </c>
      <c r="HO35" t="e">
        <f>#REF!+";Hb!$2Q"</f>
        <v>#REF!</v>
      </c>
      <c r="HP35" t="e">
        <f>#REF!+";Hb!$2R"</f>
        <v>#REF!</v>
      </c>
      <c r="HQ35" t="e">
        <f>#REF!+";Hb!$2S"</f>
        <v>#REF!</v>
      </c>
      <c r="HR35" t="e">
        <f>#REF!+";Hb!$2T"</f>
        <v>#REF!</v>
      </c>
      <c r="HS35" t="e">
        <f>#REF!+";Hb!$2U"</f>
        <v>#REF!</v>
      </c>
      <c r="HT35" t="e">
        <f>#REF!+";Hb!$2V"</f>
        <v>#REF!</v>
      </c>
      <c r="HU35" t="e">
        <f>#REF!+";Hb!$2W"</f>
        <v>#REF!</v>
      </c>
      <c r="HV35" t="e">
        <f>#REF!+";Hb!$2X"</f>
        <v>#REF!</v>
      </c>
      <c r="HW35" t="e">
        <f>#REF!+";Hb!$2Y"</f>
        <v>#REF!</v>
      </c>
      <c r="HX35" t="e">
        <f>#REF!+";Hb!$2Z"</f>
        <v>#REF!</v>
      </c>
      <c r="HY35" t="e">
        <f>#REF!+";Hb!$2["</f>
        <v>#REF!</v>
      </c>
      <c r="HZ35" t="e">
        <f>#REF!+";Hb!$2\"</f>
        <v>#REF!</v>
      </c>
      <c r="IA35" t="e">
        <f>#REF!+";Hb!$2]"</f>
        <v>#REF!</v>
      </c>
      <c r="IB35" t="e">
        <f>#REF!+";Hb!$2^"</f>
        <v>#REF!</v>
      </c>
      <c r="IC35" t="e">
        <f>#REF!+";Hb!$2_"</f>
        <v>#REF!</v>
      </c>
      <c r="ID35" t="e">
        <f>#REF!+";Hb!$2`"</f>
        <v>#REF!</v>
      </c>
      <c r="IE35" t="e">
        <f>#REF!+";Hb!$2a"</f>
        <v>#REF!</v>
      </c>
      <c r="IF35" t="e">
        <f>#REF!+";Hb!$2b"</f>
        <v>#REF!</v>
      </c>
      <c r="IG35" t="e">
        <f>#REF!+";Hb!$2c"</f>
        <v>#REF!</v>
      </c>
      <c r="IH35" t="e">
        <f>#REF!+";Hb!$2d"</f>
        <v>#REF!</v>
      </c>
      <c r="II35" t="e">
        <f>#REF!+";Hb!$2e"</f>
        <v>#REF!</v>
      </c>
      <c r="IJ35" t="e">
        <f>#REF!+";Hb!$2f"</f>
        <v>#REF!</v>
      </c>
      <c r="IK35" t="e">
        <f>#REF!+";Hb!$2g"</f>
        <v>#REF!</v>
      </c>
      <c r="IL35" t="e">
        <f>#REF!+";Hb!$2h"</f>
        <v>#REF!</v>
      </c>
      <c r="IM35" t="e">
        <f>#REF!+";Hb!$2i"</f>
        <v>#REF!</v>
      </c>
      <c r="IN35" t="e">
        <f>#REF!+";Hb!$2j"</f>
        <v>#REF!</v>
      </c>
      <c r="IO35" t="e">
        <f>#REF!+";Hb!$2k"</f>
        <v>#REF!</v>
      </c>
      <c r="IP35" t="e">
        <f>#REF!+";Hb!$2l"</f>
        <v>#REF!</v>
      </c>
      <c r="IQ35" t="e">
        <f>#REF!+";Hb!$2m"</f>
        <v>#REF!</v>
      </c>
      <c r="IR35" t="e">
        <f>#REF!+";Hb!$2n"</f>
        <v>#REF!</v>
      </c>
      <c r="IS35" t="e">
        <f>#REF!+";Hb!$2o"</f>
        <v>#REF!</v>
      </c>
      <c r="IT35" t="e">
        <f>#REF!+";Hb!$2p"</f>
        <v>#REF!</v>
      </c>
      <c r="IU35" t="e">
        <f>#REF!+";Hb!$2q"</f>
        <v>#REF!</v>
      </c>
      <c r="IV35" t="e">
        <f>#REF!+";Hb!$2r"</f>
        <v>#REF!</v>
      </c>
    </row>
    <row r="36" spans="6:256" x14ac:dyDescent="0.25">
      <c r="F36" t="e">
        <f>#REF!+";Hb!$2s"</f>
        <v>#REF!</v>
      </c>
      <c r="G36" t="e">
        <f>#REF!+";Hb!$2t"</f>
        <v>#REF!</v>
      </c>
      <c r="H36" t="e">
        <f>#REF!+";Hb!$2u"</f>
        <v>#REF!</v>
      </c>
      <c r="I36" t="e">
        <f>#REF!+";Hb!$2v"</f>
        <v>#REF!</v>
      </c>
      <c r="J36" t="e">
        <f>#REF!+";Hb!$2w"</f>
        <v>#REF!</v>
      </c>
      <c r="K36" t="e">
        <f>#REF!+";Hb!$2x"</f>
        <v>#REF!</v>
      </c>
      <c r="L36" t="e">
        <f>#REF!+";Hb!$2y"</f>
        <v>#REF!</v>
      </c>
      <c r="M36" t="e">
        <f>#REF!+";Hb!$2z"</f>
        <v>#REF!</v>
      </c>
      <c r="N36" t="e">
        <f>#REF!+";Hb!$2{"</f>
        <v>#REF!</v>
      </c>
      <c r="O36" t="e">
        <f>#REF!+";Hb!$2|"</f>
        <v>#REF!</v>
      </c>
      <c r="P36" t="e">
        <f>#REF!+";Hb!$2}"</f>
        <v>#REF!</v>
      </c>
      <c r="Q36" t="e">
        <f>#REF!+";Hb!$2~"</f>
        <v>#REF!</v>
      </c>
      <c r="R36" t="e">
        <f>#REF!+";Hb!$3#"</f>
        <v>#REF!</v>
      </c>
      <c r="S36" t="e">
        <f>#REF!+";Hb!$3$"</f>
        <v>#REF!</v>
      </c>
      <c r="T36" t="e">
        <f>#REF!+";Hb!$3%"</f>
        <v>#REF!</v>
      </c>
      <c r="U36" t="e">
        <f>#REF!+";Hb!$3&amp;"</f>
        <v>#REF!</v>
      </c>
      <c r="V36" t="e">
        <f>#REF!+";Hb!$3'"</f>
        <v>#REF!</v>
      </c>
      <c r="W36" t="e">
        <f>#REF!+";Hb!$3("</f>
        <v>#REF!</v>
      </c>
      <c r="X36" t="e">
        <f>#REF!+";Hb!$3)"</f>
        <v>#REF!</v>
      </c>
      <c r="Y36" t="e">
        <f>#REF!+";Hb!$3."</f>
        <v>#REF!</v>
      </c>
      <c r="Z36" t="e">
        <f>#REF!+";Hb!$3/"</f>
        <v>#REF!</v>
      </c>
      <c r="AA36" t="e">
        <f>#REF!+";Hb!$30"</f>
        <v>#REF!</v>
      </c>
      <c r="AB36" t="e">
        <f>#REF!+";Hb!$31"</f>
        <v>#REF!</v>
      </c>
      <c r="AC36" t="e">
        <f>#REF!+";Hb!$32"</f>
        <v>#REF!</v>
      </c>
      <c r="AD36" t="e">
        <f>#REF!+";Hb!$33"</f>
        <v>#REF!</v>
      </c>
      <c r="AE36" t="e">
        <f>#REF!+";Hb!$34"</f>
        <v>#REF!</v>
      </c>
      <c r="AF36" t="e">
        <f>#REF!+";Hb!$35"</f>
        <v>#REF!</v>
      </c>
      <c r="AG36" t="e">
        <f>#REF!+";Hb!$36"</f>
        <v>#REF!</v>
      </c>
      <c r="AH36" t="e">
        <f>#REF!+";Hb!$37"</f>
        <v>#REF!</v>
      </c>
      <c r="AI36" t="e">
        <f>#REF!+";Hb!$38"</f>
        <v>#REF!</v>
      </c>
      <c r="AJ36" t="e">
        <f>#REF!+";Hb!$39"</f>
        <v>#REF!</v>
      </c>
      <c r="AK36" t="e">
        <f>#REF!+";Hb!$3:"</f>
        <v>#REF!</v>
      </c>
      <c r="AL36" t="e">
        <f>#REF!+";Hb!$3;"</f>
        <v>#REF!</v>
      </c>
      <c r="AM36" t="e">
        <f>#REF!+";Hb!$3&lt;"</f>
        <v>#REF!</v>
      </c>
      <c r="AN36" t="e">
        <f>#REF!+";Hb!$3="</f>
        <v>#REF!</v>
      </c>
      <c r="AO36" t="e">
        <f>#REF!+";Hb!$3&gt;"</f>
        <v>#REF!</v>
      </c>
      <c r="AP36" t="e">
        <f>#REF!+";Hb!$3?"</f>
        <v>#REF!</v>
      </c>
      <c r="AQ36" t="e">
        <f>#REF!+";Hb!$3@"</f>
        <v>#REF!</v>
      </c>
      <c r="AR36" t="e">
        <f>#REF!+";Hb!$3A"</f>
        <v>#REF!</v>
      </c>
      <c r="AS36" t="e">
        <f>#REF!+";Hb!$3B"</f>
        <v>#REF!</v>
      </c>
      <c r="AT36" t="e">
        <f>#REF!+";Hb!$3C"</f>
        <v>#REF!</v>
      </c>
      <c r="AU36" t="e">
        <f>#REF!+";Hb!$3D"</f>
        <v>#REF!</v>
      </c>
      <c r="AV36" t="e">
        <f>#REF!+";Hb!$3E"</f>
        <v>#REF!</v>
      </c>
      <c r="AW36" t="e">
        <f>#REF!+";Hb!$3F"</f>
        <v>#REF!</v>
      </c>
      <c r="AX36" t="e">
        <f>#REF!+";Hb!$3G"</f>
        <v>#REF!</v>
      </c>
      <c r="AY36" t="e">
        <f>#REF!+";Hb!$3H"</f>
        <v>#REF!</v>
      </c>
      <c r="AZ36" t="e">
        <f>#REF!+";Hb!$3I"</f>
        <v>#REF!</v>
      </c>
      <c r="BA36" t="e">
        <f>#REF!+";Hb!$3J"</f>
        <v>#REF!</v>
      </c>
      <c r="BB36" t="e">
        <f>#REF!+";Hb!$3K"</f>
        <v>#REF!</v>
      </c>
      <c r="BC36" t="e">
        <f>#REF!+";Hb!$3L"</f>
        <v>#REF!</v>
      </c>
      <c r="BD36" t="e">
        <f>#REF!+";Hb!$3M"</f>
        <v>#REF!</v>
      </c>
      <c r="BE36" t="e">
        <f>#REF!+";Hb!$3N"</f>
        <v>#REF!</v>
      </c>
      <c r="BF36" t="e">
        <f>#REF!+";Hb!$3O"</f>
        <v>#REF!</v>
      </c>
      <c r="BG36" t="e">
        <f>#REF!+";Hb!$3P"</f>
        <v>#REF!</v>
      </c>
      <c r="BH36" t="e">
        <f>#REF!+";Hb!$3Q"</f>
        <v>#REF!</v>
      </c>
      <c r="BI36" t="e">
        <f>#REF!+";Hb!$3R"</f>
        <v>#REF!</v>
      </c>
      <c r="BJ36" t="e">
        <f>#REF!+";Hb!$3S"</f>
        <v>#REF!</v>
      </c>
      <c r="BK36" t="e">
        <f>#REF!+";Hb!$3T"</f>
        <v>#REF!</v>
      </c>
      <c r="BL36" t="e">
        <f>#REF!+";Hb!$3U"</f>
        <v>#REF!</v>
      </c>
      <c r="BM36" t="e">
        <f>#REF!+";Hb!$3V"</f>
        <v>#REF!</v>
      </c>
      <c r="BN36" t="e">
        <f>#REF!+";Hb!$3W"</f>
        <v>#REF!</v>
      </c>
      <c r="BO36" t="e">
        <f>#REF!+";Hb!$3X"</f>
        <v>#REF!</v>
      </c>
      <c r="BP36" t="e">
        <f>#REF!+";Hb!$3Y"</f>
        <v>#REF!</v>
      </c>
      <c r="BQ36" t="e">
        <f>#REF!+";Hb!$3Z"</f>
        <v>#REF!</v>
      </c>
      <c r="BR36" t="e">
        <f>#REF!+";Hb!$3["</f>
        <v>#REF!</v>
      </c>
      <c r="BS36" t="e">
        <f>#REF!+";Hb!$3\"</f>
        <v>#REF!</v>
      </c>
      <c r="BT36" t="e">
        <f>#REF!+";Hb!$3]"</f>
        <v>#REF!</v>
      </c>
      <c r="BU36" t="e">
        <f>#REF!+";Hb!$3^"</f>
        <v>#REF!</v>
      </c>
      <c r="BV36" t="e">
        <f>#REF!+";Hb!$3_"</f>
        <v>#REF!</v>
      </c>
      <c r="BW36" t="e">
        <f>#REF!+";Hb!$3`"</f>
        <v>#REF!</v>
      </c>
      <c r="BX36" t="e">
        <f>#REF!+";Hb!$3a"</f>
        <v>#REF!</v>
      </c>
      <c r="BY36" t="e">
        <f>#REF!+";Hb!$3b"</f>
        <v>#REF!</v>
      </c>
      <c r="BZ36" t="e">
        <f>#REF!+";Hb!$3c"</f>
        <v>#REF!</v>
      </c>
      <c r="CA36" t="e">
        <f>#REF!+";Hb!$3d"</f>
        <v>#REF!</v>
      </c>
      <c r="CB36" t="e">
        <f>#REF!+";Hb!$3e"</f>
        <v>#REF!</v>
      </c>
      <c r="CC36" t="e">
        <f>#REF!+";Hb!$3f"</f>
        <v>#REF!</v>
      </c>
      <c r="CD36" t="e">
        <f>#REF!+";Hb!$3g"</f>
        <v>#REF!</v>
      </c>
      <c r="CE36" t="e">
        <f>#REF!+";Hb!$3h"</f>
        <v>#REF!</v>
      </c>
      <c r="CF36" t="e">
        <f>#REF!+";Hb!$3i"</f>
        <v>#REF!</v>
      </c>
      <c r="CG36" t="e">
        <f>#REF!+";Hb!$3j"</f>
        <v>#REF!</v>
      </c>
      <c r="CH36" t="e">
        <f>#REF!+";Hb!$3k"</f>
        <v>#REF!</v>
      </c>
      <c r="CI36" t="e">
        <f>#REF!+";Hb!$3l"</f>
        <v>#REF!</v>
      </c>
      <c r="CJ36" t="e">
        <f>#REF!+";Hb!$3m"</f>
        <v>#REF!</v>
      </c>
      <c r="CK36" t="e">
        <f>#REF!+";Hb!$3n"</f>
        <v>#REF!</v>
      </c>
      <c r="CL36" t="e">
        <f>#REF!+";Hb!$3o"</f>
        <v>#REF!</v>
      </c>
      <c r="CM36" t="e">
        <f>#REF!+";Hb!$3p"</f>
        <v>#REF!</v>
      </c>
      <c r="CN36" t="e">
        <f>#REF!+";Hb!$3q"</f>
        <v>#REF!</v>
      </c>
      <c r="CO36" t="e">
        <f>#REF!+";Hb!$3r"</f>
        <v>#REF!</v>
      </c>
      <c r="CP36" t="e">
        <f>#REF!+";Hb!$3s"</f>
        <v>#REF!</v>
      </c>
      <c r="CQ36" t="e">
        <f>#REF!+";Hb!$3t"</f>
        <v>#REF!</v>
      </c>
      <c r="CR36" t="e">
        <f>#REF!+";Hb!$3u"</f>
        <v>#REF!</v>
      </c>
      <c r="CS36" t="e">
        <f>#REF!+";Hb!$3v"</f>
        <v>#REF!</v>
      </c>
      <c r="CT36" t="e">
        <f>#REF!+";Hb!$3w"</f>
        <v>#REF!</v>
      </c>
      <c r="CU36" t="e">
        <f>#REF!+";Hb!$3x"</f>
        <v>#REF!</v>
      </c>
      <c r="CV36" t="e">
        <f>#REF!+";Hb!$3y"</f>
        <v>#REF!</v>
      </c>
      <c r="CW36" t="e">
        <f>#REF!+";Hb!$3z"</f>
        <v>#REF!</v>
      </c>
      <c r="CX36" t="e">
        <f>#REF!+";Hb!$3{"</f>
        <v>#REF!</v>
      </c>
      <c r="CY36" t="e">
        <f>#REF!+";Hb!$3|"</f>
        <v>#REF!</v>
      </c>
      <c r="CZ36" t="e">
        <f>#REF!+";Hb!$3}"</f>
        <v>#REF!</v>
      </c>
      <c r="DA36" t="e">
        <f>#REF!+";Hb!$3~"</f>
        <v>#REF!</v>
      </c>
      <c r="DB36" t="e">
        <f>#REF!+";Hb!$4#"</f>
        <v>#REF!</v>
      </c>
      <c r="DC36" t="e">
        <f>#REF!+";Hb!$4$"</f>
        <v>#REF!</v>
      </c>
      <c r="DD36" t="e">
        <f>#REF!+";Hb!$4%"</f>
        <v>#REF!</v>
      </c>
      <c r="DE36" t="e">
        <f>#REF!+";Hb!$4&amp;"</f>
        <v>#REF!</v>
      </c>
      <c r="DF36" t="e">
        <f>#REF!+";Hb!$4'"</f>
        <v>#REF!</v>
      </c>
      <c r="DG36" t="e">
        <f>#REF!+";Hb!$4("</f>
        <v>#REF!</v>
      </c>
      <c r="DH36" t="e">
        <f>#REF!+";Hb!$4)"</f>
        <v>#REF!</v>
      </c>
      <c r="DI36" t="e">
        <f>#REF!+";Hb!$4."</f>
        <v>#REF!</v>
      </c>
      <c r="DJ36" t="e">
        <f>#REF!+";Hb!$4/"</f>
        <v>#REF!</v>
      </c>
      <c r="DK36" t="e">
        <f>#REF!+";Hb!$40"</f>
        <v>#REF!</v>
      </c>
      <c r="DL36" t="e">
        <f>#REF!+";Hb!$41"</f>
        <v>#REF!</v>
      </c>
      <c r="DM36" t="e">
        <f>#REF!+";Hb!$42"</f>
        <v>#REF!</v>
      </c>
      <c r="DN36" t="e">
        <f>#REF!+";Hb!$43"</f>
        <v>#REF!</v>
      </c>
      <c r="DO36" t="e">
        <f>#REF!+";Hb!$44"</f>
        <v>#REF!</v>
      </c>
      <c r="DP36" t="e">
        <f>#REF!+";Hb!$45"</f>
        <v>#REF!</v>
      </c>
      <c r="DQ36" t="e">
        <f>#REF!+";Hb!$46"</f>
        <v>#REF!</v>
      </c>
      <c r="DR36" t="e">
        <f>#REF!+";Hb!$47"</f>
        <v>#REF!</v>
      </c>
      <c r="DS36" t="e">
        <f>#REF!+";Hb!$48"</f>
        <v>#REF!</v>
      </c>
      <c r="DT36" t="e">
        <f>#REF!+";Hb!$49"</f>
        <v>#REF!</v>
      </c>
      <c r="DU36" t="e">
        <f>#REF!+";Hb!$4:"</f>
        <v>#REF!</v>
      </c>
      <c r="DV36" t="e">
        <f>#REF!+";Hb!$4;"</f>
        <v>#REF!</v>
      </c>
      <c r="DW36" t="e">
        <f>#REF!+";Hb!$4&lt;"</f>
        <v>#REF!</v>
      </c>
      <c r="DX36" t="e">
        <f>#REF!+";Hb!$4="</f>
        <v>#REF!</v>
      </c>
      <c r="DY36" t="e">
        <f>#REF!+";Hb!$4&gt;"</f>
        <v>#REF!</v>
      </c>
      <c r="DZ36" t="e">
        <f>#REF!+";Hb!$4?"</f>
        <v>#REF!</v>
      </c>
      <c r="EA36" t="e">
        <f>#REF!+";Hb!$4@"</f>
        <v>#REF!</v>
      </c>
      <c r="EB36" t="e">
        <f>#REF!+";Hb!$4A"</f>
        <v>#REF!</v>
      </c>
      <c r="EC36" t="e">
        <f>#REF!+";Hb!$4B"</f>
        <v>#REF!</v>
      </c>
      <c r="ED36" t="e">
        <f>#REF!+";Hb!$4C"</f>
        <v>#REF!</v>
      </c>
      <c r="EE36" t="e">
        <f>#REF!+";Hb!$4D"</f>
        <v>#REF!</v>
      </c>
      <c r="EF36" t="e">
        <f>#REF!+";Hb!$4E"</f>
        <v>#REF!</v>
      </c>
      <c r="EG36" t="e">
        <f>#REF!+";Hb!$4F"</f>
        <v>#REF!</v>
      </c>
      <c r="EH36" t="e">
        <f>#REF!+";Hb!$4G"</f>
        <v>#REF!</v>
      </c>
      <c r="EI36" t="e">
        <f>#REF!+";Hb!$4H"</f>
        <v>#REF!</v>
      </c>
      <c r="EJ36" t="e">
        <f>#REF!+";Hb!$4I"</f>
        <v>#REF!</v>
      </c>
      <c r="EK36" t="e">
        <f>#REF!+";Hb!$4J"</f>
        <v>#REF!</v>
      </c>
      <c r="EL36" t="e">
        <f>#REF!+";Hb!$4K"</f>
        <v>#REF!</v>
      </c>
      <c r="EM36" t="e">
        <f>#REF!+";Hb!$4L"</f>
        <v>#REF!</v>
      </c>
      <c r="EN36" t="e">
        <f>#REF!+";Hb!$4M"</f>
        <v>#REF!</v>
      </c>
      <c r="EO36" t="e">
        <f>#REF!+";Hb!$4N"</f>
        <v>#REF!</v>
      </c>
      <c r="EP36" t="e">
        <f>#REF!+";Hb!$4O"</f>
        <v>#REF!</v>
      </c>
      <c r="EQ36" t="e">
        <f>#REF!+";Hb!$4P"</f>
        <v>#REF!</v>
      </c>
      <c r="ER36" t="e">
        <f>#REF!+";Hb!$4Q"</f>
        <v>#REF!</v>
      </c>
      <c r="ES36" t="e">
        <f>#REF!+";Hb!$4R"</f>
        <v>#REF!</v>
      </c>
      <c r="ET36" t="e">
        <f>#REF!+";Hb!$4S"</f>
        <v>#REF!</v>
      </c>
      <c r="EU36" t="e">
        <f>#REF!+";Hb!$4T"</f>
        <v>#REF!</v>
      </c>
      <c r="EV36" t="e">
        <f>#REF!+";Hb!$4U"</f>
        <v>#REF!</v>
      </c>
      <c r="EW36" t="e">
        <f>#REF!+";Hb!$4V"</f>
        <v>#REF!</v>
      </c>
      <c r="EX36" t="e">
        <f>#REF!+";Hb!$4W"</f>
        <v>#REF!</v>
      </c>
      <c r="EY36" t="e">
        <f>#REF!+";Hb!$4X"</f>
        <v>#REF!</v>
      </c>
      <c r="EZ36" t="e">
        <f>#REF!+";Hb!$4Y"</f>
        <v>#REF!</v>
      </c>
      <c r="FA36" t="e">
        <f>#REF!+";Hb!$4Z"</f>
        <v>#REF!</v>
      </c>
      <c r="FB36" t="e">
        <f>#REF!+";Hb!$4["</f>
        <v>#REF!</v>
      </c>
      <c r="FC36" t="e">
        <f>#REF!+";Hb!$4\"</f>
        <v>#REF!</v>
      </c>
      <c r="FD36" t="e">
        <f>#REF!+";Hb!$4]"</f>
        <v>#REF!</v>
      </c>
      <c r="FE36" t="e">
        <f>#REF!+";Hb!$4^"</f>
        <v>#REF!</v>
      </c>
      <c r="FF36" t="e">
        <f>#REF!+";Hb!$4_"</f>
        <v>#REF!</v>
      </c>
      <c r="FG36" t="e">
        <f>#REF!+";Hb!$4`"</f>
        <v>#REF!</v>
      </c>
      <c r="FH36" t="e">
        <f>#REF!+";Hb!$4a"</f>
        <v>#REF!</v>
      </c>
      <c r="FI36" t="e">
        <f>#REF!+";Hb!$4b"</f>
        <v>#REF!</v>
      </c>
      <c r="FJ36" t="e">
        <f>#REF!+";Hb!$4c"</f>
        <v>#REF!</v>
      </c>
      <c r="FK36" t="e">
        <f>#REF!+";Hb!$4d"</f>
        <v>#REF!</v>
      </c>
      <c r="FL36" t="e">
        <f>#REF!+";Hb!$4e"</f>
        <v>#REF!</v>
      </c>
      <c r="FM36" t="e">
        <f>#REF!+";Hb!$4f"</f>
        <v>#REF!</v>
      </c>
      <c r="FN36" t="e">
        <f>#REF!+";Hb!$4g"</f>
        <v>#REF!</v>
      </c>
      <c r="FO36" t="e">
        <f>#REF!+";Hb!$4h"</f>
        <v>#REF!</v>
      </c>
      <c r="FP36" t="e">
        <f>#REF!+";Hb!$4i"</f>
        <v>#REF!</v>
      </c>
      <c r="FQ36" t="e">
        <f>#REF!+";Hb!$4j"</f>
        <v>#REF!</v>
      </c>
      <c r="FR36" t="e">
        <f>#REF!+";Hb!$4k"</f>
        <v>#REF!</v>
      </c>
      <c r="FS36" t="e">
        <f>#REF!+";Hb!$4l"</f>
        <v>#REF!</v>
      </c>
      <c r="FT36" t="e">
        <f>#REF!+";Hb!$4m"</f>
        <v>#REF!</v>
      </c>
      <c r="FU36" t="e">
        <f>#REF!+";Hb!$4n"</f>
        <v>#REF!</v>
      </c>
      <c r="FV36" t="e">
        <f>#REF!+";Hb!$4o"</f>
        <v>#REF!</v>
      </c>
      <c r="FW36" t="e">
        <f>#REF!+";Hb!$4p"</f>
        <v>#REF!</v>
      </c>
      <c r="FX36" t="e">
        <f>#REF!+";Hb!$4q"</f>
        <v>#REF!</v>
      </c>
      <c r="FY36" t="e">
        <f>#REF!+";Hb!$4r"</f>
        <v>#REF!</v>
      </c>
      <c r="FZ36" t="e">
        <f>#REF!+";Hb!$4s"</f>
        <v>#REF!</v>
      </c>
      <c r="GA36" t="e">
        <f>#REF!+";Hb!$4t"</f>
        <v>#REF!</v>
      </c>
      <c r="GB36" t="e">
        <f>#REF!+";Hb!$4u"</f>
        <v>#REF!</v>
      </c>
      <c r="GC36" t="e">
        <f>#REF!+";Hb!$4v"</f>
        <v>#REF!</v>
      </c>
      <c r="GD36" t="e">
        <f>#REF!+";Hb!$4w"</f>
        <v>#REF!</v>
      </c>
      <c r="GE36" t="e">
        <f>#REF!+";Hb!$4x"</f>
        <v>#REF!</v>
      </c>
      <c r="GF36" t="e">
        <f>#REF!+";Hb!$4y"</f>
        <v>#REF!</v>
      </c>
      <c r="GG36" t="e">
        <f>#REF!+";Hb!$4z"</f>
        <v>#REF!</v>
      </c>
      <c r="GH36" t="e">
        <f>#REF!+";Hb!$4{"</f>
        <v>#REF!</v>
      </c>
      <c r="GI36" t="e">
        <f>#REF!+";Hb!$4|"</f>
        <v>#REF!</v>
      </c>
      <c r="GJ36" t="e">
        <f>#REF!+";Hb!$4}"</f>
        <v>#REF!</v>
      </c>
      <c r="GK36" t="e">
        <f>#REF!+";Hb!$4~"</f>
        <v>#REF!</v>
      </c>
      <c r="GL36" t="e">
        <f>#REF!+";Hb!$5#"</f>
        <v>#REF!</v>
      </c>
      <c r="GM36" t="e">
        <f>#REF!+";Hb!$5$"</f>
        <v>#REF!</v>
      </c>
      <c r="GN36" t="e">
        <f>#REF!+";Hb!$5%"</f>
        <v>#REF!</v>
      </c>
      <c r="GO36" t="e">
        <f>#REF!+";Hb!$5&amp;"</f>
        <v>#REF!</v>
      </c>
      <c r="GP36" t="e">
        <f>#REF!+";Hb!$5'"</f>
        <v>#REF!</v>
      </c>
      <c r="GQ36" t="e">
        <f>#REF!+";Hb!$5("</f>
        <v>#REF!</v>
      </c>
      <c r="GR36" t="e">
        <f>#REF!+";Hb!$5)"</f>
        <v>#REF!</v>
      </c>
      <c r="GS36" t="e">
        <f>#REF!+";Hb!$5."</f>
        <v>#REF!</v>
      </c>
      <c r="GT36" t="e">
        <f>#REF!+";Hb!$5/"</f>
        <v>#REF!</v>
      </c>
      <c r="GU36" t="e">
        <f>#REF!+";Hb!$50"</f>
        <v>#REF!</v>
      </c>
      <c r="GV36" t="e">
        <f>#REF!+";Hb!$51"</f>
        <v>#REF!</v>
      </c>
      <c r="GW36" t="e">
        <f>#REF!+";Hb!$52"</f>
        <v>#REF!</v>
      </c>
      <c r="GX36" t="e">
        <f>#REF!+";Hb!$53"</f>
        <v>#REF!</v>
      </c>
      <c r="GY36" t="e">
        <f>#REF!+";Hb!$54"</f>
        <v>#REF!</v>
      </c>
      <c r="GZ36" t="e">
        <f>#REF!+";Hb!$55"</f>
        <v>#REF!</v>
      </c>
      <c r="HA36" t="e">
        <f>#REF!+";Hb!$56"</f>
        <v>#REF!</v>
      </c>
      <c r="HB36" t="e">
        <f>#REF!+";Hb!$57"</f>
        <v>#REF!</v>
      </c>
      <c r="HC36" t="e">
        <f>#REF!+";Hb!$58"</f>
        <v>#REF!</v>
      </c>
      <c r="HD36" t="e">
        <f>#REF!+";Hb!$59"</f>
        <v>#REF!</v>
      </c>
      <c r="HE36" t="e">
        <f>#REF!+";Hb!$5:"</f>
        <v>#REF!</v>
      </c>
      <c r="HF36" t="e">
        <f>#REF!+";Hb!$5;"</f>
        <v>#REF!</v>
      </c>
      <c r="HG36" t="e">
        <f>#REF!+";Hb!$5&lt;"</f>
        <v>#REF!</v>
      </c>
      <c r="HH36" t="e">
        <f>#REF!+";Hb!$5="</f>
        <v>#REF!</v>
      </c>
      <c r="HI36" t="e">
        <f>#REF!+";Hb!$5&gt;"</f>
        <v>#REF!</v>
      </c>
      <c r="HJ36" t="e">
        <f>#REF!+";Hb!$5?"</f>
        <v>#REF!</v>
      </c>
      <c r="HK36" t="e">
        <f>#REF!+";Hb!$5@"</f>
        <v>#REF!</v>
      </c>
      <c r="HL36" t="e">
        <f>#REF!+";Hb!$5A"</f>
        <v>#REF!</v>
      </c>
      <c r="HM36" t="e">
        <f>#REF!+";Hb!$5B"</f>
        <v>#REF!</v>
      </c>
      <c r="HN36" t="e">
        <f>#REF!+";Hb!$5C"</f>
        <v>#REF!</v>
      </c>
      <c r="HO36" t="e">
        <f>#REF!+";Hb!$5D"</f>
        <v>#REF!</v>
      </c>
      <c r="HP36" t="e">
        <f>#REF!+";Hb!$5E"</f>
        <v>#REF!</v>
      </c>
      <c r="HQ36" t="e">
        <f>#REF!+";Hb!$5F"</f>
        <v>#REF!</v>
      </c>
      <c r="HR36" t="e">
        <f>#REF!+";Hb!$5G"</f>
        <v>#REF!</v>
      </c>
      <c r="HS36" t="e">
        <f>#REF!+";Hb!$5H"</f>
        <v>#REF!</v>
      </c>
      <c r="HT36" t="e">
        <f>#REF!+";Hb!$5I"</f>
        <v>#REF!</v>
      </c>
      <c r="HU36" t="e">
        <f>#REF!+";Hb!$5J"</f>
        <v>#REF!</v>
      </c>
      <c r="HV36" t="e">
        <f>#REF!+";Hb!$5K"</f>
        <v>#REF!</v>
      </c>
      <c r="HW36" t="e">
        <f>#REF!+";Hb!$5L"</f>
        <v>#REF!</v>
      </c>
      <c r="HX36" t="e">
        <f>#REF!+";Hb!$5M"</f>
        <v>#REF!</v>
      </c>
      <c r="HY36" t="e">
        <f>#REF!+";Hb!$5N"</f>
        <v>#REF!</v>
      </c>
      <c r="HZ36" t="e">
        <f>#REF!+";Hb!$5O"</f>
        <v>#REF!</v>
      </c>
      <c r="IA36" t="e">
        <f>#REF!+";Hb!$5P"</f>
        <v>#REF!</v>
      </c>
      <c r="IB36" t="e">
        <f>#REF!+";Hb!$5Q"</f>
        <v>#REF!</v>
      </c>
      <c r="IC36" t="e">
        <f>#REF!+";Hb!$5R"</f>
        <v>#REF!</v>
      </c>
      <c r="ID36" t="e">
        <f>#REF!+";Hb!$5S"</f>
        <v>#REF!</v>
      </c>
      <c r="IE36" t="e">
        <f>#REF!+";Hb!$5T"</f>
        <v>#REF!</v>
      </c>
      <c r="IF36" t="e">
        <f>#REF!+";Hb!$5U"</f>
        <v>#REF!</v>
      </c>
      <c r="IG36" t="e">
        <f>#REF!+";Hb!$5V"</f>
        <v>#REF!</v>
      </c>
      <c r="IH36" t="e">
        <f>#REF!+";Hb!$5W"</f>
        <v>#REF!</v>
      </c>
      <c r="II36" t="e">
        <f>#REF!+";Hb!$5X"</f>
        <v>#REF!</v>
      </c>
      <c r="IJ36" t="e">
        <f>#REF!+";Hb!$5Y"</f>
        <v>#REF!</v>
      </c>
      <c r="IK36" t="e">
        <f>#REF!+";Hb!$5Z"</f>
        <v>#REF!</v>
      </c>
      <c r="IL36" t="e">
        <f>#REF!+";Hb!$5["</f>
        <v>#REF!</v>
      </c>
      <c r="IM36" t="e">
        <f>#REF!+";Hb!$5\"</f>
        <v>#REF!</v>
      </c>
      <c r="IN36" t="e">
        <f>#REF!+";Hb!$5]"</f>
        <v>#REF!</v>
      </c>
      <c r="IO36" t="e">
        <f>#REF!+";Hb!$5^"</f>
        <v>#REF!</v>
      </c>
      <c r="IP36" t="e">
        <f>#REF!+";Hb!$5_"</f>
        <v>#REF!</v>
      </c>
      <c r="IQ36" t="e">
        <f>#REF!+";Hb!$5`"</f>
        <v>#REF!</v>
      </c>
      <c r="IR36" t="e">
        <f>#REF!+";Hb!$5a"</f>
        <v>#REF!</v>
      </c>
      <c r="IS36" t="e">
        <f>#REF!+";Hb!$5b"</f>
        <v>#REF!</v>
      </c>
      <c r="IT36" t="e">
        <f>#REF!+";Hb!$5c"</f>
        <v>#REF!</v>
      </c>
      <c r="IU36" t="e">
        <f>#REF!+";Hb!$5d"</f>
        <v>#REF!</v>
      </c>
      <c r="IV36" t="e">
        <f>#REF!+";Hb!$5e"</f>
        <v>#REF!</v>
      </c>
    </row>
    <row r="37" spans="6:256" x14ac:dyDescent="0.25">
      <c r="F37" t="e">
        <f>#REF!+";Hb!$5f"</f>
        <v>#REF!</v>
      </c>
      <c r="G37" t="e">
        <f>#REF!+";Hb!$5g"</f>
        <v>#REF!</v>
      </c>
      <c r="H37" t="e">
        <f>#REF!+";Hb!$5h"</f>
        <v>#REF!</v>
      </c>
      <c r="I37" t="e">
        <f>#REF!+";Hb!$5i"</f>
        <v>#REF!</v>
      </c>
      <c r="J37" t="e">
        <f>#REF!+";Hb!$5j"</f>
        <v>#REF!</v>
      </c>
      <c r="K37" t="e">
        <f>#REF!+";Hb!$5k"</f>
        <v>#REF!</v>
      </c>
      <c r="L37" t="e">
        <f>#REF!+";Hb!$5l"</f>
        <v>#REF!</v>
      </c>
      <c r="M37" t="e">
        <f>#REF!+";Hb!$5m"</f>
        <v>#REF!</v>
      </c>
      <c r="N37" t="e">
        <f>#REF!+";Hb!$5n"</f>
        <v>#REF!</v>
      </c>
      <c r="O37" t="e">
        <f>#REF!+";Hb!$5o"</f>
        <v>#REF!</v>
      </c>
      <c r="P37" t="e">
        <f>#REF!+";Hb!$5p"</f>
        <v>#REF!</v>
      </c>
      <c r="Q37" t="e">
        <f>#REF!+";Hb!$5q"</f>
        <v>#REF!</v>
      </c>
      <c r="R37" t="e">
        <f>#REF!+";Hb!$5r"</f>
        <v>#REF!</v>
      </c>
      <c r="S37" t="e">
        <f>#REF!+";Hb!$5s"</f>
        <v>#REF!</v>
      </c>
      <c r="T37" t="e">
        <f>#REF!+";Hb!$5t"</f>
        <v>#REF!</v>
      </c>
      <c r="U37" t="e">
        <f>#REF!+";Hb!$5u"</f>
        <v>#REF!</v>
      </c>
      <c r="V37" t="e">
        <f>#REF!+";Hb!$5v"</f>
        <v>#REF!</v>
      </c>
      <c r="W37" t="e">
        <f>#REF!+";Hb!$5w"</f>
        <v>#REF!</v>
      </c>
      <c r="X37" t="e">
        <f>#REF!+";Hb!$5x"</f>
        <v>#REF!</v>
      </c>
      <c r="Y37" t="e">
        <f>#REF!+";Hb!$5y"</f>
        <v>#REF!</v>
      </c>
      <c r="Z37" t="e">
        <f>#REF!+";Hb!$5z"</f>
        <v>#REF!</v>
      </c>
      <c r="AA37" t="e">
        <f>#REF!+";Hb!$5{"</f>
        <v>#REF!</v>
      </c>
      <c r="AB37" t="e">
        <f>#REF!+";Hb!$5|"</f>
        <v>#REF!</v>
      </c>
      <c r="AC37" t="e">
        <f>#REF!+";Hb!$5}"</f>
        <v>#REF!</v>
      </c>
      <c r="AD37" t="e">
        <f>#REF!+";Hb!$5~"</f>
        <v>#REF!</v>
      </c>
      <c r="AE37" t="e">
        <f>#REF!+";Hb!$6#"</f>
        <v>#REF!</v>
      </c>
      <c r="AF37" t="e">
        <f>#REF!+";Hb!$6$"</f>
        <v>#REF!</v>
      </c>
      <c r="AG37" t="e">
        <f>#REF!+";Hb!$6%"</f>
        <v>#REF!</v>
      </c>
      <c r="AH37" t="e">
        <f>#REF!+";Hb!$6&amp;"</f>
        <v>#REF!</v>
      </c>
      <c r="AI37" t="e">
        <f>#REF!+";Hb!$6'"</f>
        <v>#REF!</v>
      </c>
      <c r="AJ37" t="e">
        <f>#REF!+";Hb!$6("</f>
        <v>#REF!</v>
      </c>
      <c r="AK37" t="e">
        <f>#REF!+";Hb!$6)"</f>
        <v>#REF!</v>
      </c>
      <c r="AL37" t="e">
        <f>#REF!+";Hb!$6."</f>
        <v>#REF!</v>
      </c>
      <c r="AM37" t="e">
        <f>#REF!+";Hb!$6/"</f>
        <v>#REF!</v>
      </c>
      <c r="AN37" t="e">
        <f>#REF!+";Hb!$60"</f>
        <v>#REF!</v>
      </c>
      <c r="AO37" t="e">
        <f>#REF!+";Hb!$61"</f>
        <v>#REF!</v>
      </c>
      <c r="AP37" t="e">
        <f>#REF!+";Hb!$62"</f>
        <v>#REF!</v>
      </c>
      <c r="AQ37" t="e">
        <f>#REF!+";Hb!$63"</f>
        <v>#REF!</v>
      </c>
      <c r="AR37" t="e">
        <f>#REF!+";Hb!$64"</f>
        <v>#REF!</v>
      </c>
      <c r="AS37" t="e">
        <f>#REF!+";Hb!$65"</f>
        <v>#REF!</v>
      </c>
      <c r="AT37" t="e">
        <f>#REF!+";Hb!$66"</f>
        <v>#REF!</v>
      </c>
      <c r="AU37" t="e">
        <f>#REF!+";Hb!$67"</f>
        <v>#REF!</v>
      </c>
      <c r="AV37" t="e">
        <f>#REF!+";Hb!$68"</f>
        <v>#REF!</v>
      </c>
      <c r="AW37" t="e">
        <f>#REF!+";Hb!$69"</f>
        <v>#REF!</v>
      </c>
      <c r="AX37" t="e">
        <f>#REF!+";Hb!$6:"</f>
        <v>#REF!</v>
      </c>
      <c r="AY37" t="e">
        <f>#REF!+";Hb!$6;"</f>
        <v>#REF!</v>
      </c>
      <c r="AZ37" t="e">
        <f>#REF!+";Hb!$6&lt;"</f>
        <v>#REF!</v>
      </c>
      <c r="BA37" t="e">
        <f>#REF!+";Hb!$6="</f>
        <v>#REF!</v>
      </c>
      <c r="BB37" t="e">
        <f>#REF!+";Hb!$6&gt;"</f>
        <v>#REF!</v>
      </c>
      <c r="BC37" t="e">
        <f>#REF!+";Hb!$6?"</f>
        <v>#REF!</v>
      </c>
      <c r="BD37" t="e">
        <f>#REF!+";Hb!$6@"</f>
        <v>#REF!</v>
      </c>
      <c r="BE37" t="e">
        <f>#REF!+";Hb!$6A"</f>
        <v>#REF!</v>
      </c>
      <c r="BF37" t="e">
        <f>#REF!+";Hb!$6B"</f>
        <v>#REF!</v>
      </c>
      <c r="BG37" t="e">
        <f>#REF!+";Hb!$6C"</f>
        <v>#REF!</v>
      </c>
      <c r="BH37" t="e">
        <f>#REF!+";Hb!$6D"</f>
        <v>#REF!</v>
      </c>
      <c r="BI37" t="e">
        <f>#REF!+";Hb!$6E"</f>
        <v>#REF!</v>
      </c>
      <c r="BJ37" t="e">
        <f>#REF!+";Hb!$6F"</f>
        <v>#REF!</v>
      </c>
      <c r="BK37" t="e">
        <f>#REF!+";Hb!$6G"</f>
        <v>#REF!</v>
      </c>
      <c r="BL37" t="e">
        <f>#REF!+";Hb!$6H"</f>
        <v>#REF!</v>
      </c>
      <c r="BM37" t="e">
        <f>#REF!+";Hb!$6I"</f>
        <v>#REF!</v>
      </c>
      <c r="BN37" t="e">
        <f>#REF!+";Hb!$6J"</f>
        <v>#REF!</v>
      </c>
      <c r="BO37" t="e">
        <f>#REF!+";Hb!$6K"</f>
        <v>#REF!</v>
      </c>
      <c r="BP37" t="e">
        <f>#REF!+";Hb!$6L"</f>
        <v>#REF!</v>
      </c>
      <c r="BQ37" t="e">
        <f>#REF!+";Hb!$6M"</f>
        <v>#REF!</v>
      </c>
      <c r="BR37" t="e">
        <f>#REF!+";Hb!$6N"</f>
        <v>#REF!</v>
      </c>
      <c r="BS37" t="e">
        <f>#REF!+";Hb!$6O"</f>
        <v>#REF!</v>
      </c>
      <c r="BT37" t="e">
        <f>#REF!+";Hb!$6P"</f>
        <v>#REF!</v>
      </c>
      <c r="BU37" t="e">
        <f>#REF!+";Hb!$6Q"</f>
        <v>#REF!</v>
      </c>
      <c r="BV37" t="e">
        <f>#REF!+";Hb!$6R"</f>
        <v>#REF!</v>
      </c>
      <c r="BW37" t="e">
        <f>#REF!+";Hb!$6S"</f>
        <v>#REF!</v>
      </c>
      <c r="BX37" t="e">
        <f>#REF!+";Hb!$6T"</f>
        <v>#REF!</v>
      </c>
      <c r="BY37" t="e">
        <f>#REF!+";Hb!$6U"</f>
        <v>#REF!</v>
      </c>
      <c r="BZ37" t="e">
        <f>#REF!+";Hb!$6V"</f>
        <v>#REF!</v>
      </c>
      <c r="CA37" t="e">
        <f>#REF!+";Hb!$6W"</f>
        <v>#REF!</v>
      </c>
      <c r="CB37" t="e">
        <f>#REF!+";Hb!$6X"</f>
        <v>#REF!</v>
      </c>
      <c r="CC37" t="e">
        <f>#REF!+";Hb!$6Y"</f>
        <v>#REF!</v>
      </c>
      <c r="CD37" t="e">
        <f>#REF!+";Hb!$6Z"</f>
        <v>#REF!</v>
      </c>
      <c r="CE37" t="e">
        <f>#REF!+";Hb!$6["</f>
        <v>#REF!</v>
      </c>
      <c r="CF37" t="e">
        <f>#REF!+";Hb!$6\"</f>
        <v>#REF!</v>
      </c>
      <c r="CG37" t="e">
        <f>#REF!+";Hb!$6]"</f>
        <v>#REF!</v>
      </c>
      <c r="CH37" t="e">
        <f>#REF!+";Hb!$6^"</f>
        <v>#REF!</v>
      </c>
      <c r="CI37" t="e">
        <f>#REF!+";Hb!$6_"</f>
        <v>#REF!</v>
      </c>
      <c r="CJ37" t="e">
        <f>#REF!+";Hb!$6`"</f>
        <v>#REF!</v>
      </c>
      <c r="CK37" t="e">
        <f>#REF!+";Hb!$6a"</f>
        <v>#REF!</v>
      </c>
      <c r="CL37" t="e">
        <f>#REF!+";Hb!$6b"</f>
        <v>#REF!</v>
      </c>
      <c r="CM37" t="e">
        <f>#REF!+";Hb!$6c"</f>
        <v>#REF!</v>
      </c>
      <c r="CN37" t="e">
        <f>#REF!+";Hb!$6d"</f>
        <v>#REF!</v>
      </c>
      <c r="CO37" t="e">
        <f>#REF!+";Hb!$6e"</f>
        <v>#REF!</v>
      </c>
      <c r="CP37" t="e">
        <f>#REF!+";Hb!$6f"</f>
        <v>#REF!</v>
      </c>
      <c r="CQ37" t="e">
        <f>#REF!+";Hb!$6g"</f>
        <v>#REF!</v>
      </c>
      <c r="CR37" t="e">
        <f>#REF!+";Hb!$6h"</f>
        <v>#REF!</v>
      </c>
      <c r="CS37" t="e">
        <f>#REF!+";Hb!$6i"</f>
        <v>#REF!</v>
      </c>
      <c r="CT37" t="e">
        <f>#REF!+";Hb!$6j"</f>
        <v>#REF!</v>
      </c>
      <c r="CU37" t="e">
        <f>#REF!+";Hb!$6k"</f>
        <v>#REF!</v>
      </c>
      <c r="CV37" t="e">
        <f>#REF!+";Hb!$6l"</f>
        <v>#REF!</v>
      </c>
      <c r="CW37" t="e">
        <f>#REF!+";Hb!$6m"</f>
        <v>#REF!</v>
      </c>
      <c r="CX37" t="e">
        <f>#REF!+";Hb!$6n"</f>
        <v>#REF!</v>
      </c>
      <c r="CY37" t="e">
        <f>#REF!+";Hb!$6o"</f>
        <v>#REF!</v>
      </c>
      <c r="CZ37" t="e">
        <f>#REF!+";Hb!$6p"</f>
        <v>#REF!</v>
      </c>
      <c r="DA37" t="e">
        <f>#REF!+";Hb!$6q"</f>
        <v>#REF!</v>
      </c>
      <c r="DB37" t="e">
        <f>#REF!+";Hb!$6r"</f>
        <v>#REF!</v>
      </c>
      <c r="DC37" t="e">
        <f>#REF!+";Hb!$6s"</f>
        <v>#REF!</v>
      </c>
      <c r="DD37" t="e">
        <f>#REF!+";Hb!$6t"</f>
        <v>#REF!</v>
      </c>
      <c r="DE37" t="e">
        <f>#REF!+";Hb!$6u"</f>
        <v>#REF!</v>
      </c>
      <c r="DF37" t="e">
        <f>#REF!+";Hb!$6v"</f>
        <v>#REF!</v>
      </c>
      <c r="DG37" t="e">
        <f>#REF!+";Hb!$6w"</f>
        <v>#REF!</v>
      </c>
      <c r="DH37" t="e">
        <f>#REF!+";Hb!$6x"</f>
        <v>#REF!</v>
      </c>
      <c r="DI37" t="e">
        <f>#REF!+";Hb!$6y"</f>
        <v>#REF!</v>
      </c>
      <c r="DJ37" t="e">
        <f>#REF!+";Hb!$6z"</f>
        <v>#REF!</v>
      </c>
      <c r="DK37" t="e">
        <f>#REF!+";Hb!$6{"</f>
        <v>#REF!</v>
      </c>
      <c r="DL37" t="e">
        <f>#REF!+";Hb!$6|"</f>
        <v>#REF!</v>
      </c>
      <c r="DM37" t="e">
        <f>#REF!+";Hb!$6}"</f>
        <v>#REF!</v>
      </c>
      <c r="DN37" t="e">
        <f>#REF!+";Hb!$6~"</f>
        <v>#REF!</v>
      </c>
      <c r="DO37" t="e">
        <f>#REF!+";Hb!$7#"</f>
        <v>#REF!</v>
      </c>
      <c r="DP37" t="e">
        <f>#REF!+";Hb!$7$"</f>
        <v>#REF!</v>
      </c>
      <c r="DQ37" t="e">
        <f>#REF!+";Hb!$7%"</f>
        <v>#REF!</v>
      </c>
      <c r="DR37" t="e">
        <f>#REF!+";Hb!$7&amp;"</f>
        <v>#REF!</v>
      </c>
      <c r="DS37" t="e">
        <f>#REF!+";Hb!$7'"</f>
        <v>#REF!</v>
      </c>
      <c r="DT37" t="e">
        <f>#REF!+";Hb!$7("</f>
        <v>#REF!</v>
      </c>
      <c r="DU37" t="e">
        <f>#REF!+";Hb!$7)"</f>
        <v>#REF!</v>
      </c>
      <c r="DV37" t="e">
        <f>#REF!+";Hb!$7."</f>
        <v>#REF!</v>
      </c>
      <c r="DW37" t="e">
        <f>#REF!+";Hb!$7/"</f>
        <v>#REF!</v>
      </c>
      <c r="DX37" t="e">
        <f>#REF!+";Hb!$70"</f>
        <v>#REF!</v>
      </c>
      <c r="DY37" t="e">
        <f>#REF!+";Hb!$71"</f>
        <v>#REF!</v>
      </c>
      <c r="DZ37" t="e">
        <f>#REF!+";Hb!$72"</f>
        <v>#REF!</v>
      </c>
      <c r="EA37" t="e">
        <f>#REF!+";Hb!$73"</f>
        <v>#REF!</v>
      </c>
      <c r="EB37" t="e">
        <f>#REF!+";Hb!$74"</f>
        <v>#REF!</v>
      </c>
      <c r="EC37" t="e">
        <f>#REF!+";Hb!$75"</f>
        <v>#REF!</v>
      </c>
      <c r="ED37" t="e">
        <f>#REF!+";Hb!$76"</f>
        <v>#REF!</v>
      </c>
      <c r="EE37" t="e">
        <f>#REF!+";Hb!$77"</f>
        <v>#REF!</v>
      </c>
      <c r="EF37" t="e">
        <f>#REF!+";Hb!$78"</f>
        <v>#REF!</v>
      </c>
      <c r="EG37" t="e">
        <f>#REF!+";Hb!$79"</f>
        <v>#REF!</v>
      </c>
      <c r="EH37" t="e">
        <f>#REF!+";Hb!$7:"</f>
        <v>#REF!</v>
      </c>
      <c r="EI37" t="e">
        <f>#REF!+";Hb!$7;"</f>
        <v>#REF!</v>
      </c>
      <c r="EJ37" t="e">
        <f>#REF!+";Hb!$7&lt;"</f>
        <v>#REF!</v>
      </c>
      <c r="EK37" t="e">
        <f>#REF!+";Hb!$7="</f>
        <v>#REF!</v>
      </c>
      <c r="EL37" t="e">
        <f>#REF!+";Hb!$7&gt;"</f>
        <v>#REF!</v>
      </c>
      <c r="EM37" t="e">
        <f>#REF!+";Hb!$7?"</f>
        <v>#REF!</v>
      </c>
      <c r="EN37" t="e">
        <f>#REF!+";Hb!$7@"</f>
        <v>#REF!</v>
      </c>
      <c r="EO37" t="e">
        <f>#REF!+";Hb!$7A"</f>
        <v>#REF!</v>
      </c>
      <c r="EP37" t="e">
        <f>#REF!+";Hb!$7B"</f>
        <v>#REF!</v>
      </c>
      <c r="EQ37" t="e">
        <f>#REF!+";Hb!$7C"</f>
        <v>#REF!</v>
      </c>
      <c r="ER37" t="e">
        <f>#REF!+";Hb!$7D"</f>
        <v>#REF!</v>
      </c>
      <c r="ES37" t="e">
        <f>#REF!+";Hb!$7E"</f>
        <v>#REF!</v>
      </c>
      <c r="ET37" t="e">
        <f>#REF!+";Hb!$7F"</f>
        <v>#REF!</v>
      </c>
      <c r="EU37" t="e">
        <f>#REF!+";Hb!$7G"</f>
        <v>#REF!</v>
      </c>
      <c r="EV37" t="e">
        <f>#REF!+";Hb!$7H"</f>
        <v>#REF!</v>
      </c>
      <c r="EW37" t="e">
        <f>#REF!+";Hb!$7I"</f>
        <v>#REF!</v>
      </c>
      <c r="EX37" t="e">
        <f>#REF!+";Hb!$7J"</f>
        <v>#REF!</v>
      </c>
      <c r="EY37" t="e">
        <f>#REF!+";Hb!$7K"</f>
        <v>#REF!</v>
      </c>
      <c r="EZ37" t="e">
        <f>#REF!+";Hb!$7L"</f>
        <v>#REF!</v>
      </c>
      <c r="FA37" t="e">
        <f>#REF!+";Hb!$7M"</f>
        <v>#REF!</v>
      </c>
      <c r="FB37" t="e">
        <f>#REF!+";Hb!$7N"</f>
        <v>#REF!</v>
      </c>
      <c r="FC37" t="e">
        <f>#REF!+";Hb!$7O"</f>
        <v>#REF!</v>
      </c>
      <c r="FD37" t="e">
        <f>#REF!+";Hb!$7P"</f>
        <v>#REF!</v>
      </c>
      <c r="FE37" t="e">
        <f>#REF!+";Hb!$7Q"</f>
        <v>#REF!</v>
      </c>
      <c r="FF37" t="e">
        <f>#REF!+";Hb!$7R"</f>
        <v>#REF!</v>
      </c>
      <c r="FG37" t="e">
        <f>#REF!+";Hb!$7S"</f>
        <v>#REF!</v>
      </c>
      <c r="FH37" t="e">
        <f>#REF!+";Hb!$7T"</f>
        <v>#REF!</v>
      </c>
      <c r="FI37" t="e">
        <f>#REF!+";Hb!$7U"</f>
        <v>#REF!</v>
      </c>
      <c r="FJ37" t="e">
        <f>#REF!+";Hb!$7V"</f>
        <v>#REF!</v>
      </c>
      <c r="FK37" t="e">
        <f>#REF!+";Hb!$7W"</f>
        <v>#REF!</v>
      </c>
      <c r="FL37" t="e">
        <f>#REF!+";Hb!$7X"</f>
        <v>#REF!</v>
      </c>
      <c r="FM37" t="e">
        <f>#REF!+";Hb!$7Y"</f>
        <v>#REF!</v>
      </c>
      <c r="FN37" t="e">
        <f>#REF!+";Hb!$7Z"</f>
        <v>#REF!</v>
      </c>
      <c r="FO37" t="e">
        <f>#REF!+";Hb!$7["</f>
        <v>#REF!</v>
      </c>
      <c r="FP37" t="e">
        <f>#REF!+";Hb!$7\"</f>
        <v>#REF!</v>
      </c>
      <c r="FQ37" t="e">
        <f>#REF!+";Hb!$7]"</f>
        <v>#REF!</v>
      </c>
      <c r="FR37" t="e">
        <f>#REF!+";Hb!$7^"</f>
        <v>#REF!</v>
      </c>
      <c r="FS37" t="e">
        <f>#REF!+";Hb!$7_"</f>
        <v>#REF!</v>
      </c>
      <c r="FT37" t="e">
        <f>#REF!+";Hb!$7`"</f>
        <v>#REF!</v>
      </c>
      <c r="FU37" t="e">
        <f>#REF!+";Hb!$7a"</f>
        <v>#REF!</v>
      </c>
      <c r="FV37" t="e">
        <f>#REF!+";Hb!$7b"</f>
        <v>#REF!</v>
      </c>
      <c r="FW37" t="e">
        <f>#REF!+";Hb!$7c"</f>
        <v>#REF!</v>
      </c>
      <c r="FX37" t="e">
        <f>#REF!+";Hb!$7d"</f>
        <v>#REF!</v>
      </c>
      <c r="FY37" t="e">
        <f>#REF!+";Hb!$7e"</f>
        <v>#REF!</v>
      </c>
      <c r="FZ37" t="e">
        <f>#REF!+";Hb!$7f"</f>
        <v>#REF!</v>
      </c>
      <c r="GA37" t="e">
        <f>#REF!+";Hb!$7g"</f>
        <v>#REF!</v>
      </c>
      <c r="GB37" t="e">
        <f>#REF!+";Hb!$7h"</f>
        <v>#REF!</v>
      </c>
      <c r="GC37" t="e">
        <f>#REF!+";Hb!$7i"</f>
        <v>#REF!</v>
      </c>
      <c r="GD37" t="e">
        <f>#REF!+";Hb!$7j"</f>
        <v>#REF!</v>
      </c>
      <c r="GE37" t="e">
        <f>#REF!+";Hb!$7k"</f>
        <v>#REF!</v>
      </c>
      <c r="GF37" t="e">
        <f>#REF!+";Hb!$7l"</f>
        <v>#REF!</v>
      </c>
      <c r="GG37" t="e">
        <f>#REF!+";Hb!$7m"</f>
        <v>#REF!</v>
      </c>
      <c r="GH37" t="e">
        <f>#REF!+";Hb!$7n"</f>
        <v>#REF!</v>
      </c>
      <c r="GI37" t="e">
        <f>#REF!+";Hb!$7o"</f>
        <v>#REF!</v>
      </c>
      <c r="GJ37" t="e">
        <f>#REF!+";Hb!$7p"</f>
        <v>#REF!</v>
      </c>
      <c r="GK37" t="e">
        <f>#REF!+";Hb!$7q"</f>
        <v>#REF!</v>
      </c>
      <c r="GL37" t="e">
        <f>#REF!+";Hb!$7r"</f>
        <v>#REF!</v>
      </c>
      <c r="GM37" t="e">
        <f>#REF!+";Hb!$7s"</f>
        <v>#REF!</v>
      </c>
      <c r="GN37" t="e">
        <f>#REF!+";Hb!$7t"</f>
        <v>#REF!</v>
      </c>
      <c r="GO37" t="e">
        <f>#REF!+";Hb!$7u"</f>
        <v>#REF!</v>
      </c>
      <c r="GP37" t="e">
        <f>#REF!+";Hb!$7v"</f>
        <v>#REF!</v>
      </c>
      <c r="GQ37" t="e">
        <f>#REF!+";Hb!$7w"</f>
        <v>#REF!</v>
      </c>
      <c r="GR37" t="e">
        <f>#REF!+";Hb!$7x"</f>
        <v>#REF!</v>
      </c>
      <c r="GS37" t="e">
        <f>#REF!+";Hb!$7y"</f>
        <v>#REF!</v>
      </c>
      <c r="GT37" t="e">
        <f>#REF!+";Hb!$7z"</f>
        <v>#REF!</v>
      </c>
      <c r="GU37" t="e">
        <f>#REF!+";Hb!$7{"</f>
        <v>#REF!</v>
      </c>
      <c r="GV37" t="e">
        <f>#REF!+";Hb!$7|"</f>
        <v>#REF!</v>
      </c>
      <c r="GW37" t="e">
        <f>#REF!+";Hb!$7}"</f>
        <v>#REF!</v>
      </c>
      <c r="GX37" t="e">
        <f>#REF!+";Hb!$7~"</f>
        <v>#REF!</v>
      </c>
      <c r="GY37" t="e">
        <f>#REF!+";Hb!$8#"</f>
        <v>#REF!</v>
      </c>
      <c r="GZ37" t="e">
        <f>#REF!+";Hb!$8$"</f>
        <v>#REF!</v>
      </c>
      <c r="HA37" t="e">
        <f>#REF!+";Hb!$8%"</f>
        <v>#REF!</v>
      </c>
      <c r="HB37" t="e">
        <f>#REF!+";Hb!$8&amp;"</f>
        <v>#REF!</v>
      </c>
      <c r="HC37" t="e">
        <f>#REF!+";Hb!$8'"</f>
        <v>#REF!</v>
      </c>
      <c r="HD37" t="e">
        <f>#REF!+";Hb!$8("</f>
        <v>#REF!</v>
      </c>
      <c r="HE37" t="e">
        <f>#REF!+";Hb!$8)"</f>
        <v>#REF!</v>
      </c>
      <c r="HF37" t="e">
        <f>#REF!+";Hb!$8."</f>
        <v>#REF!</v>
      </c>
      <c r="HG37" t="e">
        <f>#REF!+";Hb!$8/"</f>
        <v>#REF!</v>
      </c>
      <c r="HH37" t="e">
        <f>#REF!+";Hb!$80"</f>
        <v>#REF!</v>
      </c>
      <c r="HI37" t="e">
        <f>#REF!+";Hb!$81"</f>
        <v>#REF!</v>
      </c>
      <c r="HJ37" t="e">
        <f>#REF!+";Hb!$82"</f>
        <v>#REF!</v>
      </c>
      <c r="HK37" t="e">
        <f>#REF!+";Hb!$83"</f>
        <v>#REF!</v>
      </c>
      <c r="HL37" t="e">
        <f>#REF!+";Hb!$84"</f>
        <v>#REF!</v>
      </c>
      <c r="HM37" t="e">
        <f>#REF!+";Hb!$85"</f>
        <v>#REF!</v>
      </c>
      <c r="HN37" t="e">
        <f>#REF!+";Hb!$86"</f>
        <v>#REF!</v>
      </c>
      <c r="HO37" t="e">
        <f>#REF!+";Hb!$87"</f>
        <v>#REF!</v>
      </c>
      <c r="HP37" t="e">
        <f>#REF!+";Hb!$88"</f>
        <v>#REF!</v>
      </c>
      <c r="HQ37" t="e">
        <f>#REF!+";Hb!$89"</f>
        <v>#REF!</v>
      </c>
      <c r="HR37" t="e">
        <f>#REF!+";Hb!$8:"</f>
        <v>#REF!</v>
      </c>
      <c r="HS37" t="e">
        <f>#REF!+";Hb!$8;"</f>
        <v>#REF!</v>
      </c>
      <c r="HT37" t="e">
        <f>#REF!+";Hb!$8&lt;"</f>
        <v>#REF!</v>
      </c>
      <c r="HU37" t="e">
        <f>#REF!+";Hb!$8="</f>
        <v>#REF!</v>
      </c>
      <c r="HV37" t="e">
        <f>#REF!+";Hb!$8&gt;"</f>
        <v>#REF!</v>
      </c>
      <c r="HW37" t="e">
        <f>#REF!+";Hb!$8?"</f>
        <v>#REF!</v>
      </c>
      <c r="HX37" t="e">
        <f>#REF!+";Hb!$8@"</f>
        <v>#REF!</v>
      </c>
      <c r="HY37" t="e">
        <f>#REF!+";Hb!$8A"</f>
        <v>#REF!</v>
      </c>
      <c r="HZ37" t="e">
        <f>#REF!+";Hb!$8B"</f>
        <v>#REF!</v>
      </c>
      <c r="IA37" t="e">
        <f>#REF!+";Hb!$8C"</f>
        <v>#REF!</v>
      </c>
      <c r="IB37" t="e">
        <f>#REF!+";Hb!$8D"</f>
        <v>#REF!</v>
      </c>
      <c r="IC37" t="e">
        <f>#REF!+";Hb!$8E"</f>
        <v>#REF!</v>
      </c>
      <c r="ID37" t="e">
        <f>#REF!+";Hb!$8F"</f>
        <v>#REF!</v>
      </c>
      <c r="IE37" t="e">
        <f>#REF!+";Hb!$8G"</f>
        <v>#REF!</v>
      </c>
      <c r="IF37" t="e">
        <f>#REF!+";Hb!$8H"</f>
        <v>#REF!</v>
      </c>
      <c r="IG37" t="e">
        <f>#REF!+";Hb!$8I"</f>
        <v>#REF!</v>
      </c>
      <c r="IH37" t="e">
        <f>#REF!+";Hb!$8J"</f>
        <v>#REF!</v>
      </c>
      <c r="II37" t="e">
        <f>#REF!+";Hb!$8K"</f>
        <v>#REF!</v>
      </c>
      <c r="IJ37" t="e">
        <f>#REF!+";Hb!$8L"</f>
        <v>#REF!</v>
      </c>
      <c r="IK37" t="e">
        <f>#REF!+";Hb!$8M"</f>
        <v>#REF!</v>
      </c>
      <c r="IL37" t="e">
        <f>#REF!+";Hb!$8N"</f>
        <v>#REF!</v>
      </c>
      <c r="IM37" t="e">
        <f>#REF!+";Hb!$8O"</f>
        <v>#REF!</v>
      </c>
      <c r="IN37" t="e">
        <f>#REF!+";Hb!$8P"</f>
        <v>#REF!</v>
      </c>
      <c r="IO37" t="e">
        <f>#REF!+";Hb!$8Q"</f>
        <v>#REF!</v>
      </c>
      <c r="IP37" t="e">
        <f>#REF!+";Hb!$8R"</f>
        <v>#REF!</v>
      </c>
      <c r="IQ37" t="e">
        <f>#REF!+";Hb!$8S"</f>
        <v>#REF!</v>
      </c>
      <c r="IR37" t="e">
        <f>#REF!+";Hb!$8T"</f>
        <v>#REF!</v>
      </c>
      <c r="IS37" t="e">
        <f>#REF!+";Hb!$8U"</f>
        <v>#REF!</v>
      </c>
      <c r="IT37" t="e">
        <f>#REF!+";Hb!$8V"</f>
        <v>#REF!</v>
      </c>
      <c r="IU37" t="e">
        <f>#REF!+";Hb!$8W"</f>
        <v>#REF!</v>
      </c>
      <c r="IV37" t="e">
        <f>#REF!+";Hb!$8X"</f>
        <v>#REF!</v>
      </c>
    </row>
    <row r="38" spans="6:256" x14ac:dyDescent="0.25">
      <c r="F38" t="e">
        <f>#REF!+";Hb!$8Y"</f>
        <v>#REF!</v>
      </c>
      <c r="G38" t="e">
        <f>#REF!+";Hb!$8Z"</f>
        <v>#REF!</v>
      </c>
      <c r="H38" t="e">
        <f>#REF!+";Hb!$8["</f>
        <v>#REF!</v>
      </c>
      <c r="I38" t="e">
        <f>#REF!+";Hb!$8\"</f>
        <v>#REF!</v>
      </c>
      <c r="J38" t="e">
        <f>#REF!+";Hb!$8]"</f>
        <v>#REF!</v>
      </c>
      <c r="K38" t="e">
        <f>#REF!+";Hb!$8^"</f>
        <v>#REF!</v>
      </c>
      <c r="L38" t="e">
        <f>#REF!+";Hb!$8_"</f>
        <v>#REF!</v>
      </c>
      <c r="M38" t="e">
        <f>#REF!+";Hb!$8`"</f>
        <v>#REF!</v>
      </c>
      <c r="N38" t="e">
        <f>#REF!+";Hb!$8a"</f>
        <v>#REF!</v>
      </c>
      <c r="O38" t="e">
        <f>#REF!+";Hb!$8b"</f>
        <v>#REF!</v>
      </c>
      <c r="P38" t="e">
        <f>#REF!+";Hb!$8c"</f>
        <v>#REF!</v>
      </c>
      <c r="Q38" t="e">
        <f>#REF!+";Hb!$8d"</f>
        <v>#REF!</v>
      </c>
      <c r="R38" t="e">
        <f>#REF!+";Hb!$8e"</f>
        <v>#REF!</v>
      </c>
      <c r="S38" t="e">
        <f>#REF!+";Hb!$8f"</f>
        <v>#REF!</v>
      </c>
      <c r="T38" t="e">
        <f>#REF!+";Hb!$8g"</f>
        <v>#REF!</v>
      </c>
      <c r="U38" t="e">
        <f>#REF!+";Hb!$8h"</f>
        <v>#REF!</v>
      </c>
      <c r="V38" t="e">
        <f>#REF!+";Hb!$8i"</f>
        <v>#REF!</v>
      </c>
      <c r="W38" t="e">
        <f>#REF!+";Hb!$8j"</f>
        <v>#REF!</v>
      </c>
      <c r="X38" t="e">
        <f>#REF!+";Hb!$8k"</f>
        <v>#REF!</v>
      </c>
      <c r="Y38" t="e">
        <f>#REF!+";Hb!$8l"</f>
        <v>#REF!</v>
      </c>
      <c r="Z38" t="e">
        <f>#REF!+";Hb!$8m"</f>
        <v>#REF!</v>
      </c>
      <c r="AA38" t="e">
        <f>#REF!+";Hb!$8n"</f>
        <v>#REF!</v>
      </c>
      <c r="AB38" t="e">
        <f>#REF!+";Hb!$8o"</f>
        <v>#REF!</v>
      </c>
      <c r="AC38" t="e">
        <f>#REF!+";Hb!$8p"</f>
        <v>#REF!</v>
      </c>
      <c r="AD38" t="e">
        <f>#REF!+";Hb!$8q"</f>
        <v>#REF!</v>
      </c>
      <c r="AE38" t="e">
        <f>#REF!+";Hb!$8r"</f>
        <v>#REF!</v>
      </c>
      <c r="AF38" t="e">
        <f>#REF!+";Hb!$8s"</f>
        <v>#REF!</v>
      </c>
      <c r="AG38" t="e">
        <f>#REF!+";Hb!$8t"</f>
        <v>#REF!</v>
      </c>
      <c r="AH38" t="e">
        <f>#REF!+";Hb!$8u"</f>
        <v>#REF!</v>
      </c>
      <c r="AI38" t="e">
        <f>#REF!+";Hb!$8v"</f>
        <v>#REF!</v>
      </c>
      <c r="AJ38" t="e">
        <f>#REF!+";Hb!$8w"</f>
        <v>#REF!</v>
      </c>
      <c r="AK38" t="e">
        <f>#REF!+";Hb!$8x"</f>
        <v>#REF!</v>
      </c>
      <c r="AL38" t="e">
        <f>#REF!+";Hb!$8y"</f>
        <v>#REF!</v>
      </c>
      <c r="AM38" t="e">
        <f>#REF!+";Hb!$8z"</f>
        <v>#REF!</v>
      </c>
      <c r="AN38" t="e">
        <f>#REF!+";Hb!$8{"</f>
        <v>#REF!</v>
      </c>
      <c r="AO38" t="e">
        <f>#REF!+";Hb!$8|"</f>
        <v>#REF!</v>
      </c>
      <c r="AP38" t="e">
        <f>#REF!+";Hb!$8}"</f>
        <v>#REF!</v>
      </c>
      <c r="AQ38" t="e">
        <f>#REF!+";Hb!$8~"</f>
        <v>#REF!</v>
      </c>
      <c r="AR38" t="e">
        <f>#REF!+";Hb!$9#"</f>
        <v>#REF!</v>
      </c>
      <c r="AS38" t="e">
        <f>#REF!+";Hb!$9$"</f>
        <v>#REF!</v>
      </c>
      <c r="AT38" t="e">
        <f>#REF!+";Hb!$9%"</f>
        <v>#REF!</v>
      </c>
      <c r="AU38" t="e">
        <f>#REF!+";Hb!$9&amp;"</f>
        <v>#REF!</v>
      </c>
      <c r="AV38" t="e">
        <f>#REF!+";Hb!$9'"</f>
        <v>#REF!</v>
      </c>
      <c r="AW38" t="e">
        <f>#REF!+";Hb!$9("</f>
        <v>#REF!</v>
      </c>
      <c r="AX38" t="e">
        <f>#REF!+";Hb!$9)"</f>
        <v>#REF!</v>
      </c>
      <c r="AY38" t="e">
        <f>#REF!+";Hb!$9."</f>
        <v>#REF!</v>
      </c>
      <c r="AZ38" t="e">
        <f>#REF!+";Hb!$9/"</f>
        <v>#REF!</v>
      </c>
      <c r="BA38" t="e">
        <f>#REF!+";Hb!$90"</f>
        <v>#REF!</v>
      </c>
      <c r="BB38" t="e">
        <f>#REF!+";Hb!$91"</f>
        <v>#REF!</v>
      </c>
      <c r="BC38" t="e">
        <f>#REF!+";Hb!$92"</f>
        <v>#REF!</v>
      </c>
      <c r="BD38" t="e">
        <f>#REF!+";Hb!$93"</f>
        <v>#REF!</v>
      </c>
      <c r="BE38" t="e">
        <f>#REF!+";Hb!$94"</f>
        <v>#REF!</v>
      </c>
      <c r="BF38" t="e">
        <f>#REF!+";Hb!$95"</f>
        <v>#REF!</v>
      </c>
      <c r="BG38" t="e">
        <f>#REF!+";Hb!$96"</f>
        <v>#REF!</v>
      </c>
      <c r="BH38" t="e">
        <f>#REF!+";Hb!$97"</f>
        <v>#REF!</v>
      </c>
      <c r="BI38" t="e">
        <f>#REF!+";Hb!$98"</f>
        <v>#REF!</v>
      </c>
      <c r="BJ38" t="e">
        <f>#REF!+";Hb!$99"</f>
        <v>#REF!</v>
      </c>
      <c r="BK38" t="e">
        <f>#REF!+";Hb!$9:"</f>
        <v>#REF!</v>
      </c>
      <c r="BL38" t="e">
        <f>#REF!+";Hb!$9;"</f>
        <v>#REF!</v>
      </c>
      <c r="BM38" t="e">
        <f>#REF!+";Hb!$9&lt;"</f>
        <v>#REF!</v>
      </c>
      <c r="BN38" t="e">
        <f>#REF!+";Hb!$9="</f>
        <v>#REF!</v>
      </c>
      <c r="BO38" t="e">
        <f>#REF!+";Hb!$9&gt;"</f>
        <v>#REF!</v>
      </c>
      <c r="BP38" t="e">
        <f>#REF!+";Hb!$9?"</f>
        <v>#REF!</v>
      </c>
      <c r="BQ38" t="e">
        <f>#REF!+";Hb!$9@"</f>
        <v>#REF!</v>
      </c>
      <c r="BR38" t="e">
        <f>#REF!+";Hb!$9A"</f>
        <v>#REF!</v>
      </c>
      <c r="BS38" t="e">
        <f>#REF!+";Hb!$9B"</f>
        <v>#REF!</v>
      </c>
      <c r="BT38" t="e">
        <f>#REF!+";Hb!$9C"</f>
        <v>#REF!</v>
      </c>
      <c r="BU38" t="e">
        <f>#REF!+";Hb!$9D"</f>
        <v>#REF!</v>
      </c>
      <c r="BV38" t="e">
        <f>#REF!+";Hb!$9E"</f>
        <v>#REF!</v>
      </c>
      <c r="BW38" t="e">
        <f>#REF!+";Hb!$9F"</f>
        <v>#REF!</v>
      </c>
      <c r="BX38" t="e">
        <f>#REF!+";Hb!$9G"</f>
        <v>#REF!</v>
      </c>
      <c r="BY38" t="e">
        <f>#REF!+";Hb!$9H"</f>
        <v>#REF!</v>
      </c>
      <c r="BZ38" t="e">
        <f>#REF!+";Hb!$9I"</f>
        <v>#REF!</v>
      </c>
      <c r="CA38" t="e">
        <f>#REF!+";Hb!$9J"</f>
        <v>#REF!</v>
      </c>
      <c r="CB38" t="e">
        <f>#REF!+";Hb!$9K"</f>
        <v>#REF!</v>
      </c>
      <c r="CC38" t="e">
        <f>#REF!+";Hb!$9L"</f>
        <v>#REF!</v>
      </c>
      <c r="CD38" t="e">
        <f>#REF!+";Hb!$9M"</f>
        <v>#REF!</v>
      </c>
      <c r="CE38" t="e">
        <f>#REF!+";Hb!$9N"</f>
        <v>#REF!</v>
      </c>
      <c r="CF38" t="e">
        <f>#REF!+";Hb!$9O"</f>
        <v>#REF!</v>
      </c>
      <c r="CG38" t="e">
        <f>#REF!+";Hb!$9P"</f>
        <v>#REF!</v>
      </c>
      <c r="CH38" t="e">
        <f>#REF!+";Hb!$9Q"</f>
        <v>#REF!</v>
      </c>
      <c r="CI38" t="e">
        <f>#REF!+";Hb!$9R"</f>
        <v>#REF!</v>
      </c>
      <c r="CJ38" t="e">
        <f>#REF!+";Hb!$9S"</f>
        <v>#REF!</v>
      </c>
      <c r="CK38" t="e">
        <f>#REF!+";Hb!$9T"</f>
        <v>#REF!</v>
      </c>
      <c r="CL38" t="e">
        <f>#REF!+";Hb!$9U"</f>
        <v>#REF!</v>
      </c>
      <c r="CM38" t="e">
        <f>#REF!+";Hb!$9V"</f>
        <v>#REF!</v>
      </c>
      <c r="CN38" t="e">
        <f>#REF!+";Hb!$9W"</f>
        <v>#REF!</v>
      </c>
      <c r="CO38" t="e">
        <f>#REF!+";Hb!$9X"</f>
        <v>#REF!</v>
      </c>
      <c r="CP38" t="e">
        <f>#REF!+";Hb!$9Y"</f>
        <v>#REF!</v>
      </c>
      <c r="CQ38" t="e">
        <f>#REF!+";Hb!$9Z"</f>
        <v>#REF!</v>
      </c>
      <c r="CR38" t="e">
        <f>#REF!+";Hb!$9["</f>
        <v>#REF!</v>
      </c>
      <c r="CS38" t="e">
        <f>#REF!+";Hb!$9\"</f>
        <v>#REF!</v>
      </c>
      <c r="CT38" t="e">
        <f>#REF!+";Hb!$9]"</f>
        <v>#REF!</v>
      </c>
      <c r="CU38" t="e">
        <f>#REF!+";Hb!$9^"</f>
        <v>#REF!</v>
      </c>
      <c r="CV38" t="e">
        <f>#REF!+";Hb!$9_"</f>
        <v>#REF!</v>
      </c>
      <c r="CW38" t="e">
        <f>#REF!+";Hb!$9`"</f>
        <v>#REF!</v>
      </c>
      <c r="CX38" t="e">
        <f>#REF!+";Hb!$9a"</f>
        <v>#REF!</v>
      </c>
      <c r="CY38" t="e">
        <f>#REF!+";Hb!$9b"</f>
        <v>#REF!</v>
      </c>
      <c r="CZ38" t="e">
        <f>#REF!+";Hb!$9c"</f>
        <v>#REF!</v>
      </c>
      <c r="DA38" t="e">
        <f>#REF!+";Hb!$9d"</f>
        <v>#REF!</v>
      </c>
      <c r="DB38" t="e">
        <f>#REF!+";Hb!$9e"</f>
        <v>#REF!</v>
      </c>
      <c r="DC38" t="e">
        <f>#REF!+";Hb!$9f"</f>
        <v>#REF!</v>
      </c>
      <c r="DD38" t="e">
        <f>#REF!+";Hb!$9g"</f>
        <v>#REF!</v>
      </c>
      <c r="DE38" t="e">
        <f>#REF!+";Hb!$9h"</f>
        <v>#REF!</v>
      </c>
      <c r="DF38" t="e">
        <f>#REF!+";Hb!$9i"</f>
        <v>#REF!</v>
      </c>
      <c r="DG38" t="e">
        <f>#REF!+";Hb!$9j"</f>
        <v>#REF!</v>
      </c>
      <c r="DH38" t="e">
        <f>#REF!+";Hb!$9k"</f>
        <v>#REF!</v>
      </c>
      <c r="DI38" t="e">
        <f>#REF!+";Hb!$9l"</f>
        <v>#REF!</v>
      </c>
      <c r="DJ38" t="e">
        <f>#REF!+";Hb!$9m"</f>
        <v>#REF!</v>
      </c>
      <c r="DK38" t="e">
        <f>#REF!+";Hb!$9n"</f>
        <v>#REF!</v>
      </c>
      <c r="DL38" t="e">
        <f>#REF!+";Hb!$9o"</f>
        <v>#REF!</v>
      </c>
      <c r="DM38" t="e">
        <f>#REF!+";Hb!$9p"</f>
        <v>#REF!</v>
      </c>
      <c r="DN38" t="e">
        <f>#REF!+";Hb!$9q"</f>
        <v>#REF!</v>
      </c>
      <c r="DO38" t="e">
        <f>#REF!+";Hb!$9r"</f>
        <v>#REF!</v>
      </c>
      <c r="DP38" t="e">
        <f>#REF!+";Hb!$9s"</f>
        <v>#REF!</v>
      </c>
      <c r="DQ38" t="e">
        <f>#REF!+";Hb!$9t"</f>
        <v>#REF!</v>
      </c>
      <c r="DR38" t="e">
        <f>#REF!+";Hb!$9u"</f>
        <v>#REF!</v>
      </c>
      <c r="DS38" t="e">
        <f>#REF!+";Hb!$9v"</f>
        <v>#REF!</v>
      </c>
      <c r="DT38" t="e">
        <f>#REF!+";Hb!$9w"</f>
        <v>#REF!</v>
      </c>
      <c r="DU38" t="e">
        <f>#REF!+";Hb!$9x"</f>
        <v>#REF!</v>
      </c>
      <c r="DV38" t="e">
        <f>#REF!+";Hb!$9y"</f>
        <v>#REF!</v>
      </c>
      <c r="DW38" t="e">
        <f>#REF!+";Hb!$9z"</f>
        <v>#REF!</v>
      </c>
      <c r="DX38" t="e">
        <f>#REF!+";Hb!$9{"</f>
        <v>#REF!</v>
      </c>
      <c r="DY38" t="e">
        <f>#REF!+";Hb!$9|"</f>
        <v>#REF!</v>
      </c>
      <c r="DZ38" t="e">
        <f>#REF!+";Hb!$9}"</f>
        <v>#REF!</v>
      </c>
      <c r="EA38" t="e">
        <f>#REF!+";Hb!$9~"</f>
        <v>#REF!</v>
      </c>
      <c r="EB38" t="e">
        <f>#REF!+";Hb!$:#"</f>
        <v>#REF!</v>
      </c>
      <c r="EC38" t="e">
        <f>#REF!+";Hb!$:$"</f>
        <v>#REF!</v>
      </c>
      <c r="ED38" t="e">
        <f>#REF!+";Hb!$:%"</f>
        <v>#REF!</v>
      </c>
      <c r="EE38" t="e">
        <f>#REF!+";Hb!$:&amp;"</f>
        <v>#REF!</v>
      </c>
      <c r="EF38" t="e">
        <f>#REF!+";Hb!$:'"</f>
        <v>#REF!</v>
      </c>
      <c r="EG38" t="e">
        <f>#REF!+";Hb!$:("</f>
        <v>#REF!</v>
      </c>
      <c r="EH38" t="e">
        <f>#REF!+";Hb!$:)"</f>
        <v>#REF!</v>
      </c>
      <c r="EI38" t="e">
        <f>#REF!+";Hb!$:."</f>
        <v>#REF!</v>
      </c>
      <c r="EJ38" t="e">
        <f>#REF!+";Hb!$:/"</f>
        <v>#REF!</v>
      </c>
      <c r="EK38" t="e">
        <f>#REF!+";Hb!$:0"</f>
        <v>#REF!</v>
      </c>
      <c r="EL38" t="e">
        <f>#REF!+";Hb!$:1"</f>
        <v>#REF!</v>
      </c>
      <c r="EM38" t="e">
        <f>#REF!+";Hb!$:2"</f>
        <v>#REF!</v>
      </c>
      <c r="EN38" t="e">
        <f>#REF!+";Hb!$:3"</f>
        <v>#REF!</v>
      </c>
      <c r="EO38" t="e">
        <f>#REF!+";Hb!$:4"</f>
        <v>#REF!</v>
      </c>
      <c r="EP38" t="e">
        <f>#REF!+";Hb!$:5"</f>
        <v>#REF!</v>
      </c>
      <c r="EQ38" t="e">
        <f>#REF!+";Hb!$:6"</f>
        <v>#REF!</v>
      </c>
      <c r="ER38" t="e">
        <f>#REF!+";Hb!$:7"</f>
        <v>#REF!</v>
      </c>
      <c r="ES38" t="e">
        <f>#REF!+";Hb!$:8"</f>
        <v>#REF!</v>
      </c>
      <c r="ET38" t="e">
        <f>#REF!+";Hb!$:9"</f>
        <v>#REF!</v>
      </c>
      <c r="EU38" t="e">
        <f>#REF!+";Hb!$::"</f>
        <v>#REF!</v>
      </c>
      <c r="EV38" t="e">
        <f>#REF!+";Hb!$:;"</f>
        <v>#REF!</v>
      </c>
      <c r="EW38" t="e">
        <f>#REF!+";Hb!$:&lt;"</f>
        <v>#REF!</v>
      </c>
      <c r="EX38" t="e">
        <f>#REF!+";Hb!$:="</f>
        <v>#REF!</v>
      </c>
      <c r="EY38" t="e">
        <f>#REF!+";Hb!$:&gt;"</f>
        <v>#REF!</v>
      </c>
      <c r="EZ38" t="e">
        <f>#REF!+";Hb!$:?"</f>
        <v>#REF!</v>
      </c>
      <c r="FA38" t="e">
        <f>#REF!+";Hb!$:@"</f>
        <v>#REF!</v>
      </c>
      <c r="FB38" t="e">
        <f>#REF!+";Hb!$:A"</f>
        <v>#REF!</v>
      </c>
      <c r="FC38" t="e">
        <f>#REF!+";Hb!$:B"</f>
        <v>#REF!</v>
      </c>
      <c r="FD38" t="e">
        <f>#REF!+";Hb!$:C"</f>
        <v>#REF!</v>
      </c>
      <c r="FE38" t="e">
        <f>#REF!+";Hb!$:D"</f>
        <v>#REF!</v>
      </c>
      <c r="FF38" t="e">
        <f>#REF!+";Hb!$:E"</f>
        <v>#REF!</v>
      </c>
      <c r="FG38" t="e">
        <f>#REF!+";Hb!$:F"</f>
        <v>#REF!</v>
      </c>
      <c r="FH38" t="e">
        <f>#REF!+";Hb!$:G"</f>
        <v>#REF!</v>
      </c>
      <c r="FI38" t="e">
        <f>#REF!+";Hb!$:H"</f>
        <v>#REF!</v>
      </c>
      <c r="FJ38" t="e">
        <f>#REF!+";Hb!$:I"</f>
        <v>#REF!</v>
      </c>
      <c r="FK38" t="e">
        <f>#REF!+";Hb!$:J"</f>
        <v>#REF!</v>
      </c>
      <c r="FL38" t="e">
        <f>#REF!+";Hb!$:K"</f>
        <v>#REF!</v>
      </c>
      <c r="FM38" t="e">
        <f>#REF!+";Hb!$:L"</f>
        <v>#REF!</v>
      </c>
      <c r="FN38" t="e">
        <f>#REF!+";Hb!$:M"</f>
        <v>#REF!</v>
      </c>
      <c r="FO38" t="e">
        <f>#REF!+";Hb!$:N"</f>
        <v>#REF!</v>
      </c>
      <c r="FP38" t="e">
        <f>#REF!+";Hb!$:O"</f>
        <v>#REF!</v>
      </c>
      <c r="FQ38" t="e">
        <f>#REF!+";Hb!$:P"</f>
        <v>#REF!</v>
      </c>
      <c r="FR38" t="e">
        <f>#REF!+";Hb!$:Q"</f>
        <v>#REF!</v>
      </c>
      <c r="FS38" t="e">
        <f>#REF!+";Hb!$:R"</f>
        <v>#REF!</v>
      </c>
      <c r="FT38" t="e">
        <f>#REF!+";Hb!$:S"</f>
        <v>#REF!</v>
      </c>
      <c r="FU38" t="e">
        <f>#REF!+";Hb!$:T"</f>
        <v>#REF!</v>
      </c>
      <c r="FV38" t="e">
        <f>#REF!+";Hb!$:U"</f>
        <v>#REF!</v>
      </c>
      <c r="FW38" t="e">
        <f>#REF!+";Hb!$:V"</f>
        <v>#REF!</v>
      </c>
      <c r="FX38" t="e">
        <f>#REF!+";Hb!$:W"</f>
        <v>#REF!</v>
      </c>
      <c r="FY38" t="e">
        <f>#REF!+";Hb!$:X"</f>
        <v>#REF!</v>
      </c>
      <c r="FZ38" t="e">
        <f>#REF!+";Hb!$:Y"</f>
        <v>#REF!</v>
      </c>
      <c r="GA38" t="e">
        <f>#REF!+";Hb!$:Z"</f>
        <v>#REF!</v>
      </c>
      <c r="GB38" t="e">
        <f>#REF!+";Hb!$:["</f>
        <v>#REF!</v>
      </c>
      <c r="GC38" t="e">
        <f>#REF!+";Hb!$:\"</f>
        <v>#REF!</v>
      </c>
      <c r="GD38" t="e">
        <f>#REF!+";Hb!$:]"</f>
        <v>#REF!</v>
      </c>
      <c r="GE38" t="e">
        <f>#REF!+";Hb!$:^"</f>
        <v>#REF!</v>
      </c>
      <c r="GF38" t="e">
        <f>#REF!+";Hb!$:_"</f>
        <v>#REF!</v>
      </c>
      <c r="GG38" t="e">
        <f>#REF!+";Hb!$:`"</f>
        <v>#REF!</v>
      </c>
      <c r="GH38" t="e">
        <f>#REF!+";Hb!$:a"</f>
        <v>#REF!</v>
      </c>
      <c r="GI38" t="e">
        <f>#REF!+";Hb!$:b"</f>
        <v>#REF!</v>
      </c>
      <c r="GJ38" t="e">
        <f>#REF!+";Hb!$:c"</f>
        <v>#REF!</v>
      </c>
      <c r="GK38" t="e">
        <f>#REF!+";Hb!$:d"</f>
        <v>#REF!</v>
      </c>
      <c r="GL38" t="e">
        <f>#REF!+";Hb!$:e"</f>
        <v>#REF!</v>
      </c>
      <c r="GM38" t="e">
        <f>#REF!+";Hb!$:f"</f>
        <v>#REF!</v>
      </c>
      <c r="GN38" t="e">
        <f>#REF!+";Hb!$:g"</f>
        <v>#REF!</v>
      </c>
      <c r="GO38" t="e">
        <f>#REF!+";Hb!$:h"</f>
        <v>#REF!</v>
      </c>
      <c r="GP38" t="e">
        <f>#REF!+";Hb!$:i"</f>
        <v>#REF!</v>
      </c>
      <c r="GQ38" t="e">
        <f>#REF!+";Hb!$:j"</f>
        <v>#REF!</v>
      </c>
      <c r="GR38" t="e">
        <f>#REF!+";Hb!$:k"</f>
        <v>#REF!</v>
      </c>
      <c r="GS38" t="e">
        <f>#REF!+";Hb!$:l"</f>
        <v>#REF!</v>
      </c>
      <c r="GT38" t="e">
        <f>#REF!+";Hb!$:m"</f>
        <v>#REF!</v>
      </c>
      <c r="GU38" t="e">
        <f>#REF!+";Hb!$:n"</f>
        <v>#REF!</v>
      </c>
      <c r="GV38" t="e">
        <f>#REF!+";Hb!$:o"</f>
        <v>#REF!</v>
      </c>
      <c r="GW38" t="e">
        <f>#REF!+";Hb!$:p"</f>
        <v>#REF!</v>
      </c>
      <c r="GX38" t="e">
        <f>#REF!+";Hb!$:q"</f>
        <v>#REF!</v>
      </c>
      <c r="GY38" t="e">
        <f>#REF!+";Hb!$:r"</f>
        <v>#REF!</v>
      </c>
      <c r="GZ38" t="e">
        <f>#REF!+";Hb!$:s"</f>
        <v>#REF!</v>
      </c>
      <c r="HA38" t="e">
        <f>#REF!+";Hb!$:t"</f>
        <v>#REF!</v>
      </c>
      <c r="HB38" t="e">
        <f>#REF!+";Hb!$:u"</f>
        <v>#REF!</v>
      </c>
      <c r="HC38" t="e">
        <f>#REF!+";Hb!$:v"</f>
        <v>#REF!</v>
      </c>
      <c r="HD38" t="e">
        <f>#REF!+";Hb!$:w"</f>
        <v>#REF!</v>
      </c>
      <c r="HE38" t="e">
        <f>#REF!+";Hb!$:x"</f>
        <v>#REF!</v>
      </c>
      <c r="HF38" t="e">
        <f>#REF!+";Hb!$:y"</f>
        <v>#REF!</v>
      </c>
      <c r="HG38" t="e">
        <f>#REF!+";Hb!$:z"</f>
        <v>#REF!</v>
      </c>
      <c r="HH38" t="e">
        <f>#REF!+";Hb!$:{"</f>
        <v>#REF!</v>
      </c>
      <c r="HI38" t="e">
        <f>#REF!+";Hb!$:|"</f>
        <v>#REF!</v>
      </c>
      <c r="HJ38" t="e">
        <f>#REF!+";Hb!$:}"</f>
        <v>#REF!</v>
      </c>
      <c r="HK38" t="e">
        <f>#REF!+";Hb!$:~"</f>
        <v>#REF!</v>
      </c>
      <c r="HL38" t="e">
        <f>#REF!+";Hb!$;#"</f>
        <v>#REF!</v>
      </c>
      <c r="HM38" t="e">
        <f>#REF!+";Hb!$;$"</f>
        <v>#REF!</v>
      </c>
      <c r="HN38" t="e">
        <f>#REF!+";Hb!$;%"</f>
        <v>#REF!</v>
      </c>
      <c r="HO38" t="e">
        <f>#REF!+";Hb!$;&amp;"</f>
        <v>#REF!</v>
      </c>
      <c r="HP38" t="e">
        <f>#REF!+";Hb!$;'"</f>
        <v>#REF!</v>
      </c>
      <c r="HQ38" t="e">
        <f>#REF!+";Hb!$;("</f>
        <v>#REF!</v>
      </c>
      <c r="HR38" t="e">
        <f>#REF!+";Hb!$;)"</f>
        <v>#REF!</v>
      </c>
      <c r="HS38" t="e">
        <f>#REF!+";Hb!$;."</f>
        <v>#REF!</v>
      </c>
      <c r="HT38" t="e">
        <f>#REF!+";Hb!$;/"</f>
        <v>#REF!</v>
      </c>
      <c r="HU38" t="e">
        <f>#REF!+";Hb!$;0"</f>
        <v>#REF!</v>
      </c>
      <c r="HV38" t="e">
        <f>#REF!+";Hb!$;1"</f>
        <v>#REF!</v>
      </c>
      <c r="HW38" t="e">
        <f>#REF!+";Hb!$;2"</f>
        <v>#REF!</v>
      </c>
      <c r="HX38" t="e">
        <f>#REF!+";Hb!$;3"</f>
        <v>#REF!</v>
      </c>
      <c r="HY38" t="e">
        <f>#REF!+";Hb!$;4"</f>
        <v>#REF!</v>
      </c>
      <c r="HZ38" t="e">
        <f>#REF!+";Hb!$;5"</f>
        <v>#REF!</v>
      </c>
      <c r="IA38" t="e">
        <f>#REF!+";Hb!$;6"</f>
        <v>#REF!</v>
      </c>
      <c r="IB38" t="e">
        <f>#REF!+";Hb!$;7"</f>
        <v>#REF!</v>
      </c>
      <c r="IC38" t="e">
        <f>#REF!+";Hb!$;8"</f>
        <v>#REF!</v>
      </c>
      <c r="ID38" t="e">
        <f>#REF!+";Hb!$;9"</f>
        <v>#REF!</v>
      </c>
      <c r="IE38" t="e">
        <f>#REF!+";Hb!$;:"</f>
        <v>#REF!</v>
      </c>
      <c r="IF38" t="e">
        <f>#REF!+";Hb!$;;"</f>
        <v>#REF!</v>
      </c>
      <c r="IG38" t="e">
        <f>#REF!+";Hb!$;&lt;"</f>
        <v>#REF!</v>
      </c>
      <c r="IH38" t="e">
        <f>#REF!+";Hb!$;="</f>
        <v>#REF!</v>
      </c>
      <c r="II38" t="e">
        <f>#REF!+";Hb!$;&gt;"</f>
        <v>#REF!</v>
      </c>
      <c r="IJ38" t="e">
        <f>#REF!+";Hb!$;?"</f>
        <v>#REF!</v>
      </c>
      <c r="IK38" t="e">
        <f>#REF!+";Hb!$;@"</f>
        <v>#REF!</v>
      </c>
      <c r="IL38" t="e">
        <f>#REF!+";Hb!$;A"</f>
        <v>#REF!</v>
      </c>
      <c r="IM38" t="e">
        <f>#REF!+";Hb!$;B"</f>
        <v>#REF!</v>
      </c>
      <c r="IN38" t="e">
        <f>#REF!+";Hb!$;C"</f>
        <v>#REF!</v>
      </c>
      <c r="IO38" t="e">
        <f>#REF!+";Hb!$;D"</f>
        <v>#REF!</v>
      </c>
      <c r="IP38" t="e">
        <f>#REF!+";Hb!$;E"</f>
        <v>#REF!</v>
      </c>
      <c r="IQ38" t="e">
        <f>#REF!+";Hb!$;F"</f>
        <v>#REF!</v>
      </c>
      <c r="IR38" t="e">
        <f>#REF!+";Hb!$;G"</f>
        <v>#REF!</v>
      </c>
      <c r="IS38" t="e">
        <f>#REF!+";Hb!$;H"</f>
        <v>#REF!</v>
      </c>
      <c r="IT38" t="e">
        <f>#REF!+";Hb!$;I"</f>
        <v>#REF!</v>
      </c>
      <c r="IU38" t="e">
        <f>#REF!+";Hb!$;J"</f>
        <v>#REF!</v>
      </c>
      <c r="IV38" t="e">
        <f>#REF!+";Hb!$;K"</f>
        <v>#REF!</v>
      </c>
    </row>
    <row r="39" spans="6:256" x14ac:dyDescent="0.25">
      <c r="F39" t="e">
        <f>#REF!+";Hb!$;L"</f>
        <v>#REF!</v>
      </c>
      <c r="G39" t="e">
        <f>#REF!+";Hb!$;M"</f>
        <v>#REF!</v>
      </c>
      <c r="H39" t="e">
        <f>#REF!+";Hb!$;N"</f>
        <v>#REF!</v>
      </c>
      <c r="I39" t="e">
        <f>#REF!+";Hb!$;O"</f>
        <v>#REF!</v>
      </c>
      <c r="J39" t="e">
        <f>#REF!+";Hb!$;P"</f>
        <v>#REF!</v>
      </c>
      <c r="K39" t="e">
        <f>#REF!+";Hb!$;Q"</f>
        <v>#REF!</v>
      </c>
      <c r="L39" t="e">
        <f>#REF!+";Hb!$;R"</f>
        <v>#REF!</v>
      </c>
      <c r="M39" t="e">
        <f>#REF!+";Hb!$;S"</f>
        <v>#REF!</v>
      </c>
      <c r="N39" t="e">
        <f>#REF!+";Hb!$;T"</f>
        <v>#REF!</v>
      </c>
      <c r="O39" t="e">
        <f>#REF!+";Hb!$;U"</f>
        <v>#REF!</v>
      </c>
      <c r="P39" t="e">
        <f>#REF!+";Hb!$;V"</f>
        <v>#REF!</v>
      </c>
      <c r="Q39" t="e">
        <f>#REF!+";Hb!$;W"</f>
        <v>#REF!</v>
      </c>
      <c r="R39" t="e">
        <f>#REF!+";Hb!$;X"</f>
        <v>#REF!</v>
      </c>
      <c r="S39" t="e">
        <f>#REF!+";Hb!$;Y"</f>
        <v>#REF!</v>
      </c>
      <c r="T39" t="e">
        <f>#REF!+";Hb!$;Z"</f>
        <v>#REF!</v>
      </c>
      <c r="U39" t="e">
        <f>#REF!+";Hb!$;["</f>
        <v>#REF!</v>
      </c>
      <c r="V39" t="e">
        <f>#REF!+";Hb!$;\"</f>
        <v>#REF!</v>
      </c>
      <c r="W39" t="e">
        <f>#REF!+";Hb!$;]"</f>
        <v>#REF!</v>
      </c>
      <c r="X39" t="e">
        <f>#REF!+";Hb!$;^"</f>
        <v>#REF!</v>
      </c>
      <c r="Y39" t="e">
        <f>#REF!+";Hb!$;_"</f>
        <v>#REF!</v>
      </c>
      <c r="Z39" t="e">
        <f>#REF!+";Hb!$;`"</f>
        <v>#REF!</v>
      </c>
      <c r="AA39" t="e">
        <f>#REF!+";Hb!$;a"</f>
        <v>#REF!</v>
      </c>
      <c r="AB39" t="e">
        <f>#REF!+";Hb!$;b"</f>
        <v>#REF!</v>
      </c>
      <c r="AC39" t="e">
        <f>#REF!+";Hb!$;c"</f>
        <v>#REF!</v>
      </c>
      <c r="AD39" t="e">
        <f>#REF!+";Hb!$;d"</f>
        <v>#REF!</v>
      </c>
      <c r="AE39" t="e">
        <f>#REF!+";Hb!$;e"</f>
        <v>#REF!</v>
      </c>
      <c r="AF39" t="e">
        <f>#REF!+";Hb!$;f"</f>
        <v>#REF!</v>
      </c>
      <c r="AG39" t="e">
        <f>#REF!+";Hb!$;g"</f>
        <v>#REF!</v>
      </c>
      <c r="AH39" t="e">
        <f>#REF!+";Hb!$;h"</f>
        <v>#REF!</v>
      </c>
      <c r="AI39" t="e">
        <f>#REF!+";Hb!$;i"</f>
        <v>#REF!</v>
      </c>
      <c r="AJ39" t="e">
        <f>#REF!+";Hb!$;j"</f>
        <v>#REF!</v>
      </c>
      <c r="AK39" t="e">
        <f>#REF!+";Hb!$;k"</f>
        <v>#REF!</v>
      </c>
      <c r="AL39" t="e">
        <f>#REF!+";Hb!$;l"</f>
        <v>#REF!</v>
      </c>
      <c r="AM39" t="e">
        <f>#REF!+";Hb!$;m"</f>
        <v>#REF!</v>
      </c>
      <c r="AN39" t="e">
        <f>#REF!+";Hb!$;n"</f>
        <v>#REF!</v>
      </c>
      <c r="AO39" t="e">
        <f>#REF!+";Hb!$;o"</f>
        <v>#REF!</v>
      </c>
      <c r="AP39" t="e">
        <f>#REF!+";Hb!$;p"</f>
        <v>#REF!</v>
      </c>
      <c r="AQ39" t="e">
        <f>#REF!+";Hb!$;q"</f>
        <v>#REF!</v>
      </c>
      <c r="AR39" t="e">
        <f>#REF!+";Hb!$;r"</f>
        <v>#REF!</v>
      </c>
      <c r="AS39" t="e">
        <f>#REF!+";Hb!$;s"</f>
        <v>#REF!</v>
      </c>
      <c r="AT39" t="e">
        <f>#REF!+";Hb!$;t"</f>
        <v>#REF!</v>
      </c>
      <c r="AU39" t="e">
        <f>#REF!+";Hb!$;u"</f>
        <v>#REF!</v>
      </c>
      <c r="AV39" t="e">
        <f>#REF!+";Hb!$;v"</f>
        <v>#REF!</v>
      </c>
      <c r="AW39" t="e">
        <f>#REF!+";Hb!$;w"</f>
        <v>#REF!</v>
      </c>
      <c r="AX39" t="e">
        <f>#REF!+";Hb!$;x"</f>
        <v>#REF!</v>
      </c>
      <c r="AY39" t="e">
        <f>#REF!+";Hb!$;y"</f>
        <v>#REF!</v>
      </c>
      <c r="AZ39" t="e">
        <f>#REF!+";Hb!$;z"</f>
        <v>#REF!</v>
      </c>
      <c r="BA39" t="e">
        <f>#REF!+";Hb!$;{"</f>
        <v>#REF!</v>
      </c>
      <c r="BB39" t="e">
        <f>#REF!+";Hb!$;|"</f>
        <v>#REF!</v>
      </c>
      <c r="BC39" t="e">
        <f>#REF!+";Hb!$;}"</f>
        <v>#REF!</v>
      </c>
      <c r="BD39" t="e">
        <f>#REF!+";Hb!$;~"</f>
        <v>#REF!</v>
      </c>
      <c r="BE39" t="e">
        <f>#REF!+";Hb!$&lt;#"</f>
        <v>#REF!</v>
      </c>
      <c r="BF39" t="e">
        <f>#REF!+";Hb!$&lt;$"</f>
        <v>#REF!</v>
      </c>
      <c r="BG39" t="e">
        <f>#REF!+";Hb!$&lt;%"</f>
        <v>#REF!</v>
      </c>
      <c r="BH39" t="e">
        <f>#REF!+";Hb!$&lt;&amp;"</f>
        <v>#REF!</v>
      </c>
      <c r="BI39" t="e">
        <f>#REF!+";Hb!$&lt;'"</f>
        <v>#REF!</v>
      </c>
      <c r="BJ39" t="e">
        <f>#REF!+";Hb!$&lt;("</f>
        <v>#REF!</v>
      </c>
      <c r="BK39" t="e">
        <f>#REF!+";Hb!$&lt;)"</f>
        <v>#REF!</v>
      </c>
      <c r="BL39" t="e">
        <f>#REF!+";Hb!$&lt;."</f>
        <v>#REF!</v>
      </c>
      <c r="BM39" t="e">
        <f>#REF!+";Hb!$&lt;/"</f>
        <v>#REF!</v>
      </c>
      <c r="BN39" t="e">
        <f>#REF!+";Hb!$&lt;0"</f>
        <v>#REF!</v>
      </c>
      <c r="BO39" t="e">
        <f>#REF!+";Hb!$&lt;1"</f>
        <v>#REF!</v>
      </c>
      <c r="BP39" t="e">
        <f>#REF!+";Hb!$&lt;2"</f>
        <v>#REF!</v>
      </c>
      <c r="BQ39" t="e">
        <f>#REF!+";Hb!$&lt;3"</f>
        <v>#REF!</v>
      </c>
      <c r="BR39" t="e">
        <f>#REF!+";Hb!$&lt;4"</f>
        <v>#REF!</v>
      </c>
      <c r="BS39" t="e">
        <f>#REF!+";Hb!$&lt;5"</f>
        <v>#REF!</v>
      </c>
      <c r="BT39" t="e">
        <f>#REF!+";Hb!$&lt;6"</f>
        <v>#REF!</v>
      </c>
      <c r="BU39" t="e">
        <f>#REF!+";Hb!$&lt;7"</f>
        <v>#REF!</v>
      </c>
      <c r="BV39" t="e">
        <f>#REF!+";Hb!$&lt;8"</f>
        <v>#REF!</v>
      </c>
      <c r="BW39" t="e">
        <f>#REF!+";Hb!$&lt;9"</f>
        <v>#REF!</v>
      </c>
      <c r="BX39" t="e">
        <f>#REF!+";Hb!$&lt;:"</f>
        <v>#REF!</v>
      </c>
      <c r="BY39" t="e">
        <f>#REF!+";Hb!$&lt;;"</f>
        <v>#REF!</v>
      </c>
      <c r="BZ39" t="e">
        <f>#REF!+";Hb!$&lt;&lt;"</f>
        <v>#REF!</v>
      </c>
      <c r="CA39" t="e">
        <f>#REF!+";Hb!$&lt;="</f>
        <v>#REF!</v>
      </c>
      <c r="CB39" t="e">
        <f>#REF!+";Hb!$&lt;&gt;"</f>
        <v>#REF!</v>
      </c>
      <c r="CC39" t="e">
        <f>#REF!+";Hb!$&lt;?"</f>
        <v>#REF!</v>
      </c>
      <c r="CD39" t="e">
        <f>#REF!+";Hb!$&lt;@"</f>
        <v>#REF!</v>
      </c>
      <c r="CE39" t="e">
        <f>#REF!+";Hb!$&lt;A"</f>
        <v>#REF!</v>
      </c>
      <c r="CF39" t="e">
        <f>#REF!+";Hb!$&lt;B"</f>
        <v>#REF!</v>
      </c>
      <c r="CG39" t="e">
        <f>#REF!+";Hb!$&lt;C"</f>
        <v>#REF!</v>
      </c>
      <c r="CH39" t="e">
        <f>#REF!+";Hb!$&lt;D"</f>
        <v>#REF!</v>
      </c>
      <c r="CI39" t="e">
        <f>#REF!+";Hb!$&lt;E"</f>
        <v>#REF!</v>
      </c>
      <c r="CJ39" t="e">
        <f>#REF!+";Hb!$&lt;F"</f>
        <v>#REF!</v>
      </c>
      <c r="CK39" t="e">
        <f>#REF!+";Hb!$&lt;G"</f>
        <v>#REF!</v>
      </c>
      <c r="CL39" t="e">
        <f>#REF!+";Hb!$&lt;H"</f>
        <v>#REF!</v>
      </c>
      <c r="CM39" t="e">
        <f>#REF!+";Hb!$&lt;I"</f>
        <v>#REF!</v>
      </c>
      <c r="CN39" t="e">
        <f>#REF!+";Hb!$&lt;J"</f>
        <v>#REF!</v>
      </c>
      <c r="CO39" t="e">
        <f>#REF!+";Hb!$&lt;K"</f>
        <v>#REF!</v>
      </c>
      <c r="CP39" t="e">
        <f>#REF!+";Hb!$&lt;L"</f>
        <v>#REF!</v>
      </c>
      <c r="CQ39" t="e">
        <f>#REF!+";Hb!$&lt;M"</f>
        <v>#REF!</v>
      </c>
      <c r="CR39" t="e">
        <f>#REF!+";Hb!$&lt;N"</f>
        <v>#REF!</v>
      </c>
      <c r="CS39" t="e">
        <f>#REF!+";Hb!$&lt;O"</f>
        <v>#REF!</v>
      </c>
      <c r="CT39" t="e">
        <f>#REF!+";Hb!$&lt;P"</f>
        <v>#REF!</v>
      </c>
      <c r="CU39" t="e">
        <f>#REF!+";Hb!$&lt;Q"</f>
        <v>#REF!</v>
      </c>
      <c r="CV39" t="e">
        <f>#REF!+";Hb!$&lt;R"</f>
        <v>#REF!</v>
      </c>
      <c r="CW39" t="e">
        <f>#REF!+";Hb!$&lt;S"</f>
        <v>#REF!</v>
      </c>
      <c r="CX39" t="e">
        <f>#REF!+";Hb!$&lt;T"</f>
        <v>#REF!</v>
      </c>
      <c r="CY39" t="e">
        <f>#REF!+";Hb!$&lt;U"</f>
        <v>#REF!</v>
      </c>
      <c r="CZ39" t="e">
        <f>#REF!+";Hb!$&lt;V"</f>
        <v>#REF!</v>
      </c>
      <c r="DA39" t="e">
        <f>#REF!+";Hb!$&lt;W"</f>
        <v>#REF!</v>
      </c>
      <c r="DB39" t="e">
        <f>#REF!+";Hb!$&lt;X"</f>
        <v>#REF!</v>
      </c>
      <c r="DC39" t="e">
        <f>#REF!+";Hb!$&lt;Y"</f>
        <v>#REF!</v>
      </c>
      <c r="DD39" t="e">
        <f>#REF!+";Hb!$&lt;Z"</f>
        <v>#REF!</v>
      </c>
      <c r="DE39" t="e">
        <f>#REF!+";Hb!$&lt;["</f>
        <v>#REF!</v>
      </c>
      <c r="DF39" t="e">
        <f>#REF!+";Hb!$&lt;\"</f>
        <v>#REF!</v>
      </c>
      <c r="DG39" t="e">
        <f>#REF!+";Hb!$&lt;]"</f>
        <v>#REF!</v>
      </c>
      <c r="DH39" t="e">
        <f>#REF!+";Hb!$&lt;^"</f>
        <v>#REF!</v>
      </c>
      <c r="DI39" t="e">
        <f>#REF!+";Hb!$&lt;_"</f>
        <v>#REF!</v>
      </c>
      <c r="DJ39" t="e">
        <f>#REF!+";Hb!$&lt;`"</f>
        <v>#REF!</v>
      </c>
      <c r="DK39" t="e">
        <f>#REF!+";Hb!$&lt;a"</f>
        <v>#REF!</v>
      </c>
      <c r="DL39" t="e">
        <f>#REF!+";Hb!$&lt;b"</f>
        <v>#REF!</v>
      </c>
      <c r="DM39" t="e">
        <f>#REF!+";Hb!$&lt;c"</f>
        <v>#REF!</v>
      </c>
      <c r="DN39" t="e">
        <f>#REF!+";Hb!$&lt;d"</f>
        <v>#REF!</v>
      </c>
      <c r="DO39" t="e">
        <f>#REF!+";Hb!$&lt;e"</f>
        <v>#REF!</v>
      </c>
      <c r="DP39" t="e">
        <f>#REF!+";Hb!$&lt;f"</f>
        <v>#REF!</v>
      </c>
      <c r="DQ39" t="e">
        <f>#REF!+";Hb!$&lt;g"</f>
        <v>#REF!</v>
      </c>
      <c r="DR39" t="e">
        <f>#REF!+";Hb!$&lt;h"</f>
        <v>#REF!</v>
      </c>
      <c r="DS39" t="e">
        <f>#REF!+";Hb!$&lt;i"</f>
        <v>#REF!</v>
      </c>
      <c r="DT39" t="e">
        <f>#REF!+";Hb!$&lt;j"</f>
        <v>#REF!</v>
      </c>
      <c r="DU39" t="e">
        <f>#REF!+";Hb!$&lt;k"</f>
        <v>#REF!</v>
      </c>
      <c r="DV39" t="e">
        <f>#REF!+";Hb!$&lt;l"</f>
        <v>#REF!</v>
      </c>
      <c r="DW39" t="e">
        <f>#REF!+";Hb!$&lt;m"</f>
        <v>#REF!</v>
      </c>
      <c r="DX39" t="e">
        <f>#REF!+";Hb!$&lt;n"</f>
        <v>#REF!</v>
      </c>
      <c r="DY39" t="e">
        <f>#REF!+";Hb!$&lt;o"</f>
        <v>#REF!</v>
      </c>
      <c r="DZ39" t="e">
        <f>#REF!+";Hb!$&lt;p"</f>
        <v>#REF!</v>
      </c>
      <c r="EA39" t="e">
        <f>#REF!+";Hb!$&lt;q"</f>
        <v>#REF!</v>
      </c>
      <c r="EB39" t="e">
        <f>#REF!+";Hb!$&lt;r"</f>
        <v>#REF!</v>
      </c>
      <c r="EC39" t="e">
        <f>#REF!+";Hb!$&lt;s"</f>
        <v>#REF!</v>
      </c>
      <c r="ED39" t="e">
        <f>#REF!+";Hb!$&lt;t"</f>
        <v>#REF!</v>
      </c>
      <c r="EE39" t="e">
        <f>#REF!+";Hb!$&lt;u"</f>
        <v>#REF!</v>
      </c>
      <c r="EF39" t="e">
        <f>#REF!+";Hb!$&lt;v"</f>
        <v>#REF!</v>
      </c>
      <c r="EG39" t="e">
        <f>#REF!+";Hb!$&lt;w"</f>
        <v>#REF!</v>
      </c>
      <c r="EH39" t="e">
        <f>#REF!+";Hb!$&lt;x"</f>
        <v>#REF!</v>
      </c>
      <c r="EI39" t="e">
        <f>#REF!+";Hb!$&lt;y"</f>
        <v>#REF!</v>
      </c>
      <c r="EJ39" t="e">
        <f>#REF!+";Hb!$&lt;z"</f>
        <v>#REF!</v>
      </c>
      <c r="EK39" t="e">
        <f>#REF!+";Hb!$&lt;{"</f>
        <v>#REF!</v>
      </c>
      <c r="EL39" t="e">
        <f>#REF!+";Hb!$&lt;|"</f>
        <v>#REF!</v>
      </c>
      <c r="EM39" t="e">
        <f>#REF!+";Hb!$&lt;}"</f>
        <v>#REF!</v>
      </c>
      <c r="EN39" t="e">
        <f>#REF!+";Hb!$&lt;~"</f>
        <v>#REF!</v>
      </c>
      <c r="EO39" t="e">
        <f>#REF!+";Hb!$=#"</f>
        <v>#REF!</v>
      </c>
      <c r="EP39" t="e">
        <f>#REF!+";Hb!$=$"</f>
        <v>#REF!</v>
      </c>
      <c r="EQ39" t="e">
        <f>#REF!+";Hb!$=%"</f>
        <v>#REF!</v>
      </c>
      <c r="ER39" t="e">
        <f>#REF!+";Hb!$=&amp;"</f>
        <v>#REF!</v>
      </c>
      <c r="ES39" t="e">
        <f>#REF!+";Hb!$='"</f>
        <v>#REF!</v>
      </c>
      <c r="ET39" t="e">
        <f>#REF!+";Hb!$=("</f>
        <v>#REF!</v>
      </c>
      <c r="EU39" t="e">
        <f>#REF!+";Hb!$=)"</f>
        <v>#REF!</v>
      </c>
      <c r="EV39" t="e">
        <f>#REF!+";Hb!$=."</f>
        <v>#REF!</v>
      </c>
      <c r="EW39" t="e">
        <f>#REF!+";Hb!$=/"</f>
        <v>#REF!</v>
      </c>
      <c r="EX39" t="e">
        <f>#REF!+";Hb!$=0"</f>
        <v>#REF!</v>
      </c>
      <c r="EY39" t="e">
        <f>#REF!+";Hb!$=1"</f>
        <v>#REF!</v>
      </c>
      <c r="EZ39" t="e">
        <f>#REF!+";Hb!$=2"</f>
        <v>#REF!</v>
      </c>
      <c r="FA39" t="e">
        <f>#REF!+";Hb!$=3"</f>
        <v>#REF!</v>
      </c>
      <c r="FB39" t="e">
        <f>#REF!+";Hb!$=4"</f>
        <v>#REF!</v>
      </c>
      <c r="FC39" t="e">
        <f>#REF!+";Hb!$=5"</f>
        <v>#REF!</v>
      </c>
      <c r="FD39" t="e">
        <f>#REF!+";Hb!$=6"</f>
        <v>#REF!</v>
      </c>
      <c r="FE39" t="e">
        <f>#REF!+";Hb!$=7"</f>
        <v>#REF!</v>
      </c>
      <c r="FF39" t="e">
        <f>#REF!+";Hb!$=8"</f>
        <v>#REF!</v>
      </c>
      <c r="FG39" t="e">
        <f>#REF!+";Hb!$=9"</f>
        <v>#REF!</v>
      </c>
      <c r="FH39" t="e">
        <f>#REF!+";Hb!$=:"</f>
        <v>#REF!</v>
      </c>
      <c r="FI39" t="e">
        <f>#REF!+";Hb!$=;"</f>
        <v>#REF!</v>
      </c>
      <c r="FJ39" t="e">
        <f>#REF!+";Hb!$=&lt;"</f>
        <v>#REF!</v>
      </c>
      <c r="FK39" t="e">
        <f>#REF!+";Hb!$=="</f>
        <v>#REF!</v>
      </c>
      <c r="FL39" t="e">
        <f>#REF!+";Hb!$=&gt;"</f>
        <v>#REF!</v>
      </c>
      <c r="FM39" t="e">
        <f>#REF!+";Hb!$=?"</f>
        <v>#REF!</v>
      </c>
      <c r="FN39" t="e">
        <f>#REF!+";Hb!$=@"</f>
        <v>#REF!</v>
      </c>
      <c r="FO39" t="e">
        <f>#REF!+";Hb!$=A"</f>
        <v>#REF!</v>
      </c>
      <c r="FP39" t="e">
        <f>#REF!+";Hb!$=B"</f>
        <v>#REF!</v>
      </c>
      <c r="FQ39" t="e">
        <f>#REF!+";Hb!$=C"</f>
        <v>#REF!</v>
      </c>
      <c r="FR39" t="e">
        <f>#REF!+";Hb!$=D"</f>
        <v>#REF!</v>
      </c>
      <c r="FS39" t="e">
        <f>#REF!+";Hb!$=E"</f>
        <v>#REF!</v>
      </c>
      <c r="FT39" t="e">
        <f>#REF!+";Hb!$=F"</f>
        <v>#REF!</v>
      </c>
      <c r="FU39" t="e">
        <f>#REF!+";Hb!$=G"</f>
        <v>#REF!</v>
      </c>
      <c r="FV39" t="e">
        <f>#REF!+";Hb!$=H"</f>
        <v>#REF!</v>
      </c>
      <c r="FW39" t="e">
        <f>#REF!+";Hb!$=I"</f>
        <v>#REF!</v>
      </c>
      <c r="FX39" t="e">
        <f>#REF!+";Hb!$=J"</f>
        <v>#REF!</v>
      </c>
      <c r="FY39" t="e">
        <f>#REF!+";Hb!$=K"</f>
        <v>#REF!</v>
      </c>
      <c r="FZ39" t="e">
        <f>#REF!+";Hb!$=L"</f>
        <v>#REF!</v>
      </c>
      <c r="GA39" t="e">
        <f>#REF!+";Hb!$=M"</f>
        <v>#REF!</v>
      </c>
      <c r="GB39" t="e">
        <f>#REF!+";Hb!$=N"</f>
        <v>#REF!</v>
      </c>
      <c r="GC39" t="e">
        <f>#REF!+";Hb!$=O"</f>
        <v>#REF!</v>
      </c>
      <c r="GD39" t="e">
        <f>#REF!+";Hb!$=P"</f>
        <v>#REF!</v>
      </c>
      <c r="GE39" t="e">
        <f>#REF!+";Hb!$=Q"</f>
        <v>#REF!</v>
      </c>
      <c r="GF39" t="e">
        <f>#REF!+";Hb!$=R"</f>
        <v>#REF!</v>
      </c>
      <c r="GG39" t="e">
        <f>#REF!+";Hb!$=S"</f>
        <v>#REF!</v>
      </c>
      <c r="GH39" t="e">
        <f>#REF!+";Hb!$=T"</f>
        <v>#REF!</v>
      </c>
      <c r="GI39" t="e">
        <f>#REF!+";Hb!$=U"</f>
        <v>#REF!</v>
      </c>
      <c r="GJ39" t="e">
        <f>#REF!+";Hb!$=V"</f>
        <v>#REF!</v>
      </c>
      <c r="GK39" t="e">
        <f>#REF!+";Hb!$=W"</f>
        <v>#REF!</v>
      </c>
      <c r="GL39" t="e">
        <f>#REF!+";Hb!$=X"</f>
        <v>#REF!</v>
      </c>
      <c r="GM39" t="e">
        <f>#REF!+";Hb!$=Y"</f>
        <v>#REF!</v>
      </c>
      <c r="GN39" t="e">
        <f>#REF!+";Hb!$=Z"</f>
        <v>#REF!</v>
      </c>
      <c r="GO39" t="e">
        <f>#REF!+";Hb!$=["</f>
        <v>#REF!</v>
      </c>
      <c r="GP39" t="e">
        <f>#REF!+";Hb!$=\"</f>
        <v>#REF!</v>
      </c>
      <c r="GQ39" t="e">
        <f>#REF!+";Hb!$=]"</f>
        <v>#REF!</v>
      </c>
      <c r="GR39" t="e">
        <f>#REF!+";Hb!$=^"</f>
        <v>#REF!</v>
      </c>
      <c r="GS39" t="e">
        <f>#REF!+";Hb!$=_"</f>
        <v>#REF!</v>
      </c>
      <c r="GT39" t="e">
        <f>#REF!+";Hb!$=`"</f>
        <v>#REF!</v>
      </c>
      <c r="GU39" t="e">
        <f>#REF!+";Hb!$=a"</f>
        <v>#REF!</v>
      </c>
      <c r="GV39" t="e">
        <f>#REF!+";Hb!$=b"</f>
        <v>#REF!</v>
      </c>
      <c r="GW39" t="e">
        <f>#REF!+";Hb!$=c"</f>
        <v>#REF!</v>
      </c>
      <c r="GX39" t="e">
        <f>#REF!+";Hb!$=d"</f>
        <v>#REF!</v>
      </c>
      <c r="GY39" t="e">
        <f>#REF!+";Hb!$=e"</f>
        <v>#REF!</v>
      </c>
      <c r="GZ39" t="e">
        <f>#REF!+";Hb!$=f"</f>
        <v>#REF!</v>
      </c>
      <c r="HA39" t="e">
        <f>#REF!+";Hb!$=g"</f>
        <v>#REF!</v>
      </c>
      <c r="HB39" t="e">
        <f>#REF!+";Hb!$=h"</f>
        <v>#REF!</v>
      </c>
      <c r="HC39" t="e">
        <f>#REF!+";Hb!$=i"</f>
        <v>#REF!</v>
      </c>
      <c r="HD39" t="e">
        <f>#REF!+";Hb!$=j"</f>
        <v>#REF!</v>
      </c>
      <c r="HE39" t="e">
        <f>#REF!+";Hb!$=k"</f>
        <v>#REF!</v>
      </c>
      <c r="HF39" t="e">
        <f>#REF!+";Hb!$=l"</f>
        <v>#REF!</v>
      </c>
      <c r="HG39" t="e">
        <f>#REF!+";Hb!$=m"</f>
        <v>#REF!</v>
      </c>
      <c r="HH39" t="e">
        <f>#REF!+";Hb!$=n"</f>
        <v>#REF!</v>
      </c>
      <c r="HI39" t="e">
        <f>#REF!+";Hb!$=o"</f>
        <v>#REF!</v>
      </c>
      <c r="HJ39" t="e">
        <f>#REF!+";Hb!$=p"</f>
        <v>#REF!</v>
      </c>
      <c r="HK39" t="e">
        <f>#REF!+";Hb!$=q"</f>
        <v>#REF!</v>
      </c>
      <c r="HL39" t="e">
        <f>#REF!+";Hb!$=r"</f>
        <v>#REF!</v>
      </c>
      <c r="HM39" t="e">
        <f>#REF!+";Hb!$=s"</f>
        <v>#REF!</v>
      </c>
      <c r="HN39" t="e">
        <f>#REF!+";Hb!$=t"</f>
        <v>#REF!</v>
      </c>
      <c r="HO39" t="e">
        <f>#REF!+";Hb!$=u"</f>
        <v>#REF!</v>
      </c>
      <c r="HP39" t="e">
        <f>#REF!+";Hb!$=v"</f>
        <v>#REF!</v>
      </c>
      <c r="HQ39" t="e">
        <f>#REF!+";Hb!$=w"</f>
        <v>#REF!</v>
      </c>
      <c r="HR39" t="e">
        <f>#REF!+";Hb!$=x"</f>
        <v>#REF!</v>
      </c>
      <c r="HS39" t="e">
        <f>#REF!+";Hb!$=y"</f>
        <v>#REF!</v>
      </c>
      <c r="HT39" t="e">
        <f>#REF!+";Hb!$=z"</f>
        <v>#REF!</v>
      </c>
      <c r="HU39" t="e">
        <f>#REF!+";Hb!$={"</f>
        <v>#REF!</v>
      </c>
      <c r="HV39" t="e">
        <f>#REF!+";Hb!$=|"</f>
        <v>#REF!</v>
      </c>
      <c r="HW39" t="e">
        <f>#REF!+";Hb!$=}"</f>
        <v>#REF!</v>
      </c>
      <c r="HX39" t="e">
        <f>#REF!+";Hb!$=~"</f>
        <v>#REF!</v>
      </c>
      <c r="HY39" t="e">
        <f>#REF!+";Hb!$&gt;#"</f>
        <v>#REF!</v>
      </c>
      <c r="HZ39" t="e">
        <f>#REF!+";Hb!$&gt;$"</f>
        <v>#REF!</v>
      </c>
      <c r="IA39" t="e">
        <f>#REF!+";Hb!$&gt;%"</f>
        <v>#REF!</v>
      </c>
      <c r="IB39" t="e">
        <f>#REF!+";Hb!$&gt;&amp;"</f>
        <v>#REF!</v>
      </c>
      <c r="IC39" t="e">
        <f>#REF!+";Hb!$&gt;'"</f>
        <v>#REF!</v>
      </c>
      <c r="ID39" t="e">
        <f>#REF!+";Hb!$&gt;("</f>
        <v>#REF!</v>
      </c>
      <c r="IE39" t="e">
        <f>#REF!+";Hb!$&gt;)"</f>
        <v>#REF!</v>
      </c>
      <c r="IF39" t="e">
        <f>#REF!+";Hb!$&gt;."</f>
        <v>#REF!</v>
      </c>
      <c r="IG39" t="e">
        <f>#REF!+";Hb!$&gt;/"</f>
        <v>#REF!</v>
      </c>
      <c r="IH39" t="e">
        <f>#REF!+";Hb!$&gt;0"</f>
        <v>#REF!</v>
      </c>
      <c r="II39" t="e">
        <f>#REF!+";Hb!$&gt;1"</f>
        <v>#REF!</v>
      </c>
      <c r="IJ39" t="e">
        <f>#REF!+";Hb!$&gt;2"</f>
        <v>#REF!</v>
      </c>
      <c r="IK39" t="e">
        <f>#REF!+";Hb!$&gt;3"</f>
        <v>#REF!</v>
      </c>
      <c r="IL39" t="e">
        <f>#REF!+";Hb!$&gt;4"</f>
        <v>#REF!</v>
      </c>
      <c r="IM39" t="e">
        <f>#REF!+";Hb!$&gt;5"</f>
        <v>#REF!</v>
      </c>
      <c r="IN39" t="e">
        <f>#REF!+";Hb!$&gt;6"</f>
        <v>#REF!</v>
      </c>
      <c r="IO39" t="e">
        <f>#REF!+";Hb!$&gt;7"</f>
        <v>#REF!</v>
      </c>
      <c r="IP39" t="e">
        <f>#REF!+";Hb!$&gt;8"</f>
        <v>#REF!</v>
      </c>
      <c r="IQ39" t="e">
        <f>#REF!+";Hb!$&gt;9"</f>
        <v>#REF!</v>
      </c>
      <c r="IR39" t="e">
        <f>#REF!+";Hb!$&gt;:"</f>
        <v>#REF!</v>
      </c>
      <c r="IS39" t="e">
        <f>#REF!+";Hb!$&gt;;"</f>
        <v>#REF!</v>
      </c>
      <c r="IT39" t="e">
        <f>#REF!+";Hb!$&gt;&lt;"</f>
        <v>#REF!</v>
      </c>
      <c r="IU39" t="e">
        <f>#REF!+";Hb!$&gt;="</f>
        <v>#REF!</v>
      </c>
      <c r="IV39" t="e">
        <f>#REF!+";Hb!$&gt;&gt;"</f>
        <v>#REF!</v>
      </c>
    </row>
    <row r="40" spans="6:256" x14ac:dyDescent="0.25">
      <c r="F40" t="e">
        <f>#REF!+";Hb!$&gt;?"</f>
        <v>#REF!</v>
      </c>
      <c r="G40" t="e">
        <f>#REF!+";Hb!$&gt;@"</f>
        <v>#REF!</v>
      </c>
      <c r="H40" t="e">
        <f>#REF!+";Hb!$&gt;A"</f>
        <v>#REF!</v>
      </c>
      <c r="I40" t="e">
        <f>#REF!+";Hb!$&gt;B"</f>
        <v>#REF!</v>
      </c>
      <c r="J40" t="e">
        <f>#REF!+";Hb!$&gt;C"</f>
        <v>#REF!</v>
      </c>
      <c r="K40" t="e">
        <f>#REF!+";Hb!$&gt;D"</f>
        <v>#REF!</v>
      </c>
      <c r="L40" t="e">
        <f>#REF!+";Hb!$&gt;E"</f>
        <v>#REF!</v>
      </c>
      <c r="M40" t="e">
        <f>#REF!+";Hb!$&gt;F"</f>
        <v>#REF!</v>
      </c>
      <c r="N40" t="e">
        <f>#REF!+";Hb!$&gt;G"</f>
        <v>#REF!</v>
      </c>
      <c r="O40" t="e">
        <f>#REF!+";Hb!$&gt;H"</f>
        <v>#REF!</v>
      </c>
      <c r="P40" t="e">
        <f>#REF!+";Hb!$&gt;I"</f>
        <v>#REF!</v>
      </c>
      <c r="Q40" t="e">
        <f>#REF!+";Hb!$&gt;J"</f>
        <v>#REF!</v>
      </c>
      <c r="R40" t="e">
        <f>#REF!+";Hb!$&gt;K"</f>
        <v>#REF!</v>
      </c>
      <c r="S40" t="e">
        <f>#REF!+";Hb!$&gt;L"</f>
        <v>#REF!</v>
      </c>
      <c r="T40" t="e">
        <f>#REF!+";Hb!$&gt;M"</f>
        <v>#REF!</v>
      </c>
      <c r="U40" t="e">
        <f>#REF!+";Hb!$&gt;N"</f>
        <v>#REF!</v>
      </c>
      <c r="V40" t="e">
        <f>#REF!+";Hb!$&gt;O"</f>
        <v>#REF!</v>
      </c>
      <c r="W40" t="e">
        <f>#REF!+";Hb!$&gt;P"</f>
        <v>#REF!</v>
      </c>
      <c r="X40" t="e">
        <f>#REF!+";Hb!$&gt;Q"</f>
        <v>#REF!</v>
      </c>
      <c r="Y40" t="e">
        <f>#REF!+";Hb!$&gt;R"</f>
        <v>#REF!</v>
      </c>
      <c r="Z40" t="e">
        <f>#REF!+";Hb!$&gt;S"</f>
        <v>#REF!</v>
      </c>
      <c r="AA40" t="e">
        <f>#REF!+";Hb!$&gt;T"</f>
        <v>#REF!</v>
      </c>
      <c r="AB40" t="e">
        <f>#REF!+";Hb!$&gt;U"</f>
        <v>#REF!</v>
      </c>
      <c r="AC40" t="e">
        <f>#REF!+";Hb!$&gt;V"</f>
        <v>#REF!</v>
      </c>
      <c r="AD40" t="e">
        <f>#REF!+";Hb!$&gt;W"</f>
        <v>#REF!</v>
      </c>
      <c r="AE40" t="e">
        <f>#REF!+";Hb!$&gt;X"</f>
        <v>#REF!</v>
      </c>
      <c r="AF40" t="e">
        <f>#REF!+";Hb!$&gt;Y"</f>
        <v>#REF!</v>
      </c>
      <c r="AG40" t="e">
        <f>#REF!+";Hb!$&gt;Z"</f>
        <v>#REF!</v>
      </c>
      <c r="AH40" t="e">
        <f>#REF!+";Hb!$&gt;["</f>
        <v>#REF!</v>
      </c>
      <c r="AI40" t="e">
        <f>#REF!+";Hb!$&gt;\"</f>
        <v>#REF!</v>
      </c>
      <c r="AJ40" t="e">
        <f>#REF!+";Hb!$&gt;]"</f>
        <v>#REF!</v>
      </c>
      <c r="AK40" t="e">
        <f>#REF!+";Hb!$&gt;^"</f>
        <v>#REF!</v>
      </c>
      <c r="AL40" t="e">
        <f>#REF!+";Hb!$&gt;_"</f>
        <v>#REF!</v>
      </c>
      <c r="AM40" t="e">
        <f>#REF!+";Hb!$&gt;`"</f>
        <v>#REF!</v>
      </c>
      <c r="AN40" t="e">
        <f>#REF!+";Hb!$&gt;a"</f>
        <v>#REF!</v>
      </c>
      <c r="AO40" t="e">
        <f>#REF!+";Hb!$&gt;b"</f>
        <v>#REF!</v>
      </c>
      <c r="AP40" t="e">
        <f>#REF!+";Hb!$&gt;c"</f>
        <v>#REF!</v>
      </c>
      <c r="AQ40" t="e">
        <f>#REF!+";Hb!$&gt;d"</f>
        <v>#REF!</v>
      </c>
      <c r="AR40" t="e">
        <f>#REF!+";Hb!$&gt;e"</f>
        <v>#REF!</v>
      </c>
      <c r="AS40" t="e">
        <f>#REF!+";Hb!$&gt;f"</f>
        <v>#REF!</v>
      </c>
      <c r="AT40" t="e">
        <f>#REF!+";Hb!$&gt;g"</f>
        <v>#REF!</v>
      </c>
      <c r="AU40" t="e">
        <f>#REF!+";Hb!$&gt;h"</f>
        <v>#REF!</v>
      </c>
      <c r="AV40" t="e">
        <f>#REF!+";Hb!$&gt;i"</f>
        <v>#REF!</v>
      </c>
      <c r="AW40" t="e">
        <f>#REF!+";Hb!$&gt;j"</f>
        <v>#REF!</v>
      </c>
      <c r="AX40" t="e">
        <f>#REF!+";Hb!$&gt;k"</f>
        <v>#REF!</v>
      </c>
      <c r="AY40" t="e">
        <f>#REF!+";Hb!$&gt;l"</f>
        <v>#REF!</v>
      </c>
      <c r="AZ40" t="e">
        <f>#REF!+";Hb!$&gt;m"</f>
        <v>#REF!</v>
      </c>
      <c r="BA40" t="e">
        <f>#REF!+";Hb!$&gt;n"</f>
        <v>#REF!</v>
      </c>
      <c r="BB40" t="e">
        <f>#REF!+";Hb!$&gt;o"</f>
        <v>#REF!</v>
      </c>
      <c r="BC40" t="e">
        <f>#REF!+";Hb!$&gt;p"</f>
        <v>#REF!</v>
      </c>
      <c r="BD40" t="e">
        <f>#REF!+";Hb!$&gt;q"</f>
        <v>#REF!</v>
      </c>
      <c r="BE40" t="e">
        <f>#REF!+";Hb!$&gt;r"</f>
        <v>#REF!</v>
      </c>
      <c r="BF40" t="e">
        <f>#REF!+";Hb!$&gt;s"</f>
        <v>#REF!</v>
      </c>
      <c r="BG40" t="e">
        <f>#REF!+";Hb!$&gt;t"</f>
        <v>#REF!</v>
      </c>
      <c r="BH40" t="e">
        <f>#REF!+";Hb!$&gt;u"</f>
        <v>#REF!</v>
      </c>
      <c r="BI40" t="e">
        <f>#REF!+";Hb!$&gt;v"</f>
        <v>#REF!</v>
      </c>
      <c r="BJ40" t="e">
        <f>#REF!+";Hb!$&gt;w"</f>
        <v>#REF!</v>
      </c>
      <c r="BK40" t="e">
        <f>#REF!+";Hb!$&gt;x"</f>
        <v>#REF!</v>
      </c>
      <c r="BL40" t="e">
        <f>#REF!+";Hb!$&gt;y"</f>
        <v>#REF!</v>
      </c>
      <c r="BM40" t="e">
        <f>#REF!+";Hb!$&gt;z"</f>
        <v>#REF!</v>
      </c>
      <c r="BN40" t="e">
        <f>#REF!+";Hb!$&gt;{"</f>
        <v>#REF!</v>
      </c>
      <c r="BO40" t="e">
        <f>#REF!+";Hb!$&gt;|"</f>
        <v>#REF!</v>
      </c>
      <c r="BP40" t="e">
        <f>#REF!+";Hb!$&gt;}"</f>
        <v>#REF!</v>
      </c>
      <c r="BQ40" t="e">
        <f>#REF!+";Hb!$&gt;~"</f>
        <v>#REF!</v>
      </c>
      <c r="BR40" t="e">
        <f>#REF!+";Hb!$?#"</f>
        <v>#REF!</v>
      </c>
      <c r="BS40" t="e">
        <f>#REF!+";Hb!$?$"</f>
        <v>#REF!</v>
      </c>
      <c r="BT40" t="e">
        <f>#REF!+";Hb!$?%"</f>
        <v>#REF!</v>
      </c>
      <c r="BU40" t="e">
        <f>#REF!+";Hb!$?&amp;"</f>
        <v>#REF!</v>
      </c>
      <c r="BV40" t="e">
        <f>#REF!+";Hb!$?'"</f>
        <v>#REF!</v>
      </c>
      <c r="BW40" t="e">
        <f>#REF!+";Hb!$?("</f>
        <v>#REF!</v>
      </c>
      <c r="BX40" t="e">
        <f>#REF!+";Hb!$?)"</f>
        <v>#REF!</v>
      </c>
      <c r="BY40" t="e">
        <f>#REF!+";Hb!$?."</f>
        <v>#REF!</v>
      </c>
      <c r="BZ40" t="e">
        <f>#REF!+";Hb!$?/"</f>
        <v>#REF!</v>
      </c>
      <c r="CA40" t="e">
        <f>#REF!+";Hb!$?0"</f>
        <v>#REF!</v>
      </c>
      <c r="CB40" t="e">
        <f>#REF!+";Hb!$?1"</f>
        <v>#REF!</v>
      </c>
      <c r="CC40" t="e">
        <f>#REF!+";Hb!$?2"</f>
        <v>#REF!</v>
      </c>
      <c r="CD40" t="e">
        <f>#REF!+";Hb!$?3"</f>
        <v>#REF!</v>
      </c>
      <c r="CE40" t="e">
        <f>#REF!+";Hb!$?4"</f>
        <v>#REF!</v>
      </c>
      <c r="CF40" t="e">
        <f>#REF!+";Hb!$?5"</f>
        <v>#REF!</v>
      </c>
      <c r="CG40" t="e">
        <f>#REF!+";Hb!$?6"</f>
        <v>#REF!</v>
      </c>
      <c r="CH40" t="e">
        <f>#REF!+";Hb!$?7"</f>
        <v>#REF!</v>
      </c>
      <c r="CI40" t="e">
        <f>#REF!+";Hb!$?8"</f>
        <v>#REF!</v>
      </c>
      <c r="CJ40" t="e">
        <f>#REF!+";Hb!$?9"</f>
        <v>#REF!</v>
      </c>
      <c r="CK40" t="e">
        <f>#REF!+";Hb!$?:"</f>
        <v>#REF!</v>
      </c>
      <c r="CL40" t="e">
        <f>#REF!+";Hb!$?;"</f>
        <v>#REF!</v>
      </c>
      <c r="CM40" t="e">
        <f>#REF!+";Hb!$?&lt;"</f>
        <v>#REF!</v>
      </c>
      <c r="CN40" t="e">
        <f>#REF!+";Hb!$?="</f>
        <v>#REF!</v>
      </c>
      <c r="CO40" t="e">
        <f>#REF!+";Hb!$?&gt;"</f>
        <v>#REF!</v>
      </c>
      <c r="CP40" t="e">
        <f>#REF!+";Hb!$??"</f>
        <v>#REF!</v>
      </c>
      <c r="CQ40" t="e">
        <f>#REF!+";Hb!$?@"</f>
        <v>#REF!</v>
      </c>
      <c r="CR40" t="e">
        <f>#REF!+";Hb!$?A"</f>
        <v>#REF!</v>
      </c>
      <c r="CS40" t="e">
        <f>#REF!+";Hb!$?B"</f>
        <v>#REF!</v>
      </c>
      <c r="CT40" t="e">
        <f>#REF!+";Hb!$?C"</f>
        <v>#REF!</v>
      </c>
      <c r="CU40" t="e">
        <f>#REF!+";Hb!$?D"</f>
        <v>#REF!</v>
      </c>
      <c r="CV40" t="e">
        <f>#REF!+";Hb!$?E"</f>
        <v>#REF!</v>
      </c>
      <c r="CW40" t="e">
        <f>#REF!+";Hb!$?F"</f>
        <v>#REF!</v>
      </c>
      <c r="CX40" t="e">
        <f>#REF!+";Hb!$?G"</f>
        <v>#REF!</v>
      </c>
      <c r="CY40" t="e">
        <f>#REF!+";Hb!$?H"</f>
        <v>#REF!</v>
      </c>
      <c r="CZ40" t="e">
        <f>#REF!+";Hb!$?I"</f>
        <v>#REF!</v>
      </c>
      <c r="DA40" t="e">
        <f>#REF!+";Hb!$?J"</f>
        <v>#REF!</v>
      </c>
      <c r="DB40" t="e">
        <f>#REF!+";Hb!$?K"</f>
        <v>#REF!</v>
      </c>
      <c r="DC40" t="e">
        <f>#REF!+";Hb!$?L"</f>
        <v>#REF!</v>
      </c>
      <c r="DD40" t="e">
        <f>#REF!+";Hb!$?M"</f>
        <v>#REF!</v>
      </c>
      <c r="DE40" t="e">
        <f>#REF!+";Hb!$?N"</f>
        <v>#REF!</v>
      </c>
      <c r="DF40" t="e">
        <f>#REF!+";Hb!$?O"</f>
        <v>#REF!</v>
      </c>
      <c r="DG40" t="e">
        <f>#REF!+";Hb!$?P"</f>
        <v>#REF!</v>
      </c>
      <c r="DH40" t="e">
        <f>#REF!+";Hb!$?Q"</f>
        <v>#REF!</v>
      </c>
      <c r="DI40" t="e">
        <f>#REF!+";Hb!$?R"</f>
        <v>#REF!</v>
      </c>
      <c r="DJ40" t="e">
        <f>#REF!+";Hb!$?S"</f>
        <v>#REF!</v>
      </c>
      <c r="DK40" t="e">
        <f>#REF!+";Hb!$?T"</f>
        <v>#REF!</v>
      </c>
      <c r="DL40" t="e">
        <f>#REF!+";Hb!$?U"</f>
        <v>#REF!</v>
      </c>
      <c r="DM40" t="e">
        <f>#REF!+";Hb!$?V"</f>
        <v>#REF!</v>
      </c>
      <c r="DN40" t="e">
        <f>#REF!+";Hb!$?W"</f>
        <v>#REF!</v>
      </c>
      <c r="DO40" t="e">
        <f>#REF!+";Hb!$?X"</f>
        <v>#REF!</v>
      </c>
      <c r="DP40" t="e">
        <f>#REF!+";Hb!$?Y"</f>
        <v>#REF!</v>
      </c>
      <c r="DQ40" t="e">
        <f>#REF!+";Hb!$?Z"</f>
        <v>#REF!</v>
      </c>
      <c r="DR40" t="e">
        <f>#REF!+";Hb!$?["</f>
        <v>#REF!</v>
      </c>
      <c r="DS40" t="e">
        <f>#REF!+";Hb!$?\"</f>
        <v>#REF!</v>
      </c>
      <c r="DT40" t="e">
        <f>#REF!+";Hb!$?]"</f>
        <v>#REF!</v>
      </c>
      <c r="DU40" t="e">
        <f>#REF!+";Hb!$?^"</f>
        <v>#REF!</v>
      </c>
      <c r="DV40" t="e">
        <f>#REF!+";Hb!$?_"</f>
        <v>#REF!</v>
      </c>
      <c r="DW40" t="e">
        <f>#REF!+";Hb!$?`"</f>
        <v>#REF!</v>
      </c>
      <c r="DX40" t="e">
        <f>#REF!+";Hb!$?a"</f>
        <v>#REF!</v>
      </c>
      <c r="DY40" t="e">
        <f>#REF!+";Hb!$?b"</f>
        <v>#REF!</v>
      </c>
      <c r="DZ40" t="e">
        <f>#REF!+";Hb!$?c"</f>
        <v>#REF!</v>
      </c>
      <c r="EA40" t="e">
        <f>#REF!+";Hb!$?d"</f>
        <v>#REF!</v>
      </c>
      <c r="EB40" t="e">
        <f>#REF!+";Hb!$?e"</f>
        <v>#REF!</v>
      </c>
      <c r="EC40" t="e">
        <f>#REF!+";Hb!$?f"</f>
        <v>#REF!</v>
      </c>
      <c r="ED40" t="e">
        <f>#REF!+";Hb!$?g"</f>
        <v>#REF!</v>
      </c>
      <c r="EE40" t="e">
        <f>#REF!+";Hb!$?h"</f>
        <v>#REF!</v>
      </c>
      <c r="EF40" t="e">
        <f>#REF!+";Hb!$?i"</f>
        <v>#REF!</v>
      </c>
      <c r="EG40" t="e">
        <f>#REF!+";Hb!$?j"</f>
        <v>#REF!</v>
      </c>
      <c r="EH40" t="e">
        <f>#REF!+";Hb!$?k"</f>
        <v>#REF!</v>
      </c>
      <c r="EI40" t="e">
        <f>#REF!+";Hb!$?l"</f>
        <v>#REF!</v>
      </c>
      <c r="EJ40" t="e">
        <f>#REF!+";Hb!$?m"</f>
        <v>#REF!</v>
      </c>
      <c r="EK40" t="e">
        <f>#REF!+";Hb!$?n"</f>
        <v>#REF!</v>
      </c>
      <c r="EL40" t="e">
        <f>#REF!+";Hb!$?o"</f>
        <v>#REF!</v>
      </c>
      <c r="EM40" t="e">
        <f>#REF!+";Hb!$?p"</f>
        <v>#REF!</v>
      </c>
      <c r="EN40" t="e">
        <f>#REF!+";Hb!$?q"</f>
        <v>#REF!</v>
      </c>
      <c r="EO40" t="e">
        <f>#REF!+";Hb!$?r"</f>
        <v>#REF!</v>
      </c>
      <c r="EP40" t="e">
        <f>#REF!+";Hb!$?s"</f>
        <v>#REF!</v>
      </c>
      <c r="EQ40" t="e">
        <f>#REF!+";Hb!$?t"</f>
        <v>#REF!</v>
      </c>
      <c r="ER40" t="e">
        <f>#REF!+";Hb!$?u"</f>
        <v>#REF!</v>
      </c>
      <c r="ES40" t="e">
        <f>#REF!+";Hb!$?v"</f>
        <v>#REF!</v>
      </c>
      <c r="ET40" t="e">
        <f>#REF!+";Hb!$?w"</f>
        <v>#REF!</v>
      </c>
      <c r="EU40" t="e">
        <f>#REF!+";Hb!$?x"</f>
        <v>#REF!</v>
      </c>
      <c r="EV40" t="e">
        <f>#REF!+";Hb!$?y"</f>
        <v>#REF!</v>
      </c>
      <c r="EW40" t="e">
        <f>#REF!+";Hb!$?z"</f>
        <v>#REF!</v>
      </c>
      <c r="EX40" t="e">
        <f>#REF!+";Hb!$?{"</f>
        <v>#REF!</v>
      </c>
      <c r="EY40" t="e">
        <f>#REF!+";Hb!$?|"</f>
        <v>#REF!</v>
      </c>
      <c r="EZ40" t="e">
        <f>#REF!+";Hb!$?}"</f>
        <v>#REF!</v>
      </c>
      <c r="FA40" t="e">
        <f>#REF!+";Hb!$?~"</f>
        <v>#REF!</v>
      </c>
      <c r="FB40" t="e">
        <f>#REF!+";Hb!$@#"</f>
        <v>#REF!</v>
      </c>
      <c r="FC40" t="e">
        <f>#REF!+";Hb!$@$"</f>
        <v>#REF!</v>
      </c>
      <c r="FD40" t="e">
        <f>#REF!+";Hb!$@%"</f>
        <v>#REF!</v>
      </c>
      <c r="FE40" t="e">
        <f>#REF!+";Hb!$@&amp;"</f>
        <v>#REF!</v>
      </c>
      <c r="FF40" t="e">
        <f>#REF!+";Hb!$@'"</f>
        <v>#REF!</v>
      </c>
      <c r="FG40" t="e">
        <f>#REF!+";Hb!$@("</f>
        <v>#REF!</v>
      </c>
      <c r="FH40" t="e">
        <f>#REF!+";Hb!$@)"</f>
        <v>#REF!</v>
      </c>
      <c r="FI40" t="e">
        <f>#REF!+";Hb!$@."</f>
        <v>#REF!</v>
      </c>
      <c r="FJ40" t="e">
        <f>#REF!+";Hb!$@/"</f>
        <v>#REF!</v>
      </c>
      <c r="FK40" t="e">
        <f>#REF!+";Hb!$@0"</f>
        <v>#REF!</v>
      </c>
      <c r="FL40" t="e">
        <f>#REF!+";Hb!$@1"</f>
        <v>#REF!</v>
      </c>
      <c r="FM40" t="e">
        <f>#REF!+";Hb!$@2"</f>
        <v>#REF!</v>
      </c>
      <c r="FN40" t="e">
        <f>#REF!+";Hb!$@3"</f>
        <v>#REF!</v>
      </c>
      <c r="FO40" t="e">
        <f>#REF!+";Hb!$@4"</f>
        <v>#REF!</v>
      </c>
      <c r="FP40" t="e">
        <f>#REF!+";Hb!$@5"</f>
        <v>#REF!</v>
      </c>
      <c r="FQ40" t="e">
        <f>#REF!+";Hb!$@6"</f>
        <v>#REF!</v>
      </c>
      <c r="FR40" t="e">
        <f>#REF!+";Hb!$@7"</f>
        <v>#REF!</v>
      </c>
      <c r="FS40" t="e">
        <f>#REF!+";Hb!$@8"</f>
        <v>#REF!</v>
      </c>
      <c r="FT40" t="e">
        <f>#REF!+";Hb!$@9"</f>
        <v>#REF!</v>
      </c>
      <c r="FU40" t="e">
        <f>#REF!+";Hb!$@:"</f>
        <v>#REF!</v>
      </c>
      <c r="FV40" t="e">
        <f>#REF!+";Hb!$@;"</f>
        <v>#REF!</v>
      </c>
      <c r="FW40" t="e">
        <f>#REF!+";Hb!$@&lt;"</f>
        <v>#REF!</v>
      </c>
      <c r="FX40" t="e">
        <f>#REF!+";Hb!$@="</f>
        <v>#REF!</v>
      </c>
      <c r="FY40" t="e">
        <f>#REF!+";Hb!$@&gt;"</f>
        <v>#REF!</v>
      </c>
      <c r="FZ40" t="e">
        <f>#REF!+";Hb!$@?"</f>
        <v>#REF!</v>
      </c>
      <c r="GA40" t="e">
        <f>#REF!+";Hb!$@@"</f>
        <v>#REF!</v>
      </c>
      <c r="GB40" t="e">
        <f>#REF!+";Hb!$@A"</f>
        <v>#REF!</v>
      </c>
      <c r="GC40" t="e">
        <f>#REF!+";Hb!$@B"</f>
        <v>#REF!</v>
      </c>
      <c r="GD40" t="e">
        <f>#REF!+";Hb!$@C"</f>
        <v>#REF!</v>
      </c>
      <c r="GE40" t="e">
        <f>#REF!+";Hb!$@D"</f>
        <v>#REF!</v>
      </c>
      <c r="GF40" t="e">
        <f>#REF!+";Hb!$@E"</f>
        <v>#REF!</v>
      </c>
      <c r="GG40" t="e">
        <f>#REF!+";Hb!$@F"</f>
        <v>#REF!</v>
      </c>
      <c r="GH40" t="e">
        <f>#REF!+";Hb!$@G"</f>
        <v>#REF!</v>
      </c>
      <c r="GI40" t="e">
        <f>#REF!+";Hb!$@H"</f>
        <v>#REF!</v>
      </c>
      <c r="GJ40" t="e">
        <f>#REF!+";Hb!$@I"</f>
        <v>#REF!</v>
      </c>
      <c r="GK40" t="e">
        <f>#REF!+";Hb!$@J"</f>
        <v>#REF!</v>
      </c>
      <c r="GL40" t="e">
        <f>#REF!+";Hb!$@K"</f>
        <v>#REF!</v>
      </c>
      <c r="GM40" t="e">
        <f>#REF!+";Hb!$@L"</f>
        <v>#REF!</v>
      </c>
      <c r="GN40" t="e">
        <f>#REF!+";Hb!$@M"</f>
        <v>#REF!</v>
      </c>
      <c r="GO40" t="e">
        <f>#REF!+";Hb!$@N"</f>
        <v>#REF!</v>
      </c>
      <c r="GP40" t="e">
        <f>#REF!+";Hb!$@O"</f>
        <v>#REF!</v>
      </c>
      <c r="GQ40" t="e">
        <f>#REF!+";Hb!$@P"</f>
        <v>#REF!</v>
      </c>
      <c r="GR40" t="e">
        <f>#REF!+";Hb!$@Q"</f>
        <v>#REF!</v>
      </c>
      <c r="GS40" t="e">
        <f>#REF!+";Hb!$@R"</f>
        <v>#REF!</v>
      </c>
      <c r="GT40" t="e">
        <f>#REF!+";Hb!$@S"</f>
        <v>#REF!</v>
      </c>
      <c r="GU40" t="e">
        <f>#REF!+";Hb!$@T"</f>
        <v>#REF!</v>
      </c>
      <c r="GV40" t="e">
        <f>#REF!+";Hb!$@U"</f>
        <v>#REF!</v>
      </c>
      <c r="GW40" t="e">
        <f>#REF!+";Hb!$@V"</f>
        <v>#REF!</v>
      </c>
      <c r="GX40" t="e">
        <f>#REF!+";Hb!$@W"</f>
        <v>#REF!</v>
      </c>
      <c r="GY40" t="e">
        <f>#REF!+";Hb!$@X"</f>
        <v>#REF!</v>
      </c>
      <c r="GZ40" t="e">
        <f>#REF!+";Hb!$@Y"</f>
        <v>#REF!</v>
      </c>
      <c r="HA40" t="e">
        <f>#REF!+";Hb!$@Z"</f>
        <v>#REF!</v>
      </c>
      <c r="HB40" t="e">
        <f>#REF!+";Hb!$@["</f>
        <v>#REF!</v>
      </c>
      <c r="HC40" t="e">
        <f>#REF!+";Hb!$@\"</f>
        <v>#REF!</v>
      </c>
      <c r="HD40" t="e">
        <f>#REF!+";Hb!$@]"</f>
        <v>#REF!</v>
      </c>
      <c r="HE40" t="e">
        <f>#REF!+";Hb!$@^"</f>
        <v>#REF!</v>
      </c>
      <c r="HF40" t="e">
        <f>#REF!+";Hb!$@_"</f>
        <v>#REF!</v>
      </c>
      <c r="HG40" t="e">
        <f>#REF!+";Hb!$@`"</f>
        <v>#REF!</v>
      </c>
      <c r="HH40" t="e">
        <f>#REF!+";Hb!$@a"</f>
        <v>#REF!</v>
      </c>
      <c r="HI40" t="e">
        <f>#REF!+";Hb!$@b"</f>
        <v>#REF!</v>
      </c>
      <c r="HJ40" t="e">
        <f>#REF!+";Hb!$@c"</f>
        <v>#REF!</v>
      </c>
      <c r="HK40" t="e">
        <f>#REF!+";Hb!$@d"</f>
        <v>#REF!</v>
      </c>
      <c r="HL40" t="e">
        <f>#REF!+";Hb!$@e"</f>
        <v>#REF!</v>
      </c>
      <c r="HM40" t="e">
        <f>#REF!+";Hb!$@f"</f>
        <v>#REF!</v>
      </c>
      <c r="HN40" t="e">
        <f>#REF!+";Hb!$@g"</f>
        <v>#REF!</v>
      </c>
      <c r="HO40" t="e">
        <f>#REF!+";Hb!$@h"</f>
        <v>#REF!</v>
      </c>
      <c r="HP40" t="e">
        <f>#REF!+";Hb!$@i"</f>
        <v>#REF!</v>
      </c>
      <c r="HQ40" t="e">
        <f>#REF!+";Hb!$@j"</f>
        <v>#REF!</v>
      </c>
      <c r="HR40" t="e">
        <f>#REF!+";Hb!$@k"</f>
        <v>#REF!</v>
      </c>
      <c r="HS40" t="e">
        <f>#REF!+";Hb!$@l"</f>
        <v>#REF!</v>
      </c>
      <c r="HT40" t="e">
        <f>#REF!+";Hb!$@m"</f>
        <v>#REF!</v>
      </c>
      <c r="HU40" t="e">
        <f>#REF!+";Hb!$@n"</f>
        <v>#REF!</v>
      </c>
      <c r="HV40" t="e">
        <f>#REF!+";Hb!$@o"</f>
        <v>#REF!</v>
      </c>
      <c r="HW40" t="e">
        <f>#REF!+";Hb!$@p"</f>
        <v>#REF!</v>
      </c>
      <c r="HX40" t="e">
        <f>#REF!+";Hb!$@q"</f>
        <v>#REF!</v>
      </c>
      <c r="HY40" t="e">
        <f>#REF!+";Hb!$@r"</f>
        <v>#REF!</v>
      </c>
      <c r="HZ40" t="e">
        <f>#REF!+";Hb!$@s"</f>
        <v>#REF!</v>
      </c>
      <c r="IA40" t="e">
        <f>#REF!+";Hb!$@t"</f>
        <v>#REF!</v>
      </c>
      <c r="IB40" t="e">
        <f>#REF!+";Hb!$@u"</f>
        <v>#REF!</v>
      </c>
      <c r="IC40" t="e">
        <f>#REF!+";Hb!$@v"</f>
        <v>#REF!</v>
      </c>
      <c r="ID40" t="e">
        <f>#REF!+";Hb!$@w"</f>
        <v>#REF!</v>
      </c>
      <c r="IE40" t="e">
        <f>#REF!+";Hb!$@x"</f>
        <v>#REF!</v>
      </c>
      <c r="IF40" t="e">
        <f>#REF!+";Hb!$@y"</f>
        <v>#REF!</v>
      </c>
      <c r="IG40" t="e">
        <f>#REF!+";Hb!$@z"</f>
        <v>#REF!</v>
      </c>
      <c r="IH40" t="e">
        <f>#REF!+";Hb!$@{"</f>
        <v>#REF!</v>
      </c>
      <c r="II40" t="e">
        <f>#REF!+";Hb!$@|"</f>
        <v>#REF!</v>
      </c>
      <c r="IJ40" t="e">
        <f>#REF!+";Hb!$@}"</f>
        <v>#REF!</v>
      </c>
      <c r="IK40" t="e">
        <f>#REF!+";Hb!$@~"</f>
        <v>#REF!</v>
      </c>
      <c r="IL40" t="e">
        <f>#REF!+";Hb!$A#"</f>
        <v>#REF!</v>
      </c>
      <c r="IM40" t="e">
        <f>#REF!+";Hb!$A$"</f>
        <v>#REF!</v>
      </c>
      <c r="IN40" t="e">
        <f>#REF!+";Hb!$A%"</f>
        <v>#REF!</v>
      </c>
      <c r="IO40" t="e">
        <f>#REF!+";Hb!$A&amp;"</f>
        <v>#REF!</v>
      </c>
      <c r="IP40" t="e">
        <f>#REF!+";Hb!$A'"</f>
        <v>#REF!</v>
      </c>
      <c r="IQ40" t="e">
        <f>#REF!+";Hb!$A("</f>
        <v>#REF!</v>
      </c>
      <c r="IR40" t="e">
        <f>#REF!+";Hb!$A)"</f>
        <v>#REF!</v>
      </c>
      <c r="IS40" t="e">
        <f>#REF!+";Hb!$A."</f>
        <v>#REF!</v>
      </c>
      <c r="IT40" t="e">
        <f>#REF!+";Hb!$A/"</f>
        <v>#REF!</v>
      </c>
      <c r="IU40" t="e">
        <f>#REF!+";Hb!$A0"</f>
        <v>#REF!</v>
      </c>
      <c r="IV40" t="e">
        <f>#REF!+";Hb!$A1"</f>
        <v>#REF!</v>
      </c>
    </row>
    <row r="41" spans="6:256" x14ac:dyDescent="0.25">
      <c r="F41" t="e">
        <f>#REF!+";Hb!$A2"</f>
        <v>#REF!</v>
      </c>
      <c r="G41" t="e">
        <f>#REF!+";Hb!$A3"</f>
        <v>#REF!</v>
      </c>
      <c r="H41" t="e">
        <f>#REF!+";Hb!$A4"</f>
        <v>#REF!</v>
      </c>
      <c r="I41" t="e">
        <f>#REF!+";Hb!$A5"</f>
        <v>#REF!</v>
      </c>
      <c r="J41" t="e">
        <f>#REF!+";Hb!$A6"</f>
        <v>#REF!</v>
      </c>
      <c r="K41" t="e">
        <f>#REF!+";Hb!$A7"</f>
        <v>#REF!</v>
      </c>
      <c r="L41" t="e">
        <f>#REF!+";Hb!$A8"</f>
        <v>#REF!</v>
      </c>
      <c r="M41" t="e">
        <f>#REF!+";Hb!$A9"</f>
        <v>#REF!</v>
      </c>
      <c r="N41" t="e">
        <f>#REF!+";Hb!$A:"</f>
        <v>#REF!</v>
      </c>
      <c r="O41" t="e">
        <f>#REF!+";Hb!$A;"</f>
        <v>#REF!</v>
      </c>
      <c r="P41" t="e">
        <f>#REF!+";Hb!$A&lt;"</f>
        <v>#REF!</v>
      </c>
      <c r="Q41" t="e">
        <f>#REF!+";Hb!$A="</f>
        <v>#REF!</v>
      </c>
      <c r="R41" t="e">
        <f>#REF!+";Hb!$A&gt;"</f>
        <v>#REF!</v>
      </c>
      <c r="S41" t="e">
        <f>#REF!+";Hb!$A?"</f>
        <v>#REF!</v>
      </c>
      <c r="T41" t="e">
        <f>#REF!+";Hb!$A@"</f>
        <v>#REF!</v>
      </c>
      <c r="U41" t="e">
        <f>#REF!+";Hb!$AA"</f>
        <v>#REF!</v>
      </c>
      <c r="V41" t="e">
        <f>#REF!+";Hb!$AB"</f>
        <v>#REF!</v>
      </c>
      <c r="W41" t="e">
        <f>#REF!+";Hb!$AC"</f>
        <v>#REF!</v>
      </c>
      <c r="X41" t="e">
        <f>#REF!+";Hb!$AD"</f>
        <v>#REF!</v>
      </c>
      <c r="Y41" t="e">
        <f>#REF!+";Hb!$AE"</f>
        <v>#REF!</v>
      </c>
      <c r="Z41" t="e">
        <f>#REF!+";Hb!$AF"</f>
        <v>#REF!</v>
      </c>
      <c r="AA41" t="e">
        <f>#REF!+";Hb!$AG"</f>
        <v>#REF!</v>
      </c>
      <c r="AB41" t="e">
        <f>#REF!+";Hb!$AH"</f>
        <v>#REF!</v>
      </c>
      <c r="AC41" t="e">
        <f>#REF!+";Hb!$AI"</f>
        <v>#REF!</v>
      </c>
      <c r="AD41" t="e">
        <f>#REF!+";Hb!$AJ"</f>
        <v>#REF!</v>
      </c>
      <c r="AE41" t="e">
        <f>#REF!+";Hb!$AK"</f>
        <v>#REF!</v>
      </c>
      <c r="AF41" t="e">
        <f>#REF!+";Hb!$AL"</f>
        <v>#REF!</v>
      </c>
      <c r="AG41" t="e">
        <f>#REF!+";Hb!$AM"</f>
        <v>#REF!</v>
      </c>
      <c r="AH41" t="e">
        <f>#REF!+";Hb!$AN"</f>
        <v>#REF!</v>
      </c>
      <c r="AI41" t="e">
        <f>#REF!+";Hb!$AO"</f>
        <v>#REF!</v>
      </c>
      <c r="AJ41" t="e">
        <f>#REF!+";Hb!$AP"</f>
        <v>#REF!</v>
      </c>
      <c r="AK41" t="e">
        <f>#REF!+";Hb!$AQ"</f>
        <v>#REF!</v>
      </c>
      <c r="AL41" t="e">
        <f>#REF!+";Hb!$AR"</f>
        <v>#REF!</v>
      </c>
      <c r="AM41" t="e">
        <f>#REF!+";Hb!$AS"</f>
        <v>#REF!</v>
      </c>
      <c r="AN41" t="e">
        <f>#REF!+";Hb!$AT"</f>
        <v>#REF!</v>
      </c>
      <c r="AO41" t="e">
        <f>#REF!+";Hb!$AU"</f>
        <v>#REF!</v>
      </c>
      <c r="AP41" t="e">
        <f>#REF!+";Hb!$AV"</f>
        <v>#REF!</v>
      </c>
      <c r="AQ41" t="e">
        <f>#REF!+";Hb!$AW"</f>
        <v>#REF!</v>
      </c>
      <c r="AR41" t="e">
        <f>#REF!+";Hb!$AX"</f>
        <v>#REF!</v>
      </c>
      <c r="AS41" t="e">
        <f>#REF!+";Hb!$AY"</f>
        <v>#REF!</v>
      </c>
      <c r="AT41" t="e">
        <f>#REF!+";Hb!$AZ"</f>
        <v>#REF!</v>
      </c>
      <c r="AU41" t="e">
        <f>#REF!+";Hb!$A["</f>
        <v>#REF!</v>
      </c>
      <c r="AV41" t="e">
        <f>#REF!+";Hb!$A\"</f>
        <v>#REF!</v>
      </c>
      <c r="AW41" t="e">
        <f>#REF!+";Hb!$A]"</f>
        <v>#REF!</v>
      </c>
      <c r="AX41" t="e">
        <f>#REF!+";Hb!$A^"</f>
        <v>#REF!</v>
      </c>
      <c r="AY41" t="e">
        <f>#REF!+";Hb!$A_"</f>
        <v>#REF!</v>
      </c>
      <c r="AZ41" t="e">
        <f>#REF!+";Hb!$A`"</f>
        <v>#REF!</v>
      </c>
      <c r="BA41" t="e">
        <f>#REF!+";Hb!$Aa"</f>
        <v>#REF!</v>
      </c>
      <c r="BB41" t="e">
        <f>#REF!+";Hb!$Ab"</f>
        <v>#REF!</v>
      </c>
      <c r="BC41" t="e">
        <f>#REF!+";Hb!$Ac"</f>
        <v>#REF!</v>
      </c>
      <c r="BD41" t="e">
        <f>#REF!+";Hb!$Ad"</f>
        <v>#REF!</v>
      </c>
      <c r="BE41" t="e">
        <f>#REF!+";Hb!$Ae"</f>
        <v>#REF!</v>
      </c>
      <c r="BF41" t="e">
        <f>#REF!+";Hb!$Af"</f>
        <v>#REF!</v>
      </c>
      <c r="BG41" t="e">
        <f>#REF!+";Hb!$Ag"</f>
        <v>#REF!</v>
      </c>
      <c r="BH41" t="e">
        <f>#REF!+";Hb!$Ah"</f>
        <v>#REF!</v>
      </c>
      <c r="BI41" t="e">
        <f>#REF!+";Hb!$Ai"</f>
        <v>#REF!</v>
      </c>
      <c r="BJ41" t="e">
        <f>#REF!+";Hb!$Aj"</f>
        <v>#REF!</v>
      </c>
      <c r="BK41" t="e">
        <f>#REF!+";Hb!$Ak"</f>
        <v>#REF!</v>
      </c>
      <c r="BL41" t="e">
        <f>#REF!+";Hb!$Al"</f>
        <v>#REF!</v>
      </c>
      <c r="BM41" t="e">
        <f>#REF!+";Hb!$Am"</f>
        <v>#REF!</v>
      </c>
      <c r="BN41" t="e">
        <f>#REF!+";Hb!$An"</f>
        <v>#REF!</v>
      </c>
      <c r="BO41" t="e">
        <f>#REF!+";Hb!$Ao"</f>
        <v>#REF!</v>
      </c>
      <c r="BP41" t="e">
        <f>#REF!+";Hb!$Ap"</f>
        <v>#REF!</v>
      </c>
      <c r="BQ41" t="e">
        <f>#REF!+";Hb!$Aq"</f>
        <v>#REF!</v>
      </c>
      <c r="BR41" t="e">
        <f>#REF!+";Hb!$Ar"</f>
        <v>#REF!</v>
      </c>
      <c r="BS41" t="e">
        <f>#REF!+";Hb!$As"</f>
        <v>#REF!</v>
      </c>
      <c r="BT41" t="e">
        <f>#REF!+";Hb!$At"</f>
        <v>#REF!</v>
      </c>
      <c r="BU41" t="e">
        <f>#REF!+";Hb!$Au"</f>
        <v>#REF!</v>
      </c>
      <c r="BV41" t="e">
        <f>#REF!+";Hb!$Av"</f>
        <v>#REF!</v>
      </c>
      <c r="BW41" t="e">
        <f>#REF!+";Hb!$Aw"</f>
        <v>#REF!</v>
      </c>
      <c r="BX41" t="e">
        <f>#REF!+";Hb!$Ax"</f>
        <v>#REF!</v>
      </c>
      <c r="BY41" t="e">
        <f>#REF!+";Hb!$Ay"</f>
        <v>#REF!</v>
      </c>
      <c r="BZ41" t="e">
        <f>#REF!+";Hb!$Az"</f>
        <v>#REF!</v>
      </c>
      <c r="CA41" t="e">
        <f>#REF!+";Hb!$A{"</f>
        <v>#REF!</v>
      </c>
      <c r="CB41" t="e">
        <f>#REF!+";Hb!$A|"</f>
        <v>#REF!</v>
      </c>
      <c r="CC41" t="e">
        <f>#REF!+";Hb!$A}"</f>
        <v>#REF!</v>
      </c>
      <c r="CD41" t="e">
        <f>#REF!+";Hb!$A~"</f>
        <v>#REF!</v>
      </c>
      <c r="CE41" t="e">
        <f>#REF!+";Hb!$B#"</f>
        <v>#REF!</v>
      </c>
      <c r="CF41" t="e">
        <f>#REF!+";Hb!$B$"</f>
        <v>#REF!</v>
      </c>
      <c r="CG41" t="e">
        <f>#REF!+";Hb!$B%"</f>
        <v>#REF!</v>
      </c>
      <c r="CH41" t="e">
        <f>#REF!+";Hb!$B&amp;"</f>
        <v>#REF!</v>
      </c>
      <c r="CI41" t="e">
        <f>#REF!+";Hb!$B'"</f>
        <v>#REF!</v>
      </c>
      <c r="CJ41" t="e">
        <f>#REF!+";Hb!$B("</f>
        <v>#REF!</v>
      </c>
      <c r="CK41" t="e">
        <f>#REF!+";Hb!$B)"</f>
        <v>#REF!</v>
      </c>
      <c r="CL41" t="e">
        <f>#REF!+";Hb!$B."</f>
        <v>#REF!</v>
      </c>
      <c r="CM41" t="e">
        <f>#REF!+";Hb!$B/"</f>
        <v>#REF!</v>
      </c>
      <c r="CN41" t="e">
        <f>#REF!+";Hb!$B0"</f>
        <v>#REF!</v>
      </c>
      <c r="CO41" t="e">
        <f>#REF!+";Hb!$B1"</f>
        <v>#REF!</v>
      </c>
      <c r="CP41" t="e">
        <f>#REF!+";Hb!$B2"</f>
        <v>#REF!</v>
      </c>
      <c r="CQ41" t="e">
        <f>#REF!+";Hb!$B3"</f>
        <v>#REF!</v>
      </c>
      <c r="CR41" t="e">
        <f>#REF!+";Hb!$B4"</f>
        <v>#REF!</v>
      </c>
      <c r="CS41" t="e">
        <f>#REF!+";Hb!$B5"</f>
        <v>#REF!</v>
      </c>
      <c r="CT41" t="e">
        <f>#REF!+";Hb!$B6"</f>
        <v>#REF!</v>
      </c>
      <c r="CU41" t="e">
        <f>#REF!+";Hb!$B7"</f>
        <v>#REF!</v>
      </c>
      <c r="CV41" t="e">
        <f>#REF!+";Hb!$B8"</f>
        <v>#REF!</v>
      </c>
      <c r="CW41" t="e">
        <f>#REF!+";Hb!$B9"</f>
        <v>#REF!</v>
      </c>
      <c r="CX41" t="e">
        <f>#REF!+";Hb!$B:"</f>
        <v>#REF!</v>
      </c>
      <c r="CY41" t="e">
        <f>#REF!+";Hb!$B;"</f>
        <v>#REF!</v>
      </c>
      <c r="CZ41" t="e">
        <f>#REF!+";Hb!$B&lt;"</f>
        <v>#REF!</v>
      </c>
      <c r="DA41" t="e">
        <f>#REF!+";Hb!$B="</f>
        <v>#REF!</v>
      </c>
      <c r="DB41" t="e">
        <f>#REF!+";Hb!$B&gt;"</f>
        <v>#REF!</v>
      </c>
      <c r="DC41" t="e">
        <f>#REF!+";Hb!$B?"</f>
        <v>#REF!</v>
      </c>
      <c r="DD41" t="e">
        <f>#REF!+";Hb!$B@"</f>
        <v>#REF!</v>
      </c>
      <c r="DE41" t="e">
        <f>#REF!+";Hb!$BA"</f>
        <v>#REF!</v>
      </c>
      <c r="DF41" t="e">
        <f>#REF!+";Hb!$BB"</f>
        <v>#REF!</v>
      </c>
      <c r="DG41" t="e">
        <f>#REF!+";Hb!$BC"</f>
        <v>#REF!</v>
      </c>
      <c r="DH41" t="e">
        <f>#REF!+";Hb!$BD"</f>
        <v>#REF!</v>
      </c>
      <c r="DI41" t="e">
        <f>#REF!+";Hb!$BE"</f>
        <v>#REF!</v>
      </c>
      <c r="DJ41" t="e">
        <f>#REF!+";Hb!$BF"</f>
        <v>#REF!</v>
      </c>
      <c r="DK41" t="e">
        <f>#REF!+";Hb!$BG"</f>
        <v>#REF!</v>
      </c>
      <c r="DL41" t="e">
        <f>#REF!+";Hb!$BH"</f>
        <v>#REF!</v>
      </c>
      <c r="DM41" t="e">
        <f>#REF!+";Hb!$BI"</f>
        <v>#REF!</v>
      </c>
      <c r="DN41" t="e">
        <f>#REF!+";Hb!$BJ"</f>
        <v>#REF!</v>
      </c>
      <c r="DO41" t="e">
        <f>#REF!+";Hb!$BK"</f>
        <v>#REF!</v>
      </c>
      <c r="DP41" t="e">
        <f>#REF!+";Hb!$BL"</f>
        <v>#REF!</v>
      </c>
      <c r="DQ41" t="e">
        <f>#REF!+";Hb!$BM"</f>
        <v>#REF!</v>
      </c>
      <c r="DR41" t="e">
        <f>#REF!+";Hb!$BN"</f>
        <v>#REF!</v>
      </c>
      <c r="DS41" t="e">
        <f>#REF!+";Hb!$BO"</f>
        <v>#REF!</v>
      </c>
      <c r="DT41" t="e">
        <f>#REF!+";Hb!$BP"</f>
        <v>#REF!</v>
      </c>
      <c r="DU41" t="e">
        <f>#REF!+";Hb!$BQ"</f>
        <v>#REF!</v>
      </c>
      <c r="DV41" t="e">
        <f>#REF!+";Hb!$BR"</f>
        <v>#REF!</v>
      </c>
      <c r="DW41" t="e">
        <f>#REF!+";Hb!$BS"</f>
        <v>#REF!</v>
      </c>
      <c r="DX41" t="e">
        <f>#REF!+";Hb!$BT"</f>
        <v>#REF!</v>
      </c>
      <c r="DY41" t="e">
        <f>#REF!+";Hb!$BU"</f>
        <v>#REF!</v>
      </c>
      <c r="DZ41" t="e">
        <f>#REF!+";Hb!$BV"</f>
        <v>#REF!</v>
      </c>
      <c r="EA41" t="e">
        <f>#REF!+";Hb!$BW"</f>
        <v>#REF!</v>
      </c>
      <c r="EB41" t="e">
        <f>#REF!+";Hb!$BX"</f>
        <v>#REF!</v>
      </c>
      <c r="EC41" t="e">
        <f>#REF!+";Hb!$BY"</f>
        <v>#REF!</v>
      </c>
      <c r="ED41" t="e">
        <f>#REF!+";Hb!$BZ"</f>
        <v>#REF!</v>
      </c>
      <c r="EE41" t="e">
        <f>#REF!+";Hb!$B["</f>
        <v>#REF!</v>
      </c>
      <c r="EF41" t="e">
        <f>#REF!+";Hb!$B\"</f>
        <v>#REF!</v>
      </c>
      <c r="EG41" t="e">
        <f>#REF!+";Hb!$B]"</f>
        <v>#REF!</v>
      </c>
      <c r="EH41" t="e">
        <f>#REF!+";Hb!$B^"</f>
        <v>#REF!</v>
      </c>
      <c r="EI41" t="e">
        <f>#REF!+";Hb!$B_"</f>
        <v>#REF!</v>
      </c>
      <c r="EJ41" t="e">
        <f>#REF!+";Hb!$B`"</f>
        <v>#REF!</v>
      </c>
      <c r="EK41" t="e">
        <f>#REF!+";Hb!$Ba"</f>
        <v>#REF!</v>
      </c>
      <c r="EL41" t="e">
        <f>#REF!+";Hb!$Bb"</f>
        <v>#REF!</v>
      </c>
      <c r="EM41" t="e">
        <f>#REF!+";Hb!$Bc"</f>
        <v>#REF!</v>
      </c>
      <c r="EN41" t="e">
        <f>#REF!+";Hb!$Bd"</f>
        <v>#REF!</v>
      </c>
      <c r="EO41" t="e">
        <f>#REF!+";Hb!$Be"</f>
        <v>#REF!</v>
      </c>
      <c r="EP41" t="e">
        <f>#REF!+";Hb!$Bf"</f>
        <v>#REF!</v>
      </c>
      <c r="EQ41" t="e">
        <f>#REF!+";Hb!$Bg"</f>
        <v>#REF!</v>
      </c>
      <c r="ER41" t="e">
        <f>#REF!+";Hb!$Bh"</f>
        <v>#REF!</v>
      </c>
      <c r="ES41" t="e">
        <f>#REF!+";Hb!$Bi"</f>
        <v>#REF!</v>
      </c>
      <c r="ET41" t="e">
        <f>#REF!+";Hb!$Bj"</f>
        <v>#REF!</v>
      </c>
      <c r="EU41" t="e">
        <f>#REF!+";Hb!$Bk"</f>
        <v>#REF!</v>
      </c>
      <c r="EV41" t="e">
        <f>#REF!+";Hb!$Bl"</f>
        <v>#REF!</v>
      </c>
      <c r="EW41" t="e">
        <f>#REF!+";Hb!$Bm"</f>
        <v>#REF!</v>
      </c>
      <c r="EX41" t="e">
        <f>#REF!+";Hb!$Bn"</f>
        <v>#REF!</v>
      </c>
      <c r="EY41" t="e">
        <f>#REF!+";Hb!$Bo"</f>
        <v>#REF!</v>
      </c>
      <c r="EZ41" t="e">
        <f>#REF!+";Hb!$Bp"</f>
        <v>#REF!</v>
      </c>
      <c r="FA41" t="e">
        <f>#REF!+";Hb!$Bq"</f>
        <v>#REF!</v>
      </c>
      <c r="FB41" t="e">
        <f>#REF!+";Hb!$Br"</f>
        <v>#REF!</v>
      </c>
      <c r="FC41" t="e">
        <f>#REF!+";Hb!$Bs"</f>
        <v>#REF!</v>
      </c>
      <c r="FD41" t="e">
        <f>#REF!+";Hb!$Bt"</f>
        <v>#REF!</v>
      </c>
      <c r="FE41" t="e">
        <f>#REF!+";Hb!$Bu"</f>
        <v>#REF!</v>
      </c>
      <c r="FF41" t="e">
        <f>#REF!+";Hb!$Bv"</f>
        <v>#REF!</v>
      </c>
      <c r="FG41" t="e">
        <f>#REF!+";Hb!$Bw"</f>
        <v>#REF!</v>
      </c>
      <c r="FH41" t="e">
        <f>#REF!+";Hb!$Bx"</f>
        <v>#REF!</v>
      </c>
      <c r="FI41" t="e">
        <f>#REF!+";Hb!$By"</f>
        <v>#REF!</v>
      </c>
      <c r="FJ41" t="e">
        <f>#REF!+";Hb!$Bz"</f>
        <v>#REF!</v>
      </c>
      <c r="FK41" t="e">
        <f>#REF!+";Hb!$B{"</f>
        <v>#REF!</v>
      </c>
      <c r="FL41" t="e">
        <f>#REF!+";Hb!$B|"</f>
        <v>#REF!</v>
      </c>
      <c r="FM41" t="e">
        <f>#REF!+";Hb!$B}"</f>
        <v>#REF!</v>
      </c>
      <c r="FN41" t="e">
        <f>#REF!+";Hb!$B~"</f>
        <v>#REF!</v>
      </c>
      <c r="FO41" t="e">
        <f>#REF!+";Hb!$C#"</f>
        <v>#REF!</v>
      </c>
      <c r="FP41" t="e">
        <f>#REF!+";Hb!$C$"</f>
        <v>#REF!</v>
      </c>
      <c r="FQ41" t="e">
        <f>#REF!+";Hb!$C%"</f>
        <v>#REF!</v>
      </c>
      <c r="FR41" t="e">
        <f>#REF!+";Hb!$C&amp;"</f>
        <v>#REF!</v>
      </c>
      <c r="FS41" t="e">
        <f>#REF!+";Hb!$C'"</f>
        <v>#REF!</v>
      </c>
      <c r="FT41" t="e">
        <f>#REF!+";Hb!$C("</f>
        <v>#REF!</v>
      </c>
      <c r="FU41" t="e">
        <f>#REF!+";Hb!$C)"</f>
        <v>#REF!</v>
      </c>
      <c r="FV41" t="e">
        <f>#REF!+";Hb!$C."</f>
        <v>#REF!</v>
      </c>
      <c r="FW41" t="e">
        <f>#REF!+";Hb!$C/"</f>
        <v>#REF!</v>
      </c>
      <c r="FX41" t="e">
        <f>#REF!+";Hb!$C0"</f>
        <v>#REF!</v>
      </c>
      <c r="FY41" t="e">
        <f>#REF!+";Hb!$C1"</f>
        <v>#REF!</v>
      </c>
      <c r="FZ41" t="e">
        <f>#REF!+";Hb!$C2"</f>
        <v>#REF!</v>
      </c>
      <c r="GA41" t="e">
        <f>#REF!+";Hb!$C3"</f>
        <v>#REF!</v>
      </c>
      <c r="GB41" t="e">
        <f>#REF!+";Hb!$C4"</f>
        <v>#REF!</v>
      </c>
      <c r="GC41" t="e">
        <f>#REF!+";Hb!$C5"</f>
        <v>#REF!</v>
      </c>
      <c r="GD41" t="e">
        <f>#REF!+";Hb!$C6"</f>
        <v>#REF!</v>
      </c>
      <c r="GE41" t="e">
        <f>#REF!+";Hb!$C7"</f>
        <v>#REF!</v>
      </c>
      <c r="GF41" t="e">
        <f>#REF!+";Hb!$C8"</f>
        <v>#REF!</v>
      </c>
      <c r="GG41" t="e">
        <f>#REF!+";Hb!$C9"</f>
        <v>#REF!</v>
      </c>
      <c r="GH41" t="e">
        <f>#REF!+";Hb!$C:"</f>
        <v>#REF!</v>
      </c>
      <c r="GI41" t="e">
        <f>#REF!+";Hb!$C;"</f>
        <v>#REF!</v>
      </c>
      <c r="GJ41" t="e">
        <f>#REF!+";Hb!$C&lt;"</f>
        <v>#REF!</v>
      </c>
      <c r="GK41" t="e">
        <f>#REF!+";Hb!$C="</f>
        <v>#REF!</v>
      </c>
      <c r="GL41" t="e">
        <f>#REF!+";Hb!$C&gt;"</f>
        <v>#REF!</v>
      </c>
      <c r="GM41" t="e">
        <f>#REF!+";Hb!$C?"</f>
        <v>#REF!</v>
      </c>
      <c r="GN41" t="e">
        <f>#REF!+";Hb!$C@"</f>
        <v>#REF!</v>
      </c>
      <c r="GO41" t="e">
        <f>#REF!+";Hb!$CA"</f>
        <v>#REF!</v>
      </c>
      <c r="GP41" t="e">
        <f>#REF!+";Hb!$CB"</f>
        <v>#REF!</v>
      </c>
      <c r="GQ41" t="e">
        <f>#REF!+";Hb!$CC"</f>
        <v>#REF!</v>
      </c>
      <c r="GR41" t="e">
        <f>#REF!+";Hb!$CD"</f>
        <v>#REF!</v>
      </c>
      <c r="GS41" t="e">
        <f>#REF!+";Hb!$CE"</f>
        <v>#REF!</v>
      </c>
      <c r="GT41" t="e">
        <f>#REF!+";Hb!$CF"</f>
        <v>#REF!</v>
      </c>
      <c r="GU41" t="e">
        <f>#REF!+";Hb!$CG"</f>
        <v>#REF!</v>
      </c>
      <c r="GV41" t="e">
        <f>#REF!+";Hb!$CH"</f>
        <v>#REF!</v>
      </c>
      <c r="GW41" t="e">
        <f>#REF!+";Hb!$CI"</f>
        <v>#REF!</v>
      </c>
      <c r="GX41" t="e">
        <f>#REF!+";Hb!$CJ"</f>
        <v>#REF!</v>
      </c>
      <c r="GY41" t="e">
        <f>#REF!+";Hb!$CK"</f>
        <v>#REF!</v>
      </c>
      <c r="GZ41" t="e">
        <f>#REF!+";Hb!$CL"</f>
        <v>#REF!</v>
      </c>
      <c r="HA41" t="e">
        <f>#REF!+";Hb!$CM"</f>
        <v>#REF!</v>
      </c>
      <c r="HB41" t="e">
        <f>#REF!+";Hb!$CN"</f>
        <v>#REF!</v>
      </c>
      <c r="HC41" t="e">
        <f>#REF!+";Hb!$CO"</f>
        <v>#REF!</v>
      </c>
      <c r="HD41" t="e">
        <f>#REF!+";Hb!$CP"</f>
        <v>#REF!</v>
      </c>
      <c r="HE41" t="e">
        <f>#REF!+";Hb!$CQ"</f>
        <v>#REF!</v>
      </c>
      <c r="HF41" t="e">
        <f>#REF!+";Hb!$CR"</f>
        <v>#REF!</v>
      </c>
      <c r="HG41" t="e">
        <f>#REF!+";Hb!$CS"</f>
        <v>#REF!</v>
      </c>
      <c r="HH41" t="e">
        <f>#REF!+";Hb!$CT"</f>
        <v>#REF!</v>
      </c>
      <c r="HI41" t="e">
        <f>#REF!+";Hb!$CU"</f>
        <v>#REF!</v>
      </c>
      <c r="HJ41" t="e">
        <f>#REF!+";Hb!$CV"</f>
        <v>#REF!</v>
      </c>
      <c r="HK41" t="e">
        <f>#REF!+";Hb!$CW"</f>
        <v>#REF!</v>
      </c>
      <c r="HL41" t="e">
        <f>#REF!+";Hb!$CX"</f>
        <v>#REF!</v>
      </c>
      <c r="HM41" t="e">
        <f>#REF!+";Hb!$CY"</f>
        <v>#REF!</v>
      </c>
      <c r="HN41" t="e">
        <f>#REF!+";Hb!$CZ"</f>
        <v>#REF!</v>
      </c>
      <c r="HO41" t="e">
        <f>#REF!+";Hb!$C["</f>
        <v>#REF!</v>
      </c>
      <c r="HP41" t="e">
        <f>#REF!+";Hb!$C\"</f>
        <v>#REF!</v>
      </c>
      <c r="HQ41" t="e">
        <f>#REF!+";Hb!$C]"</f>
        <v>#REF!</v>
      </c>
      <c r="HR41" t="e">
        <f>#REF!+";Hb!$C^"</f>
        <v>#REF!</v>
      </c>
      <c r="HS41" t="e">
        <f>#REF!+";Hb!$C_"</f>
        <v>#REF!</v>
      </c>
      <c r="HT41" t="e">
        <f>#REF!+";Hb!$C`"</f>
        <v>#REF!</v>
      </c>
      <c r="HU41" t="e">
        <f>#REF!+";Hb!$Ca"</f>
        <v>#REF!</v>
      </c>
      <c r="HV41" t="e">
        <f>#REF!+";Hb!$Cb"</f>
        <v>#REF!</v>
      </c>
      <c r="HW41" t="e">
        <f>#REF!+";Hb!$Cc"</f>
        <v>#REF!</v>
      </c>
      <c r="HX41" t="e">
        <f>#REF!+";Hb!$Cd"</f>
        <v>#REF!</v>
      </c>
      <c r="HY41" t="e">
        <f>#REF!+";Hb!$Ce"</f>
        <v>#REF!</v>
      </c>
      <c r="HZ41" t="e">
        <f>#REF!+";Hb!$Cf"</f>
        <v>#REF!</v>
      </c>
      <c r="IA41" t="e">
        <f>#REF!+";Hb!$Cg"</f>
        <v>#REF!</v>
      </c>
      <c r="IB41" t="e">
        <f>#REF!+";Hb!$Ch"</f>
        <v>#REF!</v>
      </c>
      <c r="IC41" t="e">
        <f>#REF!+";Hb!$Ci"</f>
        <v>#REF!</v>
      </c>
      <c r="ID41" t="e">
        <f>#REF!+";Hb!$Cj"</f>
        <v>#REF!</v>
      </c>
      <c r="IE41" t="e">
        <f>#REF!+";Hb!$Ck"</f>
        <v>#REF!</v>
      </c>
      <c r="IF41" t="e">
        <f>#REF!+";Hb!$Cl"</f>
        <v>#REF!</v>
      </c>
      <c r="IG41" t="e">
        <f>#REF!+";Hb!$Cm"</f>
        <v>#REF!</v>
      </c>
      <c r="IH41" t="e">
        <f>#REF!+";Hb!$Cn"</f>
        <v>#REF!</v>
      </c>
      <c r="II41" t="e">
        <f>#REF!+";Hb!$Co"</f>
        <v>#REF!</v>
      </c>
      <c r="IJ41" t="e">
        <f>#REF!+";Hb!$Cp"</f>
        <v>#REF!</v>
      </c>
      <c r="IK41" t="e">
        <f>#REF!+";Hb!$Cq"</f>
        <v>#REF!</v>
      </c>
      <c r="IL41" t="e">
        <f>#REF!+";Hb!$Cr"</f>
        <v>#REF!</v>
      </c>
      <c r="IM41" t="e">
        <f>#REF!+";Hb!$Cs"</f>
        <v>#REF!</v>
      </c>
      <c r="IN41" t="e">
        <f>#REF!+";Hb!$Ct"</f>
        <v>#REF!</v>
      </c>
      <c r="IO41" t="e">
        <f>#REF!+";Hb!$Cu"</f>
        <v>#REF!</v>
      </c>
      <c r="IP41" t="e">
        <f>#REF!+";Hb!$Cv"</f>
        <v>#REF!</v>
      </c>
      <c r="IQ41" t="e">
        <f>#REF!+";Hb!$Cw"</f>
        <v>#REF!</v>
      </c>
      <c r="IR41" t="e">
        <f>#REF!+";Hb!$Cx"</f>
        <v>#REF!</v>
      </c>
      <c r="IS41" t="e">
        <f>#REF!+";Hb!$Cy"</f>
        <v>#REF!</v>
      </c>
      <c r="IT41" t="e">
        <f>#REF!+";Hb!$Cz"</f>
        <v>#REF!</v>
      </c>
      <c r="IU41" t="e">
        <f>#REF!+";Hb!$C{"</f>
        <v>#REF!</v>
      </c>
      <c r="IV41" t="e">
        <f>#REF!+";Hb!$C|"</f>
        <v>#REF!</v>
      </c>
    </row>
    <row r="42" spans="6:256" x14ac:dyDescent="0.25">
      <c r="F42" t="e">
        <f>#REF!+";Hb!$C}"</f>
        <v>#REF!</v>
      </c>
      <c r="G42" t="e">
        <f>#REF!+";Hb!$C~"</f>
        <v>#REF!</v>
      </c>
      <c r="H42" t="e">
        <f>#REF!+";Hb!$D#"</f>
        <v>#REF!</v>
      </c>
      <c r="I42" t="e">
        <f>#REF!+";Hb!$D$"</f>
        <v>#REF!</v>
      </c>
      <c r="J42" t="e">
        <f>#REF!+";Hb!$D%"</f>
        <v>#REF!</v>
      </c>
      <c r="K42" t="e">
        <f>#REF!+";Hb!$D&amp;"</f>
        <v>#REF!</v>
      </c>
      <c r="L42" t="e">
        <f>#REF!+";Hb!$D'"</f>
        <v>#REF!</v>
      </c>
      <c r="M42" t="e">
        <f>#REF!+";Hb!$D("</f>
        <v>#REF!</v>
      </c>
      <c r="N42" t="e">
        <f>#REF!+";Hb!$D)"</f>
        <v>#REF!</v>
      </c>
      <c r="O42" t="e">
        <f>#REF!+";Hb!$D."</f>
        <v>#REF!</v>
      </c>
      <c r="P42" t="e">
        <f>#REF!+";Hb!$D/"</f>
        <v>#REF!</v>
      </c>
      <c r="Q42" t="e">
        <f>#REF!+";Hb!$D0"</f>
        <v>#REF!</v>
      </c>
      <c r="R42" t="e">
        <f>#REF!+";Hb!$D1"</f>
        <v>#REF!</v>
      </c>
      <c r="S42" t="e">
        <f>#REF!+";Hb!$D2"</f>
        <v>#REF!</v>
      </c>
      <c r="T42" t="e">
        <f>#REF!+";Hb!$D3"</f>
        <v>#REF!</v>
      </c>
      <c r="U42" t="e">
        <f>#REF!+";Hb!$D4"</f>
        <v>#REF!</v>
      </c>
      <c r="V42" t="e">
        <f>#REF!+";Hb!$D5"</f>
        <v>#REF!</v>
      </c>
      <c r="W42" t="e">
        <f>#REF!+";Hb!$D6"</f>
        <v>#REF!</v>
      </c>
      <c r="X42" t="e">
        <f>#REF!+";Hb!$D7"</f>
        <v>#REF!</v>
      </c>
      <c r="Y42" t="e">
        <f>#REF!+";Hb!$D8"</f>
        <v>#REF!</v>
      </c>
      <c r="Z42" t="e">
        <f>#REF!+";Hb!$D9"</f>
        <v>#REF!</v>
      </c>
      <c r="AA42" t="e">
        <f>#REF!+";Hb!$D:"</f>
        <v>#REF!</v>
      </c>
      <c r="AB42" t="e">
        <f>#REF!+";Hb!$D;"</f>
        <v>#REF!</v>
      </c>
      <c r="AC42" t="e">
        <f>#REF!+";Hb!$D&lt;"</f>
        <v>#REF!</v>
      </c>
      <c r="AD42" t="e">
        <f>#REF!+";Hb!$D="</f>
        <v>#REF!</v>
      </c>
      <c r="AE42" t="e">
        <f>#REF!+";Hb!$D&gt;"</f>
        <v>#REF!</v>
      </c>
      <c r="AF42" t="e">
        <f>#REF!+";Hb!$D?"</f>
        <v>#REF!</v>
      </c>
      <c r="AG42" t="e">
        <f>#REF!+";Hb!$D@"</f>
        <v>#REF!</v>
      </c>
      <c r="AH42" t="e">
        <f>#REF!+";Hb!$DA"</f>
        <v>#REF!</v>
      </c>
      <c r="AI42" t="e">
        <f>#REF!+";Hb!$DB"</f>
        <v>#REF!</v>
      </c>
      <c r="AJ42" t="e">
        <f>#REF!+";Hb!$DC"</f>
        <v>#REF!</v>
      </c>
      <c r="AK42" t="e">
        <f>#REF!+";Hb!$DD"</f>
        <v>#REF!</v>
      </c>
      <c r="AL42" t="e">
        <f>#REF!+";Hb!$DE"</f>
        <v>#REF!</v>
      </c>
      <c r="AM42" t="e">
        <f>#REF!+";Hb!$DF"</f>
        <v>#REF!</v>
      </c>
      <c r="AN42" t="e">
        <f>#REF!+";Hb!$DG"</f>
        <v>#REF!</v>
      </c>
      <c r="AO42" t="e">
        <f>#REF!+";Hb!$DH"</f>
        <v>#REF!</v>
      </c>
      <c r="AP42" t="e">
        <f>#REF!+";Hb!$DI"</f>
        <v>#REF!</v>
      </c>
      <c r="AQ42" t="e">
        <f>#REF!+";Hb!$DJ"</f>
        <v>#REF!</v>
      </c>
      <c r="AR42" t="e">
        <f>#REF!+";Hb!$DK"</f>
        <v>#REF!</v>
      </c>
      <c r="AS42" t="e">
        <f>#REF!+";Hb!$DL"</f>
        <v>#REF!</v>
      </c>
      <c r="AT42" t="e">
        <f>#REF!+";Hb!$DM"</f>
        <v>#REF!</v>
      </c>
      <c r="AU42" t="e">
        <f>#REF!+";Hb!$DN"</f>
        <v>#REF!</v>
      </c>
      <c r="AV42" t="e">
        <f>#REF!+";Hb!$DO"</f>
        <v>#REF!</v>
      </c>
      <c r="AW42" t="e">
        <f>#REF!+";Hb!$DP"</f>
        <v>#REF!</v>
      </c>
      <c r="AX42" t="e">
        <f>#REF!+";Hb!$DQ"</f>
        <v>#REF!</v>
      </c>
      <c r="AY42" t="e">
        <f>#REF!+";Hb!$DR"</f>
        <v>#REF!</v>
      </c>
      <c r="AZ42" t="e">
        <f>#REF!+";Hb!$DS"</f>
        <v>#REF!</v>
      </c>
      <c r="BA42" t="e">
        <f>#REF!+";Hb!$DT"</f>
        <v>#REF!</v>
      </c>
      <c r="BB42" t="e">
        <f>#REF!+";Hb!$DU"</f>
        <v>#REF!</v>
      </c>
      <c r="BC42" t="e">
        <f>#REF!+";Hb!$DV"</f>
        <v>#REF!</v>
      </c>
      <c r="BD42" t="e">
        <f>#REF!+";Hb!$DW"</f>
        <v>#REF!</v>
      </c>
      <c r="BE42" t="e">
        <f>#REF!+";Hb!$DX"</f>
        <v>#REF!</v>
      </c>
      <c r="BF42" t="e">
        <f>#REF!+";Hb!$DY"</f>
        <v>#REF!</v>
      </c>
      <c r="BG42" t="e">
        <f>#REF!+";Hb!$DZ"</f>
        <v>#REF!</v>
      </c>
      <c r="BH42" t="e">
        <f>#REF!+";Hb!$D["</f>
        <v>#REF!</v>
      </c>
      <c r="BI42" t="e">
        <f>#REF!+";Hb!$D\"</f>
        <v>#REF!</v>
      </c>
      <c r="BJ42" t="e">
        <f>#REF!+";Hb!$D]"</f>
        <v>#REF!</v>
      </c>
      <c r="BK42" t="e">
        <f>#REF!+";Hb!$D^"</f>
        <v>#REF!</v>
      </c>
      <c r="BL42" t="e">
        <f>#REF!+";Hb!$D_"</f>
        <v>#REF!</v>
      </c>
      <c r="BM42" t="e">
        <f>#REF!+";Hb!$D`"</f>
        <v>#REF!</v>
      </c>
      <c r="BN42" t="e">
        <f>#REF!+";Hb!$Da"</f>
        <v>#REF!</v>
      </c>
      <c r="BO42" t="e">
        <f>#REF!+";Hb!$Db"</f>
        <v>#REF!</v>
      </c>
      <c r="BP42" t="e">
        <f>#REF!+";Hb!$Dc"</f>
        <v>#REF!</v>
      </c>
      <c r="BQ42" t="e">
        <f>#REF!+";Hb!$Dd"</f>
        <v>#REF!</v>
      </c>
      <c r="BR42" t="e">
        <f>#REF!+";Hb!$De"</f>
        <v>#REF!</v>
      </c>
      <c r="BS42" t="e">
        <f>#REF!+";Hb!$Df"</f>
        <v>#REF!</v>
      </c>
      <c r="BT42" t="e">
        <f>#REF!+";Hb!$Dg"</f>
        <v>#REF!</v>
      </c>
      <c r="BU42" t="e">
        <f>#REF!+";Hb!$Dh"</f>
        <v>#REF!</v>
      </c>
      <c r="BV42" t="e">
        <f>#REF!+";Hb!$Di"</f>
        <v>#REF!</v>
      </c>
      <c r="BW42" t="e">
        <f>#REF!+";Hb!$Dj"</f>
        <v>#REF!</v>
      </c>
      <c r="BX42" t="e">
        <f>#REF!+";Hb!$Dk"</f>
        <v>#REF!</v>
      </c>
      <c r="BY42" t="e">
        <f>#REF!+";Hb!$Dl"</f>
        <v>#REF!</v>
      </c>
      <c r="BZ42" t="e">
        <f>#REF!+";Hb!$Dm"</f>
        <v>#REF!</v>
      </c>
      <c r="CA42" t="e">
        <f>#REF!+";Hb!$Dn"</f>
        <v>#REF!</v>
      </c>
      <c r="CB42" t="e">
        <f>#REF!+";Hb!$Do"</f>
        <v>#REF!</v>
      </c>
      <c r="CC42" t="e">
        <f>#REF!+";Hb!$Dp"</f>
        <v>#REF!</v>
      </c>
      <c r="CD42" t="e">
        <f>#REF!+";Hb!$Dq"</f>
        <v>#REF!</v>
      </c>
      <c r="CE42" t="e">
        <f>#REF!+";Hb!$Dr"</f>
        <v>#REF!</v>
      </c>
      <c r="CF42" t="e">
        <f>#REF!+";Hb!$Ds"</f>
        <v>#REF!</v>
      </c>
      <c r="CG42" t="e">
        <f>#REF!+";Hb!$Dt"</f>
        <v>#REF!</v>
      </c>
      <c r="CH42" t="e">
        <f>#REF!+";Hb!$Du"</f>
        <v>#REF!</v>
      </c>
      <c r="CI42" t="e">
        <f>#REF!+";Hb!$Dv"</f>
        <v>#REF!</v>
      </c>
      <c r="CJ42" t="e">
        <f>#REF!+";Hb!$Dw"</f>
        <v>#REF!</v>
      </c>
      <c r="CK42" t="e">
        <f>#REF!+";Hb!$Dx"</f>
        <v>#REF!</v>
      </c>
      <c r="CL42" t="e">
        <f>#REF!+";Hb!$Dy"</f>
        <v>#REF!</v>
      </c>
      <c r="CM42" t="e">
        <f>#REF!+";Hb!$Dz"</f>
        <v>#REF!</v>
      </c>
      <c r="CN42" t="e">
        <f>#REF!+";Hb!$D{"</f>
        <v>#REF!</v>
      </c>
      <c r="CO42" t="e">
        <f>#REF!+";Hb!$D|"</f>
        <v>#REF!</v>
      </c>
      <c r="CP42" t="e">
        <f>#REF!+";Hb!$D}"</f>
        <v>#REF!</v>
      </c>
      <c r="CQ42" t="e">
        <f>#REF!+";Hb!$D~"</f>
        <v>#REF!</v>
      </c>
      <c r="CR42" t="e">
        <f>#REF!+";Hb!$E#"</f>
        <v>#REF!</v>
      </c>
      <c r="CS42" t="e">
        <f>#REF!+";Hb!$E$"</f>
        <v>#REF!</v>
      </c>
      <c r="CT42" t="e">
        <f>#REF!+";Hb!$E%"</f>
        <v>#REF!</v>
      </c>
      <c r="CU42" t="e">
        <f>#REF!+";Hb!$E&amp;"</f>
        <v>#REF!</v>
      </c>
      <c r="CV42" t="e">
        <f>#REF!+";Hb!$E'"</f>
        <v>#REF!</v>
      </c>
      <c r="CW42" t="e">
        <f>#REF!+";Hb!$E("</f>
        <v>#REF!</v>
      </c>
      <c r="CX42" t="e">
        <f>#REF!+";Hb!$E)"</f>
        <v>#REF!</v>
      </c>
      <c r="CY42" t="e">
        <f>#REF!+";Hb!$E."</f>
        <v>#REF!</v>
      </c>
      <c r="CZ42" t="e">
        <f>#REF!+";Hb!$E/"</f>
        <v>#REF!</v>
      </c>
      <c r="DA42" t="e">
        <f>#REF!+";Hb!$E0"</f>
        <v>#REF!</v>
      </c>
      <c r="DB42" t="e">
        <f>#REF!+";Hb!$E1"</f>
        <v>#REF!</v>
      </c>
      <c r="DC42" t="e">
        <f>#REF!+";Hb!$E2"</f>
        <v>#REF!</v>
      </c>
      <c r="DD42" t="e">
        <f>#REF!+";Hb!$E3"</f>
        <v>#REF!</v>
      </c>
      <c r="DE42" t="e">
        <f>#REF!+";Hb!$E4"</f>
        <v>#REF!</v>
      </c>
      <c r="DF42" t="e">
        <f>#REF!+";Hb!$E5"</f>
        <v>#REF!</v>
      </c>
      <c r="DG42" t="e">
        <f>#REF!+";Hb!$E6"</f>
        <v>#REF!</v>
      </c>
      <c r="DH42" t="e">
        <f>#REF!+";Hb!$E7"</f>
        <v>#REF!</v>
      </c>
      <c r="DI42" t="e">
        <f>#REF!+";Hb!$E8"</f>
        <v>#REF!</v>
      </c>
      <c r="DJ42" t="e">
        <f>#REF!+";Hb!$E9"</f>
        <v>#REF!</v>
      </c>
      <c r="DK42" t="e">
        <f>#REF!+";Hb!$E:"</f>
        <v>#REF!</v>
      </c>
      <c r="DL42" t="e">
        <f>#REF!+";Hb!$E;"</f>
        <v>#REF!</v>
      </c>
      <c r="DM42" t="e">
        <f>#REF!+";Hb!$E&lt;"</f>
        <v>#REF!</v>
      </c>
      <c r="DN42" t="e">
        <f>#REF!+";Hb!$E="</f>
        <v>#REF!</v>
      </c>
      <c r="DO42" t="e">
        <f>#REF!+";Hb!$E&gt;"</f>
        <v>#REF!</v>
      </c>
      <c r="DP42" t="e">
        <f>#REF!+";Hb!$E?"</f>
        <v>#REF!</v>
      </c>
      <c r="DQ42" t="e">
        <f>#REF!+";Hb!$E@"</f>
        <v>#REF!</v>
      </c>
      <c r="DR42" t="e">
        <f>#REF!+";Hb!$EA"</f>
        <v>#REF!</v>
      </c>
      <c r="DS42" t="e">
        <f>#REF!+";Hb!$EB"</f>
        <v>#REF!</v>
      </c>
      <c r="DT42" t="e">
        <f>#REF!+";Hb!$EC"</f>
        <v>#REF!</v>
      </c>
      <c r="DU42" t="e">
        <f>#REF!+";Hb!$ED"</f>
        <v>#REF!</v>
      </c>
      <c r="DV42" t="e">
        <f>#REF!+";Hb!$EE"</f>
        <v>#REF!</v>
      </c>
      <c r="DW42" t="e">
        <f>#REF!+";Hb!$EF"</f>
        <v>#REF!</v>
      </c>
      <c r="DX42" t="e">
        <f>#REF!+";Hb!$EG"</f>
        <v>#REF!</v>
      </c>
      <c r="DY42" t="e">
        <f>#REF!+";Hb!$EH"</f>
        <v>#REF!</v>
      </c>
      <c r="DZ42" t="e">
        <f>#REF!+";Hb!$EI"</f>
        <v>#REF!</v>
      </c>
      <c r="EA42" t="e">
        <f>#REF!+";Hb!$EJ"</f>
        <v>#REF!</v>
      </c>
      <c r="EB42" t="e">
        <f>#REF!+";Hb!$EK"</f>
        <v>#REF!</v>
      </c>
      <c r="EC42" t="e">
        <f>#REF!+";Hb!$EL"</f>
        <v>#REF!</v>
      </c>
      <c r="ED42" t="e">
        <f>#REF!+";Hb!$EM"</f>
        <v>#REF!</v>
      </c>
      <c r="EE42" t="e">
        <f>#REF!+";Hb!$EN"</f>
        <v>#REF!</v>
      </c>
      <c r="EF42" t="e">
        <f>#REF!+";Hb!$EO"</f>
        <v>#REF!</v>
      </c>
      <c r="EG42" t="e">
        <f>#REF!+";Hb!$EP"</f>
        <v>#REF!</v>
      </c>
      <c r="EH42" t="e">
        <f>#REF!+";Hb!$EQ"</f>
        <v>#REF!</v>
      </c>
      <c r="EI42" t="e">
        <f>#REF!+";Hb!$ER"</f>
        <v>#REF!</v>
      </c>
      <c r="EJ42" t="e">
        <f>#REF!+";Hb!$ES"</f>
        <v>#REF!</v>
      </c>
      <c r="EK42" t="e">
        <f>#REF!+";Hb!$ET"</f>
        <v>#REF!</v>
      </c>
      <c r="EL42" t="e">
        <f>#REF!+";Hb!$EU"</f>
        <v>#REF!</v>
      </c>
      <c r="EM42" t="e">
        <f>#REF!+";Hb!$EV"</f>
        <v>#REF!</v>
      </c>
      <c r="EN42" t="e">
        <f>#REF!+";Hb!$EW"</f>
        <v>#REF!</v>
      </c>
      <c r="EO42" t="e">
        <f>#REF!+";Hb!$EX"</f>
        <v>#REF!</v>
      </c>
      <c r="EP42" t="e">
        <f>#REF!+";Hb!$EY"</f>
        <v>#REF!</v>
      </c>
      <c r="EQ42" t="e">
        <f>#REF!+";Hb!$EZ"</f>
        <v>#REF!</v>
      </c>
      <c r="ER42" t="e">
        <f>#REF!+";Hb!$E["</f>
        <v>#REF!</v>
      </c>
      <c r="ES42" t="e">
        <f>#REF!+";Hb!$E\"</f>
        <v>#REF!</v>
      </c>
      <c r="ET42" t="e">
        <f>#REF!+";Hb!$E]"</f>
        <v>#REF!</v>
      </c>
      <c r="EU42" t="e">
        <f>#REF!+";Hb!$E^"</f>
        <v>#REF!</v>
      </c>
      <c r="EV42" t="e">
        <f>#REF!+";Hb!$E_"</f>
        <v>#REF!</v>
      </c>
      <c r="EW42" t="e">
        <f>#REF!+";Hb!$E`"</f>
        <v>#REF!</v>
      </c>
      <c r="EX42" t="e">
        <f>#REF!+";Hb!$Ea"</f>
        <v>#REF!</v>
      </c>
      <c r="EY42" t="e">
        <f>#REF!+";Hb!$Eb"</f>
        <v>#REF!</v>
      </c>
      <c r="EZ42" t="e">
        <f>#REF!+";Hb!$Ec"</f>
        <v>#REF!</v>
      </c>
      <c r="FA42" t="e">
        <f>#REF!+";Hb!$Ed"</f>
        <v>#REF!</v>
      </c>
      <c r="FB42" t="e">
        <f>#REF!+";Hb!$Ee"</f>
        <v>#REF!</v>
      </c>
      <c r="FC42" t="e">
        <f>#REF!+";Hb!$Ef"</f>
        <v>#REF!</v>
      </c>
      <c r="FD42" t="e">
        <f>#REF!+";Hb!$Eg"</f>
        <v>#REF!</v>
      </c>
      <c r="FE42" t="e">
        <f>#REF!+";Hb!$Eh"</f>
        <v>#REF!</v>
      </c>
      <c r="FF42" t="e">
        <f>#REF!+";Hb!$Ei"</f>
        <v>#REF!</v>
      </c>
      <c r="FG42" t="e">
        <f>#REF!+";Hb!$Ej"</f>
        <v>#REF!</v>
      </c>
      <c r="FH42" t="e">
        <f>#REF!+";Hb!$Ek"</f>
        <v>#REF!</v>
      </c>
      <c r="FI42" t="e">
        <f>#REF!+";Hb!$El"</f>
        <v>#REF!</v>
      </c>
      <c r="FJ42" t="e">
        <f>#REF!+";Hb!$Em"</f>
        <v>#REF!</v>
      </c>
      <c r="FK42" t="e">
        <f>#REF!+";Hb!$En"</f>
        <v>#REF!</v>
      </c>
      <c r="FL42" t="e">
        <f>#REF!+";Hb!$Eo"</f>
        <v>#REF!</v>
      </c>
      <c r="FM42" t="e">
        <f>#REF!+";Hb!$Ep"</f>
        <v>#REF!</v>
      </c>
      <c r="FN42" t="e">
        <f>#REF!+";Hb!$Eq"</f>
        <v>#REF!</v>
      </c>
      <c r="FO42" t="e">
        <f>#REF!+";Hb!$Er"</f>
        <v>#REF!</v>
      </c>
      <c r="FP42" t="e">
        <f>#REF!+";Hb!$Es"</f>
        <v>#REF!</v>
      </c>
      <c r="FQ42" t="e">
        <f>#REF!+";Hb!$Et"</f>
        <v>#REF!</v>
      </c>
      <c r="FR42" t="e">
        <f>#REF!+";Hb!$Eu"</f>
        <v>#REF!</v>
      </c>
      <c r="FS42" t="e">
        <f>#REF!+";Hb!$Ev"</f>
        <v>#REF!</v>
      </c>
      <c r="FT42" t="e">
        <f>#REF!+";Hb!$Ew"</f>
        <v>#REF!</v>
      </c>
      <c r="FU42" t="e">
        <f>#REF!+";Hb!$Ex"</f>
        <v>#REF!</v>
      </c>
      <c r="FV42" t="e">
        <f>#REF!+";Hb!$Ey"</f>
        <v>#REF!</v>
      </c>
      <c r="FW42" t="e">
        <f>#REF!+";Hb!$Ez"</f>
        <v>#REF!</v>
      </c>
      <c r="FX42" t="e">
        <f>#REF!+";Hb!$E{"</f>
        <v>#REF!</v>
      </c>
      <c r="FY42" t="e">
        <f>#REF!+";Hb!$E|"</f>
        <v>#REF!</v>
      </c>
      <c r="FZ42" t="e">
        <f>#REF!+";Hb!$E}"</f>
        <v>#REF!</v>
      </c>
      <c r="GA42" t="e">
        <f>#REF!+";Hb!$E~"</f>
        <v>#REF!</v>
      </c>
      <c r="GB42" t="e">
        <f>#REF!+";Hb!$F#"</f>
        <v>#REF!</v>
      </c>
      <c r="GC42" t="e">
        <f>#REF!+";Hb!$F$"</f>
        <v>#REF!</v>
      </c>
      <c r="GD42" t="e">
        <f>#REF!+";Hb!$F%"</f>
        <v>#REF!</v>
      </c>
      <c r="GE42" t="e">
        <f>#REF!+";Hb!$F&amp;"</f>
        <v>#REF!</v>
      </c>
      <c r="GF42" t="e">
        <f>#REF!+";Hb!$F'"</f>
        <v>#REF!</v>
      </c>
      <c r="GG42" t="e">
        <f>#REF!+";Hb!$F("</f>
        <v>#REF!</v>
      </c>
      <c r="GH42" t="e">
        <f>#REF!+";Hb!$F)"</f>
        <v>#REF!</v>
      </c>
      <c r="GI42" t="e">
        <f>#REF!+";Hb!$F."</f>
        <v>#REF!</v>
      </c>
      <c r="GJ42" t="e">
        <f>#REF!+";Hb!$F/"</f>
        <v>#REF!</v>
      </c>
      <c r="GK42" t="e">
        <f>#REF!+";Hb!$F0"</f>
        <v>#REF!</v>
      </c>
      <c r="GL42" t="e">
        <f>#REF!+";Hb!$F1"</f>
        <v>#REF!</v>
      </c>
      <c r="GM42" t="e">
        <f>#REF!+";Hb!$F2"</f>
        <v>#REF!</v>
      </c>
      <c r="GN42" t="e">
        <f>#REF!+";Hb!$F3"</f>
        <v>#REF!</v>
      </c>
      <c r="GO42" t="e">
        <f>#REF!+";Hb!$F4"</f>
        <v>#REF!</v>
      </c>
      <c r="GP42" t="e">
        <f>#REF!+";Hb!$F5"</f>
        <v>#REF!</v>
      </c>
      <c r="GQ42" t="e">
        <f>#REF!+";Hb!$F6"</f>
        <v>#REF!</v>
      </c>
      <c r="GR42" t="e">
        <f>#REF!+";Hb!$F7"</f>
        <v>#REF!</v>
      </c>
      <c r="GS42" t="e">
        <f>#REF!+";Hb!$F8"</f>
        <v>#REF!</v>
      </c>
      <c r="GT42" t="e">
        <f>#REF!+";Hb!$F9"</f>
        <v>#REF!</v>
      </c>
      <c r="GU42" t="e">
        <f>#REF!+";Hb!$F:"</f>
        <v>#REF!</v>
      </c>
      <c r="GV42" t="e">
        <f>#REF!+";Hb!$F;"</f>
        <v>#REF!</v>
      </c>
      <c r="GW42" t="e">
        <f>#REF!+";Hb!$F&lt;"</f>
        <v>#REF!</v>
      </c>
      <c r="GX42" t="e">
        <f>#REF!+";Hb!$F="</f>
        <v>#REF!</v>
      </c>
      <c r="GY42" t="e">
        <f>#REF!+";Hb!$F&gt;"</f>
        <v>#REF!</v>
      </c>
      <c r="GZ42" t="e">
        <f>#REF!+";Hb!$F?"</f>
        <v>#REF!</v>
      </c>
      <c r="HA42" t="e">
        <f>#REF!+";Hb!$F@"</f>
        <v>#REF!</v>
      </c>
      <c r="HB42" t="e">
        <f>#REF!+";Hb!$FA"</f>
        <v>#REF!</v>
      </c>
      <c r="HC42" t="e">
        <f>#REF!+";Hb!$FB"</f>
        <v>#REF!</v>
      </c>
      <c r="HD42" t="e">
        <f>#REF!+";Hb!$FC"</f>
        <v>#REF!</v>
      </c>
      <c r="HE42" t="e">
        <f>#REF!+";Hb!$FD"</f>
        <v>#REF!</v>
      </c>
      <c r="HF42" t="e">
        <f>#REF!+";Hb!$FE"</f>
        <v>#REF!</v>
      </c>
      <c r="HG42" t="e">
        <f>#REF!+";Hb!$FF"</f>
        <v>#REF!</v>
      </c>
      <c r="HH42" t="e">
        <f>#REF!+";Hb!$FG"</f>
        <v>#REF!</v>
      </c>
      <c r="HI42" t="e">
        <f>#REF!+";Hb!$FH"</f>
        <v>#REF!</v>
      </c>
      <c r="HJ42" t="e">
        <f>#REF!+";Hb!$FI"</f>
        <v>#REF!</v>
      </c>
      <c r="HK42" t="e">
        <f>#REF!+";Hb!$FJ"</f>
        <v>#REF!</v>
      </c>
      <c r="HL42" t="e">
        <f>#REF!+";Hb!$FK"</f>
        <v>#REF!</v>
      </c>
      <c r="HM42" t="e">
        <f>#REF!+";Hb!$FL"</f>
        <v>#REF!</v>
      </c>
      <c r="HN42" t="e">
        <f>#REF!+";Hb!$FM"</f>
        <v>#REF!</v>
      </c>
      <c r="HO42" t="e">
        <f>#REF!+";Hb!$FN"</f>
        <v>#REF!</v>
      </c>
      <c r="HP42" t="e">
        <f>#REF!+";Hb!$FO"</f>
        <v>#REF!</v>
      </c>
      <c r="HQ42" t="e">
        <f>#REF!+";Hb!$FP"</f>
        <v>#REF!</v>
      </c>
      <c r="HR42" t="e">
        <f>#REF!+";Hb!$FQ"</f>
        <v>#REF!</v>
      </c>
      <c r="HS42" t="e">
        <f>#REF!+";Hb!$FR"</f>
        <v>#REF!</v>
      </c>
      <c r="HT42" t="e">
        <f>#REF!+";Hb!$FS"</f>
        <v>#REF!</v>
      </c>
      <c r="HU42" t="e">
        <f>#REF!+";Hb!$FT"</f>
        <v>#REF!</v>
      </c>
      <c r="HV42" t="e">
        <f>#REF!+";Hb!$FU"</f>
        <v>#REF!</v>
      </c>
      <c r="HW42" t="e">
        <f>#REF!+";Hb!$FV"</f>
        <v>#REF!</v>
      </c>
      <c r="HX42" t="e">
        <f>#REF!+";Hb!$FW"</f>
        <v>#REF!</v>
      </c>
      <c r="HY42" t="e">
        <f>#REF!+";Hb!$FX"</f>
        <v>#REF!</v>
      </c>
      <c r="HZ42" t="e">
        <f>#REF!+";Hb!$FY"</f>
        <v>#REF!</v>
      </c>
      <c r="IA42" t="e">
        <f>#REF!+";Hb!$FZ"</f>
        <v>#REF!</v>
      </c>
      <c r="IB42" t="e">
        <f>#REF!+";Hb!$F["</f>
        <v>#REF!</v>
      </c>
      <c r="IC42" t="e">
        <f>#REF!+";Hb!$F\"</f>
        <v>#REF!</v>
      </c>
      <c r="ID42" t="e">
        <f>#REF!+";Hb!$F]"</f>
        <v>#REF!</v>
      </c>
      <c r="IE42" t="e">
        <f>#REF!+";Hb!$F^"</f>
        <v>#REF!</v>
      </c>
      <c r="IF42" t="e">
        <f>#REF!+";Hb!$F_"</f>
        <v>#REF!</v>
      </c>
      <c r="IG42" t="e">
        <f>#REF!+";Hb!$F`"</f>
        <v>#REF!</v>
      </c>
      <c r="IH42" t="e">
        <f>#REF!+";Hb!$Fa"</f>
        <v>#REF!</v>
      </c>
      <c r="II42" t="e">
        <f>#REF!+";Hb!$Fb"</f>
        <v>#REF!</v>
      </c>
      <c r="IJ42" t="e">
        <f>#REF!+";Hb!$Fc"</f>
        <v>#REF!</v>
      </c>
      <c r="IK42" t="e">
        <f>#REF!+";Hb!$Fd"</f>
        <v>#REF!</v>
      </c>
      <c r="IL42" t="e">
        <f>#REF!+";Hb!$Fe"</f>
        <v>#REF!</v>
      </c>
      <c r="IM42" t="e">
        <f>#REF!+";Hb!$Ff"</f>
        <v>#REF!</v>
      </c>
      <c r="IN42" t="e">
        <f>#REF!+";Hb!$Fg"</f>
        <v>#REF!</v>
      </c>
      <c r="IO42" t="e">
        <f>#REF!+";Hb!$Fh"</f>
        <v>#REF!</v>
      </c>
      <c r="IP42" t="e">
        <f>#REF!+";Hb!$Fi"</f>
        <v>#REF!</v>
      </c>
      <c r="IQ42" t="e">
        <f>#REF!+";Hb!$Fj"</f>
        <v>#REF!</v>
      </c>
      <c r="IR42" t="e">
        <f>#REF!+";Hb!$Fk"</f>
        <v>#REF!</v>
      </c>
      <c r="IS42" t="e">
        <f>#REF!+";Hb!$Fl"</f>
        <v>#REF!</v>
      </c>
      <c r="IT42" t="e">
        <f>#REF!+";Hb!$Fm"</f>
        <v>#REF!</v>
      </c>
      <c r="IU42" t="e">
        <f>#REF!+";Hb!$Fn"</f>
        <v>#REF!</v>
      </c>
      <c r="IV42" t="e">
        <f>#REF!+";Hb!$Fo"</f>
        <v>#REF!</v>
      </c>
    </row>
    <row r="43" spans="6:256" x14ac:dyDescent="0.25">
      <c r="F43" t="e">
        <f>#REF!+";Hb!$Fp"</f>
        <v>#REF!</v>
      </c>
      <c r="G43" t="e">
        <f>#REF!+";Hb!$Fq"</f>
        <v>#REF!</v>
      </c>
      <c r="H43" t="e">
        <f>#REF!+";Hb!$Fr"</f>
        <v>#REF!</v>
      </c>
      <c r="I43" t="e">
        <f>#REF!+";Hb!$Fs"</f>
        <v>#REF!</v>
      </c>
      <c r="J43" t="e">
        <f>#REF!+";Hb!$Ft"</f>
        <v>#REF!</v>
      </c>
      <c r="K43" t="e">
        <f>#REF!+";Hb!$Fu"</f>
        <v>#REF!</v>
      </c>
      <c r="L43" t="e">
        <f>#REF!+";Hb!$Fv"</f>
        <v>#REF!</v>
      </c>
      <c r="M43" t="e">
        <f>#REF!+";Hb!$Fw"</f>
        <v>#REF!</v>
      </c>
      <c r="N43" t="e">
        <f>#REF!+";Hb!$Fx"</f>
        <v>#REF!</v>
      </c>
      <c r="O43" t="e">
        <f>#REF!+";Hb!$Fy"</f>
        <v>#REF!</v>
      </c>
      <c r="P43" t="e">
        <f>#REF!+";Hb!$Fz"</f>
        <v>#REF!</v>
      </c>
      <c r="Q43" t="e">
        <f>#REF!+";Hb!$F{"</f>
        <v>#REF!</v>
      </c>
      <c r="R43" t="e">
        <f>#REF!+";Hb!$F|"</f>
        <v>#REF!</v>
      </c>
      <c r="S43" t="e">
        <f>#REF!+";Hb!$F}"</f>
        <v>#REF!</v>
      </c>
      <c r="T43" t="e">
        <f>#REF!+";Hb!$F~"</f>
        <v>#REF!</v>
      </c>
      <c r="U43" t="e">
        <f>#REF!+";Hb!$G#"</f>
        <v>#REF!</v>
      </c>
      <c r="V43" t="e">
        <f>#REF!+";Hb!$G$"</f>
        <v>#REF!</v>
      </c>
      <c r="W43" t="e">
        <f>#REF!+";Hb!$G%"</f>
        <v>#REF!</v>
      </c>
      <c r="X43" t="e">
        <f>#REF!+";Hb!$G&amp;"</f>
        <v>#REF!</v>
      </c>
      <c r="Y43" t="e">
        <f>#REF!+";Hb!$G'"</f>
        <v>#REF!</v>
      </c>
      <c r="Z43" t="e">
        <f>#REF!+";Hb!$G("</f>
        <v>#REF!</v>
      </c>
      <c r="AA43" t="e">
        <f>#REF!+";Hb!$G)"</f>
        <v>#REF!</v>
      </c>
      <c r="AB43" t="e">
        <f>#REF!+";Hb!$G."</f>
        <v>#REF!</v>
      </c>
      <c r="AC43" t="e">
        <f>#REF!+";Hb!$G/"</f>
        <v>#REF!</v>
      </c>
      <c r="AD43" t="e">
        <f>#REF!+";Hb!$G0"</f>
        <v>#REF!</v>
      </c>
      <c r="AE43" t="e">
        <f>#REF!+";Hb!$G1"</f>
        <v>#REF!</v>
      </c>
      <c r="AF43" t="e">
        <f>#REF!+";Hb!$G2"</f>
        <v>#REF!</v>
      </c>
      <c r="AG43" t="e">
        <f>#REF!+";Hb!$G3"</f>
        <v>#REF!</v>
      </c>
      <c r="AH43" t="e">
        <f>#REF!+";Hb!$G4"</f>
        <v>#REF!</v>
      </c>
      <c r="AI43" t="e">
        <f>#REF!+";Hb!$G5"</f>
        <v>#REF!</v>
      </c>
      <c r="AJ43" t="e">
        <f>#REF!+";Hb!$G6"</f>
        <v>#REF!</v>
      </c>
      <c r="AK43" t="e">
        <f>#REF!+";Hb!$G7"</f>
        <v>#REF!</v>
      </c>
      <c r="AL43" t="e">
        <f>#REF!+";Hb!$G8"</f>
        <v>#REF!</v>
      </c>
      <c r="AM43" t="e">
        <f>#REF!+";Hb!$G9"</f>
        <v>#REF!</v>
      </c>
      <c r="AN43" t="e">
        <f>#REF!+";Hb!$G:"</f>
        <v>#REF!</v>
      </c>
      <c r="AO43" t="e">
        <f>#REF!+";Hb!$G;"</f>
        <v>#REF!</v>
      </c>
      <c r="AP43" t="e">
        <f>#REF!+";Hb!$G&lt;"</f>
        <v>#REF!</v>
      </c>
      <c r="AQ43" t="e">
        <f>#REF!+";Hb!$G="</f>
        <v>#REF!</v>
      </c>
      <c r="AR43" t="e">
        <f>#REF!+";Hb!$G&gt;"</f>
        <v>#REF!</v>
      </c>
      <c r="AS43" t="e">
        <f>#REF!+";Hb!$G?"</f>
        <v>#REF!</v>
      </c>
      <c r="AT43" t="e">
        <f>#REF!+";Hb!$G@"</f>
        <v>#REF!</v>
      </c>
      <c r="AU43" t="e">
        <f>#REF!+";Hb!$GA"</f>
        <v>#REF!</v>
      </c>
      <c r="AV43" t="e">
        <f>#REF!+";Hb!$GB"</f>
        <v>#REF!</v>
      </c>
      <c r="AW43" t="e">
        <f>#REF!+";Hb!$GC"</f>
        <v>#REF!</v>
      </c>
      <c r="AX43" t="e">
        <f>#REF!+";Hb!$GD"</f>
        <v>#REF!</v>
      </c>
      <c r="AY43" t="e">
        <f>#REF!+";Hb!$GE"</f>
        <v>#REF!</v>
      </c>
      <c r="AZ43" t="e">
        <f>#REF!+";Hb!$GF"</f>
        <v>#REF!</v>
      </c>
      <c r="BA43" t="e">
        <f>#REF!+";Hb!$GG"</f>
        <v>#REF!</v>
      </c>
      <c r="BB43" t="e">
        <f>#REF!+";Hb!$GH"</f>
        <v>#REF!</v>
      </c>
      <c r="BC43" t="e">
        <f>#REF!+";Hb!$GI"</f>
        <v>#REF!</v>
      </c>
      <c r="BD43" t="e">
        <f>#REF!+";Hb!$GJ"</f>
        <v>#REF!</v>
      </c>
      <c r="BE43" t="e">
        <f>#REF!+";Hb!$GK"</f>
        <v>#REF!</v>
      </c>
      <c r="BF43" t="e">
        <f>#REF!+";Hb!$GL"</f>
        <v>#REF!</v>
      </c>
      <c r="BG43" t="e">
        <f>#REF!+";Hb!$GM"</f>
        <v>#REF!</v>
      </c>
      <c r="BH43" t="e">
        <f>#REF!+";Hb!$GN"</f>
        <v>#REF!</v>
      </c>
      <c r="BI43" t="e">
        <f>#REF!+";Hb!$GO"</f>
        <v>#REF!</v>
      </c>
      <c r="BJ43" t="e">
        <f>#REF!+";Hb!$GP"</f>
        <v>#REF!</v>
      </c>
      <c r="BK43" t="e">
        <f>#REF!+";Hb!$GQ"</f>
        <v>#REF!</v>
      </c>
      <c r="BL43" t="e">
        <f>#REF!+";Hb!$GR"</f>
        <v>#REF!</v>
      </c>
      <c r="BM43" t="e">
        <f>#REF!+";Hb!$GS"</f>
        <v>#REF!</v>
      </c>
      <c r="BN43" t="e">
        <f>#REF!+";Hb!$GT"</f>
        <v>#REF!</v>
      </c>
      <c r="BO43" t="e">
        <f>#REF!+";Hb!$GU"</f>
        <v>#REF!</v>
      </c>
      <c r="BP43" t="e">
        <f>#REF!+";Hb!$GV"</f>
        <v>#REF!</v>
      </c>
      <c r="BQ43" t="e">
        <f>#REF!+";Hb!$GW"</f>
        <v>#REF!</v>
      </c>
      <c r="BR43" t="e">
        <f>#REF!+";Hb!$GX"</f>
        <v>#REF!</v>
      </c>
      <c r="BS43" t="e">
        <f>#REF!+";Hb!$GY"</f>
        <v>#REF!</v>
      </c>
      <c r="BT43" t="e">
        <f>#REF!+";Hb!$GZ"</f>
        <v>#REF!</v>
      </c>
      <c r="BU43" t="e">
        <f>#REF!+";Hb!$G["</f>
        <v>#REF!</v>
      </c>
      <c r="BV43" t="e">
        <f>#REF!+";Hb!$G\"</f>
        <v>#REF!</v>
      </c>
      <c r="BW43" t="e">
        <f>#REF!+";Hb!$G]"</f>
        <v>#REF!</v>
      </c>
      <c r="BX43" t="e">
        <f>#REF!+";Hb!$G^"</f>
        <v>#REF!</v>
      </c>
      <c r="BY43" t="e">
        <f>#REF!+";Hb!$G_"</f>
        <v>#REF!</v>
      </c>
      <c r="BZ43" t="e">
        <f>#REF!+";Hb!$G`"</f>
        <v>#REF!</v>
      </c>
      <c r="CA43" t="e">
        <f>#REF!+";Hb!$Ga"</f>
        <v>#REF!</v>
      </c>
      <c r="CB43" t="e">
        <f>#REF!+";Hb!$Gb"</f>
        <v>#REF!</v>
      </c>
      <c r="CC43" t="e">
        <f>#REF!+";Hb!$Gc"</f>
        <v>#REF!</v>
      </c>
      <c r="CD43" t="e">
        <f>#REF!+";Hb!$Gd"</f>
        <v>#REF!</v>
      </c>
      <c r="CE43" t="e">
        <f>#REF!+";Hb!$Ge"</f>
        <v>#REF!</v>
      </c>
      <c r="CF43" t="e">
        <f>#REF!+";Hb!$Gf"</f>
        <v>#REF!</v>
      </c>
      <c r="CG43" t="e">
        <f>#REF!+";Hb!$Gg"</f>
        <v>#REF!</v>
      </c>
      <c r="CH43" t="e">
        <f>#REF!+";Hb!$Gh"</f>
        <v>#REF!</v>
      </c>
      <c r="CI43" t="e">
        <f>#REF!+";Hb!$Gi"</f>
        <v>#REF!</v>
      </c>
      <c r="CJ43" t="e">
        <f>#REF!+";Hb!$Gj"</f>
        <v>#REF!</v>
      </c>
      <c r="CK43" t="e">
        <f>#REF!+";Hb!$Gk"</f>
        <v>#REF!</v>
      </c>
      <c r="CL43" t="e">
        <f>#REF!+";Hb!$Gl"</f>
        <v>#REF!</v>
      </c>
      <c r="CM43" t="e">
        <f>#REF!+";Hb!$Gm"</f>
        <v>#REF!</v>
      </c>
      <c r="CN43" t="e">
        <f>#REF!+";Hb!$Gn"</f>
        <v>#REF!</v>
      </c>
      <c r="CO43" t="e">
        <f>#REF!+";Hb!$Go"</f>
        <v>#REF!</v>
      </c>
      <c r="CP43" t="e">
        <f>#REF!+";Hb!$Gp"</f>
        <v>#REF!</v>
      </c>
      <c r="CQ43" t="e">
        <f>#REF!+";Hb!$Gq"</f>
        <v>#REF!</v>
      </c>
      <c r="CR43" t="e">
        <f>#REF!+";Hb!$Gr"</f>
        <v>#REF!</v>
      </c>
      <c r="CS43" t="e">
        <f>#REF!+";Hb!$Gs"</f>
        <v>#REF!</v>
      </c>
      <c r="CT43" t="e">
        <f>#REF!+";Hb!$Gt"</f>
        <v>#REF!</v>
      </c>
      <c r="CU43" t="e">
        <f>#REF!+";Hb!$Gu"</f>
        <v>#REF!</v>
      </c>
      <c r="CV43" t="e">
        <f>#REF!+";Hb!$Gv"</f>
        <v>#REF!</v>
      </c>
      <c r="CW43" t="e">
        <f>#REF!+";Hb!$Gw"</f>
        <v>#REF!</v>
      </c>
      <c r="CX43" t="e">
        <f>#REF!+";Hb!$Gx"</f>
        <v>#REF!</v>
      </c>
      <c r="CY43" t="e">
        <f>#REF!+";Hb!$Gy"</f>
        <v>#REF!</v>
      </c>
      <c r="CZ43" t="e">
        <f>#REF!+";Hb!$Gz"</f>
        <v>#REF!</v>
      </c>
      <c r="DA43" t="e">
        <f>#REF!+";Hb!$G{"</f>
        <v>#REF!</v>
      </c>
      <c r="DB43" t="e">
        <f>#REF!+";Hb!$G|"</f>
        <v>#REF!</v>
      </c>
      <c r="DC43" t="e">
        <f>#REF!+";Hb!$G}"</f>
        <v>#REF!</v>
      </c>
      <c r="DD43" t="e">
        <f>#REF!+";Hb!$G~"</f>
        <v>#REF!</v>
      </c>
      <c r="DE43" t="e">
        <f>#REF!+";Hb!$H#"</f>
        <v>#REF!</v>
      </c>
      <c r="DF43" t="e">
        <f>#REF!+";Hb!$H$"</f>
        <v>#REF!</v>
      </c>
      <c r="DG43" t="e">
        <f>#REF!+";Hb!$H%"</f>
        <v>#REF!</v>
      </c>
      <c r="DH43" t="e">
        <f>#REF!+";Hb!$H&amp;"</f>
        <v>#REF!</v>
      </c>
      <c r="DI43" t="e">
        <f>#REF!+";Hb!$H'"</f>
        <v>#REF!</v>
      </c>
      <c r="DJ43" t="e">
        <f>#REF!+";Hb!$H("</f>
        <v>#REF!</v>
      </c>
      <c r="DK43" t="e">
        <f>#REF!+";Hb!$H)"</f>
        <v>#REF!</v>
      </c>
      <c r="DL43" t="e">
        <f>#REF!+";Hb!$H."</f>
        <v>#REF!</v>
      </c>
      <c r="DM43" t="e">
        <f>#REF!+";Hb!$H/"</f>
        <v>#REF!</v>
      </c>
      <c r="DN43" t="e">
        <f>#REF!+";Hb!$H0"</f>
        <v>#REF!</v>
      </c>
      <c r="DO43" t="e">
        <f>#REF!+";Hb!$H1"</f>
        <v>#REF!</v>
      </c>
      <c r="DP43" t="e">
        <f>#REF!+";Hb!$H2"</f>
        <v>#REF!</v>
      </c>
      <c r="DQ43" t="e">
        <f>#REF!+";Hb!$H3"</f>
        <v>#REF!</v>
      </c>
      <c r="DR43" t="e">
        <f>#REF!+";Hb!$H4"</f>
        <v>#REF!</v>
      </c>
      <c r="DS43" t="e">
        <f>#REF!+";Hb!$H5"</f>
        <v>#REF!</v>
      </c>
      <c r="DT43" t="e">
        <f>#REF!+";Hb!$H6"</f>
        <v>#REF!</v>
      </c>
      <c r="DU43" t="e">
        <f>#REF!+";Hb!$H7"</f>
        <v>#REF!</v>
      </c>
      <c r="DV43" t="e">
        <f>#REF!+";Hb!$H8"</f>
        <v>#REF!</v>
      </c>
      <c r="DW43" t="e">
        <f>#REF!+";Hb!$H9"</f>
        <v>#REF!</v>
      </c>
      <c r="DX43" t="e">
        <f>#REF!+";Hb!$H:"</f>
        <v>#REF!</v>
      </c>
      <c r="DY43" t="e">
        <f>#REF!+";Hb!$H;"</f>
        <v>#REF!</v>
      </c>
      <c r="DZ43" t="e">
        <f>#REF!+";Hb!$H&lt;"</f>
        <v>#REF!</v>
      </c>
      <c r="EA43" t="e">
        <f>#REF!+";Hb!$H="</f>
        <v>#REF!</v>
      </c>
      <c r="EB43" t="e">
        <f>#REF!+";Hb!$H&gt;"</f>
        <v>#REF!</v>
      </c>
      <c r="EC43" t="e">
        <f>#REF!+";Hb!$H?"</f>
        <v>#REF!</v>
      </c>
      <c r="ED43" t="e">
        <f>#REF!+";Hb!$H@"</f>
        <v>#REF!</v>
      </c>
      <c r="EE43" t="e">
        <f>#REF!+";Hb!$HA"</f>
        <v>#REF!</v>
      </c>
      <c r="EF43" t="e">
        <f>#REF!+";Hb!$HB"</f>
        <v>#REF!</v>
      </c>
      <c r="EG43" t="e">
        <f>#REF!+";Hb!$HC"</f>
        <v>#REF!</v>
      </c>
      <c r="EH43" t="e">
        <f>#REF!+";Hb!$HD"</f>
        <v>#REF!</v>
      </c>
      <c r="EI43" t="e">
        <f>#REF!+";Hb!$HE"</f>
        <v>#REF!</v>
      </c>
      <c r="EJ43" t="e">
        <f>#REF!+";Hb!$HF"</f>
        <v>#REF!</v>
      </c>
      <c r="EK43" t="e">
        <f>#REF!+";Hb!$HG"</f>
        <v>#REF!</v>
      </c>
      <c r="EL43" t="e">
        <f>#REF!+";Hb!$HH"</f>
        <v>#REF!</v>
      </c>
      <c r="EM43" t="e">
        <f>#REF!+";Hb!$HI"</f>
        <v>#REF!</v>
      </c>
      <c r="EN43" t="e">
        <f>#REF!+";Hb!$HJ"</f>
        <v>#REF!</v>
      </c>
      <c r="EO43" t="e">
        <f>#REF!+";Hb!$HK"</f>
        <v>#REF!</v>
      </c>
      <c r="EP43" t="e">
        <f>#REF!+";Hb!$HL"</f>
        <v>#REF!</v>
      </c>
      <c r="EQ43" t="e">
        <f>#REF!+";Hb!$HM"</f>
        <v>#REF!</v>
      </c>
      <c r="ER43" t="e">
        <f>#REF!+";Hb!$HN"</f>
        <v>#REF!</v>
      </c>
      <c r="ES43" t="e">
        <f>#REF!+";Hb!$HO"</f>
        <v>#REF!</v>
      </c>
      <c r="ET43" t="e">
        <f>#REF!+";Hb!$HP"</f>
        <v>#REF!</v>
      </c>
      <c r="EU43" t="e">
        <f>#REF!+";Hb!$HQ"</f>
        <v>#REF!</v>
      </c>
      <c r="EV43" t="e">
        <f>#REF!+";Hb!$HR"</f>
        <v>#REF!</v>
      </c>
      <c r="EW43" t="e">
        <f>#REF!+";Hb!$HS"</f>
        <v>#REF!</v>
      </c>
      <c r="EX43" t="e">
        <f>#REF!+";Hb!$HT"</f>
        <v>#REF!</v>
      </c>
      <c r="EY43" t="e">
        <f>#REF!+";Hb!$HU"</f>
        <v>#REF!</v>
      </c>
      <c r="EZ43" t="e">
        <f>#REF!+";Hb!$HV"</f>
        <v>#REF!</v>
      </c>
      <c r="FA43" t="e">
        <f>#REF!+";Hb!$HW"</f>
        <v>#REF!</v>
      </c>
      <c r="FB43" t="e">
        <f>#REF!+";Hb!$HX"</f>
        <v>#REF!</v>
      </c>
      <c r="FC43" t="e">
        <f>#REF!+";Hb!$HY"</f>
        <v>#REF!</v>
      </c>
      <c r="FD43" t="e">
        <f>#REF!+";Hb!$HZ"</f>
        <v>#REF!</v>
      </c>
      <c r="FE43" t="e">
        <f>#REF!+";Hb!$H["</f>
        <v>#REF!</v>
      </c>
      <c r="FF43" t="e">
        <f>#REF!+";Hb!$H\"</f>
        <v>#REF!</v>
      </c>
      <c r="FG43" t="e">
        <f>#REF!+";Hb!$H]"</f>
        <v>#REF!</v>
      </c>
      <c r="FH43" t="e">
        <f>#REF!+";Hb!$H^"</f>
        <v>#REF!</v>
      </c>
      <c r="FI43" t="e">
        <f>#REF!+";Hb!$H_"</f>
        <v>#REF!</v>
      </c>
      <c r="FJ43" t="e">
        <f>#REF!+";Hb!$H`"</f>
        <v>#REF!</v>
      </c>
      <c r="FK43" t="e">
        <f>#REF!+";Hb!$Ha"</f>
        <v>#REF!</v>
      </c>
      <c r="FL43" t="e">
        <f>#REF!+";Hb!$Hb"</f>
        <v>#REF!</v>
      </c>
      <c r="FM43" t="e">
        <f>#REF!+";Hb!$Hc"</f>
        <v>#REF!</v>
      </c>
      <c r="FN43" t="e">
        <f>#REF!+";Hb!$Hd"</f>
        <v>#REF!</v>
      </c>
      <c r="FO43" t="e">
        <f>#REF!+";Hb!$He"</f>
        <v>#REF!</v>
      </c>
      <c r="FP43" t="e">
        <f>#REF!+";Hb!$Hf"</f>
        <v>#REF!</v>
      </c>
      <c r="FQ43" t="e">
        <f>#REF!+";Hb!$Hg"</f>
        <v>#REF!</v>
      </c>
      <c r="FR43" t="e">
        <f>#REF!+";Hb!$Hh"</f>
        <v>#REF!</v>
      </c>
      <c r="FS43" t="e">
        <f>#REF!+";Hb!$Hi"</f>
        <v>#REF!</v>
      </c>
      <c r="FT43" t="e">
        <f>#REF!+";Hb!$Hj"</f>
        <v>#REF!</v>
      </c>
      <c r="FU43" t="e">
        <f>#REF!+";Hb!$Hk"</f>
        <v>#REF!</v>
      </c>
      <c r="FV43" t="e">
        <f>#REF!+";Hb!$Hl"</f>
        <v>#REF!</v>
      </c>
      <c r="FW43" t="e">
        <f>#REF!+";Hb!$Hm"</f>
        <v>#REF!</v>
      </c>
      <c r="FX43" t="e">
        <f>#REF!+";Hb!$Hn"</f>
        <v>#REF!</v>
      </c>
      <c r="FY43" t="e">
        <f>#REF!+";Hb!$Ho"</f>
        <v>#REF!</v>
      </c>
      <c r="FZ43" t="e">
        <f>#REF!+";Hb!$Hp"</f>
        <v>#REF!</v>
      </c>
      <c r="GA43" t="e">
        <f>#REF!+";Hb!$Hq"</f>
        <v>#REF!</v>
      </c>
      <c r="GB43" t="e">
        <f>#REF!+";Hb!$Hr"</f>
        <v>#REF!</v>
      </c>
      <c r="GC43" t="e">
        <f>#REF!+";Hb!$Hs"</f>
        <v>#REF!</v>
      </c>
      <c r="GD43" t="e">
        <f>#REF!+";Hb!$Ht"</f>
        <v>#REF!</v>
      </c>
      <c r="GE43" t="e">
        <f>#REF!+";Hb!$Hu"</f>
        <v>#REF!</v>
      </c>
      <c r="GF43" t="e">
        <f>#REF!+";Hb!$Hv"</f>
        <v>#REF!</v>
      </c>
      <c r="GG43" t="e">
        <f>#REF!+";Hb!$Hw"</f>
        <v>#REF!</v>
      </c>
      <c r="GH43" t="e">
        <f>#REF!+";Hb!$Hx"</f>
        <v>#REF!</v>
      </c>
      <c r="GI43" t="e">
        <f>#REF!+";Hb!$Hy"</f>
        <v>#REF!</v>
      </c>
      <c r="GJ43" t="e">
        <f>#REF!+";Hb!$Hz"</f>
        <v>#REF!</v>
      </c>
      <c r="GK43" t="e">
        <f>#REF!+";Hb!$H{"</f>
        <v>#REF!</v>
      </c>
      <c r="GL43" t="e">
        <f>#REF!+";Hb!$H|"</f>
        <v>#REF!</v>
      </c>
      <c r="GM43" t="e">
        <f>#REF!+";Hb!$H}"</f>
        <v>#REF!</v>
      </c>
      <c r="GN43" t="e">
        <f>#REF!+";Hb!$H~"</f>
        <v>#REF!</v>
      </c>
      <c r="GO43" t="e">
        <f>#REF!+";Hb!$I#"</f>
        <v>#REF!</v>
      </c>
      <c r="GP43" t="e">
        <f>#REF!+";Hb!$I$"</f>
        <v>#REF!</v>
      </c>
      <c r="GQ43" t="e">
        <f>#REF!+";Hb!$I%"</f>
        <v>#REF!</v>
      </c>
      <c r="GR43" t="e">
        <f>#REF!+";Hb!$I&amp;"</f>
        <v>#REF!</v>
      </c>
      <c r="GS43" t="e">
        <f>#REF!+";Hb!$I'"</f>
        <v>#REF!</v>
      </c>
      <c r="GT43" t="e">
        <f>#REF!+";Hb!$I("</f>
        <v>#REF!</v>
      </c>
      <c r="GU43" t="e">
        <f>#REF!+";Hb!$I)"</f>
        <v>#REF!</v>
      </c>
      <c r="GV43" t="e">
        <f>#REF!+";Hb!$I."</f>
        <v>#REF!</v>
      </c>
      <c r="GW43" t="e">
        <f>#REF!+";Hb!$I/"</f>
        <v>#REF!</v>
      </c>
      <c r="GX43" t="e">
        <f>#REF!+";Hb!$I0"</f>
        <v>#REF!</v>
      </c>
      <c r="GY43" t="e">
        <f>#REF!+";Hb!$I1"</f>
        <v>#REF!</v>
      </c>
      <c r="GZ43" t="e">
        <f>#REF!+";Hb!$I2"</f>
        <v>#REF!</v>
      </c>
      <c r="HA43" t="e">
        <f>#REF!+";Hb!$I3"</f>
        <v>#REF!</v>
      </c>
      <c r="HB43" t="e">
        <f>#REF!+";Hb!$I4"</f>
        <v>#REF!</v>
      </c>
      <c r="HC43" t="e">
        <f>#REF!+";Hb!$I5"</f>
        <v>#REF!</v>
      </c>
      <c r="HD43" t="e">
        <f>#REF!+";Hb!$I6"</f>
        <v>#REF!</v>
      </c>
      <c r="HE43" t="e">
        <f>#REF!+";Hb!$I7"</f>
        <v>#REF!</v>
      </c>
      <c r="HF43" t="e">
        <f>#REF!+";Hb!$I8"</f>
        <v>#REF!</v>
      </c>
      <c r="HG43" t="e">
        <f>#REF!+";Hb!$I9"</f>
        <v>#REF!</v>
      </c>
      <c r="HH43" t="e">
        <f>#REF!+";Hb!$I:"</f>
        <v>#REF!</v>
      </c>
      <c r="HI43" t="e">
        <f>#REF!+";Hb!$I;"</f>
        <v>#REF!</v>
      </c>
      <c r="HJ43" t="e">
        <f>#REF!+";Hb!$I&lt;"</f>
        <v>#REF!</v>
      </c>
      <c r="HK43" t="e">
        <f>#REF!+";Hb!$I="</f>
        <v>#REF!</v>
      </c>
      <c r="HL43" t="e">
        <f>#REF!+";Hb!$I&gt;"</f>
        <v>#REF!</v>
      </c>
      <c r="HM43" t="e">
        <f>#REF!+";Hb!$I?"</f>
        <v>#REF!</v>
      </c>
      <c r="HN43" t="e">
        <f>#REF!+";Hb!$I@"</f>
        <v>#REF!</v>
      </c>
      <c r="HO43" t="e">
        <f>#REF!+";Hb!$IA"</f>
        <v>#REF!</v>
      </c>
      <c r="HP43" t="e">
        <f>#REF!+";Hb!$IB"</f>
        <v>#REF!</v>
      </c>
      <c r="HQ43" t="e">
        <f>#REF!+";Hb!$IC"</f>
        <v>#REF!</v>
      </c>
      <c r="HR43" t="e">
        <f>#REF!+";Hb!$ID"</f>
        <v>#REF!</v>
      </c>
      <c r="HS43" t="e">
        <f>#REF!+";Hb!$IE"</f>
        <v>#REF!</v>
      </c>
      <c r="HT43" t="e">
        <f>#REF!+";Hb!$IF"</f>
        <v>#REF!</v>
      </c>
      <c r="HU43" t="e">
        <f>#REF!+";Hb!$IG"</f>
        <v>#REF!</v>
      </c>
      <c r="HV43" t="e">
        <f>#REF!+";Hb!$IH"</f>
        <v>#REF!</v>
      </c>
      <c r="HW43" t="e">
        <f>#REF!+";Hb!$II"</f>
        <v>#REF!</v>
      </c>
      <c r="HX43" t="e">
        <f>#REF!+";Hb!$IJ"</f>
        <v>#REF!</v>
      </c>
      <c r="HY43" t="e">
        <f>#REF!+";Hb!$IK"</f>
        <v>#REF!</v>
      </c>
      <c r="HZ43" t="e">
        <f>#REF!+";Hb!$IL"</f>
        <v>#REF!</v>
      </c>
      <c r="IA43" t="e">
        <f>#REF!+";Hb!$IM"</f>
        <v>#REF!</v>
      </c>
      <c r="IB43" t="e">
        <f>#REF!+";Hb!$IN"</f>
        <v>#REF!</v>
      </c>
      <c r="IC43" t="e">
        <f>#REF!+";Hb!$IO"</f>
        <v>#REF!</v>
      </c>
      <c r="ID43" t="e">
        <f>#REF!+";Hb!$IP"</f>
        <v>#REF!</v>
      </c>
      <c r="IE43" t="e">
        <f>#REF!+";Hb!$IQ"</f>
        <v>#REF!</v>
      </c>
      <c r="IF43" t="e">
        <f>#REF!+";Hb!$IR"</f>
        <v>#REF!</v>
      </c>
      <c r="IG43" t="e">
        <f>#REF!+";Hb!$IS"</f>
        <v>#REF!</v>
      </c>
      <c r="IH43" t="e">
        <f>#REF!+";Hb!$IT"</f>
        <v>#REF!</v>
      </c>
      <c r="II43" t="e">
        <f>#REF!+";Hb!$IU"</f>
        <v>#REF!</v>
      </c>
      <c r="IJ43" t="e">
        <f>#REF!+";Hb!$IV"</f>
        <v>#REF!</v>
      </c>
      <c r="IK43" t="e">
        <f>#REF!+";Hb!$IW"</f>
        <v>#REF!</v>
      </c>
      <c r="IL43" t="e">
        <f>#REF!+";Hb!$IX"</f>
        <v>#REF!</v>
      </c>
      <c r="IM43" t="e">
        <f>#REF!+";Hb!$IY"</f>
        <v>#REF!</v>
      </c>
      <c r="IN43" t="e">
        <f>#REF!+";Hb!$IZ"</f>
        <v>#REF!</v>
      </c>
      <c r="IO43" t="e">
        <f>#REF!+";Hb!$I["</f>
        <v>#REF!</v>
      </c>
      <c r="IP43" t="e">
        <f>#REF!+";Hb!$I\"</f>
        <v>#REF!</v>
      </c>
      <c r="IQ43" t="e">
        <f>#REF!+";Hb!$I]"</f>
        <v>#REF!</v>
      </c>
      <c r="IR43" t="e">
        <f>#REF!+";Hb!$I^"</f>
        <v>#REF!</v>
      </c>
      <c r="IS43" t="e">
        <f>#REF!+";Hb!$I_"</f>
        <v>#REF!</v>
      </c>
      <c r="IT43" t="e">
        <f>#REF!+";Hb!$I`"</f>
        <v>#REF!</v>
      </c>
      <c r="IU43" t="e">
        <f>#REF!+";Hb!$Ia"</f>
        <v>#REF!</v>
      </c>
      <c r="IV43" t="e">
        <f>#REF!+";Hb!$Ib"</f>
        <v>#REF!</v>
      </c>
    </row>
    <row r="44" spans="6:256" x14ac:dyDescent="0.25">
      <c r="F44" t="e">
        <f>#REF!+";Hb!$Ic"</f>
        <v>#REF!</v>
      </c>
      <c r="G44" t="e">
        <f>#REF!+";Hb!$Id"</f>
        <v>#REF!</v>
      </c>
      <c r="H44" t="e">
        <f>#REF!+";Hb!$Ie"</f>
        <v>#REF!</v>
      </c>
      <c r="I44" t="e">
        <f>#REF!+";Hb!$If"</f>
        <v>#REF!</v>
      </c>
      <c r="J44" t="e">
        <f>#REF!+";Hb!$Ig"</f>
        <v>#REF!</v>
      </c>
      <c r="K44" t="e">
        <f>#REF!+";Hb!$Ih"</f>
        <v>#REF!</v>
      </c>
      <c r="L44" t="e">
        <f>#REF!+";Hb!$Ii"</f>
        <v>#REF!</v>
      </c>
      <c r="M44" t="e">
        <f>#REF!+";Hb!$Ij"</f>
        <v>#REF!</v>
      </c>
      <c r="N44" t="e">
        <f>#REF!+";Hb!$Ik"</f>
        <v>#REF!</v>
      </c>
      <c r="O44" t="e">
        <f>#REF!+";Hb!$Il"</f>
        <v>#REF!</v>
      </c>
      <c r="P44" t="e">
        <f>#REF!+";Hb!$Im"</f>
        <v>#REF!</v>
      </c>
      <c r="Q44" t="e">
        <f>#REF!+";Hb!$In"</f>
        <v>#REF!</v>
      </c>
      <c r="R44" t="e">
        <f>#REF!+";Hb!$Io"</f>
        <v>#REF!</v>
      </c>
      <c r="S44" t="e">
        <f>#REF!+";Hb!$Ip"</f>
        <v>#REF!</v>
      </c>
      <c r="T44" t="e">
        <f>#REF!+";Hb!$Iq"</f>
        <v>#REF!</v>
      </c>
      <c r="U44" t="e">
        <f>#REF!+";Hb!$Ir"</f>
        <v>#REF!</v>
      </c>
      <c r="V44" t="e">
        <f>#REF!+";Hb!$Is"</f>
        <v>#REF!</v>
      </c>
      <c r="W44" t="e">
        <f>#REF!+";Hb!$It"</f>
        <v>#REF!</v>
      </c>
      <c r="X44" t="e">
        <f>#REF!+";Hb!$Iu"</f>
        <v>#REF!</v>
      </c>
      <c r="Y44" t="e">
        <f>#REF!+";Hb!$Iv"</f>
        <v>#REF!</v>
      </c>
      <c r="Z44" t="e">
        <f>#REF!+";Hb!$Iw"</f>
        <v>#REF!</v>
      </c>
      <c r="AA44" t="e">
        <f>#REF!+";Hb!$Ix"</f>
        <v>#REF!</v>
      </c>
      <c r="AB44" t="e">
        <f>#REF!+";Hb!$Iy"</f>
        <v>#REF!</v>
      </c>
      <c r="AC44" t="e">
        <f>#REF!+";Hb!$Iz"</f>
        <v>#REF!</v>
      </c>
      <c r="AD44" t="e">
        <f>#REF!+";Hb!$I{"</f>
        <v>#REF!</v>
      </c>
      <c r="AE44" t="e">
        <f>#REF!+";Hb!$I|"</f>
        <v>#REF!</v>
      </c>
      <c r="AF44" t="e">
        <f>#REF!+";Hb!$I}"</f>
        <v>#REF!</v>
      </c>
      <c r="AG44" t="e">
        <f>#REF!+";Hb!$I~"</f>
        <v>#REF!</v>
      </c>
      <c r="AH44" t="e">
        <f>#REF!+";Hb!$J#"</f>
        <v>#REF!</v>
      </c>
      <c r="AI44" t="e">
        <f>#REF!+";Hb!$J$"</f>
        <v>#REF!</v>
      </c>
      <c r="AJ44" t="e">
        <f>#REF!+";Hb!$J%"</f>
        <v>#REF!</v>
      </c>
      <c r="AK44" t="e">
        <f>#REF!+";Hb!$J&amp;"</f>
        <v>#REF!</v>
      </c>
      <c r="AL44" t="e">
        <f>#REF!+";Hb!$J'"</f>
        <v>#REF!</v>
      </c>
      <c r="AM44" t="e">
        <f>#REF!+";Hb!$J("</f>
        <v>#REF!</v>
      </c>
      <c r="AN44" t="e">
        <f>#REF!+";Hb!$J)"</f>
        <v>#REF!</v>
      </c>
      <c r="AO44" t="e">
        <f>#REF!+";Hb!$J."</f>
        <v>#REF!</v>
      </c>
      <c r="AP44" t="e">
        <f>#REF!+";Hb!$J/"</f>
        <v>#REF!</v>
      </c>
      <c r="AQ44" t="e">
        <f>#REF!+";Hb!$J0"</f>
        <v>#REF!</v>
      </c>
      <c r="AR44" t="e">
        <f>#REF!+";Hb!$J1"</f>
        <v>#REF!</v>
      </c>
      <c r="AS44" t="e">
        <f>#REF!+";Hb!$J2"</f>
        <v>#REF!</v>
      </c>
      <c r="AT44" t="e">
        <f>#REF!+";Hb!$J3"</f>
        <v>#REF!</v>
      </c>
      <c r="AU44" t="e">
        <f>#REF!+";Hb!$J4"</f>
        <v>#REF!</v>
      </c>
      <c r="AV44" t="e">
        <f>#REF!+";Hb!$J5"</f>
        <v>#REF!</v>
      </c>
      <c r="AW44" t="e">
        <f>#REF!+";Hb!$J6"</f>
        <v>#REF!</v>
      </c>
      <c r="AX44" t="e">
        <f>#REF!+";Hb!$J7"</f>
        <v>#REF!</v>
      </c>
      <c r="AY44" t="e">
        <f>#REF!+";Hb!$J8"</f>
        <v>#REF!</v>
      </c>
      <c r="AZ44" t="e">
        <f>#REF!+";Hb!$J9"</f>
        <v>#REF!</v>
      </c>
      <c r="BA44" t="e">
        <f>#REF!+";Hb!$J:"</f>
        <v>#REF!</v>
      </c>
      <c r="BB44" t="e">
        <f>#REF!+";Hb!$J;"</f>
        <v>#REF!</v>
      </c>
      <c r="BC44" t="e">
        <f>#REF!+";Hb!$J&lt;"</f>
        <v>#REF!</v>
      </c>
      <c r="BD44" t="e">
        <f>#REF!+";Hb!$J="</f>
        <v>#REF!</v>
      </c>
      <c r="BE44" t="e">
        <f>#REF!+";Hb!$J&gt;"</f>
        <v>#REF!</v>
      </c>
      <c r="BF44" t="e">
        <f>#REF!+";Hb!$J?"</f>
        <v>#REF!</v>
      </c>
      <c r="BG44" t="e">
        <f>#REF!+";Hb!$J@"</f>
        <v>#REF!</v>
      </c>
      <c r="BH44" t="e">
        <f>#REF!+";Hb!$JA"</f>
        <v>#REF!</v>
      </c>
      <c r="BI44" t="e">
        <f>#REF!+";Hb!$JB"</f>
        <v>#REF!</v>
      </c>
      <c r="BJ44" t="e">
        <f>#REF!+";Hb!$JC"</f>
        <v>#REF!</v>
      </c>
      <c r="BK44" t="e">
        <f>#REF!+";Hb!$JD"</f>
        <v>#REF!</v>
      </c>
      <c r="BL44" t="e">
        <f>#REF!+";Hb!$JE"</f>
        <v>#REF!</v>
      </c>
      <c r="BM44" t="e">
        <f>#REF!+";Hb!$JF"</f>
        <v>#REF!</v>
      </c>
      <c r="BN44" t="e">
        <f>#REF!+";Hb!$JG"</f>
        <v>#REF!</v>
      </c>
      <c r="BO44" t="e">
        <f>#REF!+";Hb!$JH"</f>
        <v>#REF!</v>
      </c>
      <c r="BP44" t="e">
        <f>#REF!+";Hb!$JI"</f>
        <v>#REF!</v>
      </c>
      <c r="BQ44" t="e">
        <f>#REF!+";Hb!$JJ"</f>
        <v>#REF!</v>
      </c>
      <c r="BR44" t="e">
        <f>#REF!+";Hb!$JK"</f>
        <v>#REF!</v>
      </c>
      <c r="BS44" t="e">
        <f>#REF!+";Hb!$JL"</f>
        <v>#REF!</v>
      </c>
      <c r="BT44" t="e">
        <f>#REF!+";Hb!$JM"</f>
        <v>#REF!</v>
      </c>
      <c r="BU44" t="e">
        <f>#REF!+";Hb!$JN"</f>
        <v>#REF!</v>
      </c>
      <c r="BV44" t="e">
        <f>#REF!+";Hb!$JO"</f>
        <v>#REF!</v>
      </c>
      <c r="BW44" t="e">
        <f>#REF!+";Hb!$JP"</f>
        <v>#REF!</v>
      </c>
      <c r="BX44" t="e">
        <f>#REF!+";Hb!$JQ"</f>
        <v>#REF!</v>
      </c>
      <c r="BY44" t="e">
        <f>#REF!+";Hb!$JR"</f>
        <v>#REF!</v>
      </c>
      <c r="BZ44" t="e">
        <f>#REF!+";Hb!$JS"</f>
        <v>#REF!</v>
      </c>
      <c r="CA44" t="e">
        <f>#REF!+";Hb!$JT"</f>
        <v>#REF!</v>
      </c>
      <c r="CB44" t="e">
        <f>#REF!+";Hb!$JU"</f>
        <v>#REF!</v>
      </c>
      <c r="CC44" t="e">
        <f>#REF!+";Hb!$JV"</f>
        <v>#REF!</v>
      </c>
      <c r="CD44" t="e">
        <f>#REF!+";Hb!$JW"</f>
        <v>#REF!</v>
      </c>
      <c r="CE44" t="e">
        <f>#REF!+";Hb!$JX"</f>
        <v>#REF!</v>
      </c>
      <c r="CF44" t="e">
        <f>#REF!+";Hb!$JY"</f>
        <v>#REF!</v>
      </c>
      <c r="CG44" t="e">
        <f>#REF!+";Hb!$JZ"</f>
        <v>#REF!</v>
      </c>
      <c r="CH44" t="e">
        <f>#REF!+";Hb!$J["</f>
        <v>#REF!</v>
      </c>
      <c r="CI44" t="e">
        <f>#REF!+";Hb!$J\"</f>
        <v>#REF!</v>
      </c>
      <c r="CJ44" t="e">
        <f>#REF!+";Hb!$J]"</f>
        <v>#REF!</v>
      </c>
      <c r="CK44" t="e">
        <f>#REF!+";Hb!$J^"</f>
        <v>#REF!</v>
      </c>
      <c r="CL44" t="e">
        <f>#REF!+";Hb!$J_"</f>
        <v>#REF!</v>
      </c>
      <c r="CM44" t="e">
        <f>#REF!+";Hb!$J`"</f>
        <v>#REF!</v>
      </c>
      <c r="CN44" t="e">
        <f>#REF!+";Hb!$Ja"</f>
        <v>#REF!</v>
      </c>
      <c r="CO44" t="e">
        <f>#REF!+";Hb!$Jb"</f>
        <v>#REF!</v>
      </c>
      <c r="CP44" t="e">
        <f>#REF!+";Hb!$Jc"</f>
        <v>#REF!</v>
      </c>
      <c r="CQ44" t="e">
        <f>#REF!+";Hb!$Jd"</f>
        <v>#REF!</v>
      </c>
      <c r="CR44" t="e">
        <f>#REF!+";Hb!$Je"</f>
        <v>#REF!</v>
      </c>
      <c r="CS44" t="e">
        <f>#REF!+";Hb!$Jf"</f>
        <v>#REF!</v>
      </c>
      <c r="CT44" t="e">
        <f>#REF!+";Hb!$Jg"</f>
        <v>#REF!</v>
      </c>
      <c r="CU44" t="e">
        <f>#REF!+";Hb!$Jh"</f>
        <v>#REF!</v>
      </c>
      <c r="CV44" t="e">
        <f>#REF!+";Hb!$Ji"</f>
        <v>#REF!</v>
      </c>
      <c r="CW44" t="e">
        <f>#REF!+";Hb!$Jj"</f>
        <v>#REF!</v>
      </c>
      <c r="CX44" t="e">
        <f>#REF!+";Hb!$Jk"</f>
        <v>#REF!</v>
      </c>
      <c r="CY44" t="e">
        <f>#REF!+";Hb!$Jl"</f>
        <v>#REF!</v>
      </c>
      <c r="CZ44" t="e">
        <f>#REF!+";Hb!$Jm"</f>
        <v>#REF!</v>
      </c>
      <c r="DA44" t="e">
        <f>#REF!+";Hb!$Jn"</f>
        <v>#REF!</v>
      </c>
      <c r="DB44" t="e">
        <f>#REF!+";Hb!$Jo"</f>
        <v>#REF!</v>
      </c>
      <c r="DC44" t="e">
        <f>#REF!+";Hb!$Jp"</f>
        <v>#REF!</v>
      </c>
      <c r="DD44" t="e">
        <f>#REF!+";Hb!$Jq"</f>
        <v>#REF!</v>
      </c>
      <c r="DE44" t="e">
        <f>#REF!+";Hb!$Jr"</f>
        <v>#REF!</v>
      </c>
      <c r="DF44" t="e">
        <f>#REF!+";Hb!$Js"</f>
        <v>#REF!</v>
      </c>
      <c r="DG44" t="e">
        <f>#REF!+";Hb!$Jt"</f>
        <v>#REF!</v>
      </c>
      <c r="DH44" t="e">
        <f>#REF!+";Hb!$Ju"</f>
        <v>#REF!</v>
      </c>
      <c r="DI44" t="e">
        <f>#REF!+";Hb!$Jv"</f>
        <v>#REF!</v>
      </c>
      <c r="DJ44" t="e">
        <f>#REF!+";Hb!$Jw"</f>
        <v>#REF!</v>
      </c>
      <c r="DK44" t="e">
        <f>#REF!+";Hb!$Jx"</f>
        <v>#REF!</v>
      </c>
      <c r="DL44" t="e">
        <f>#REF!+";Hb!$Jy"</f>
        <v>#REF!</v>
      </c>
      <c r="DM44" t="e">
        <f>#REF!+";Hb!$Jz"</f>
        <v>#REF!</v>
      </c>
      <c r="DN44" t="e">
        <f>#REF!+";Hb!$J{"</f>
        <v>#REF!</v>
      </c>
      <c r="DO44" t="e">
        <f>#REF!+";Hb!$J|"</f>
        <v>#REF!</v>
      </c>
      <c r="DP44" t="e">
        <f>#REF!+";Hb!$J}"</f>
        <v>#REF!</v>
      </c>
      <c r="DQ44" t="e">
        <f>#REF!+";Hb!$J~"</f>
        <v>#REF!</v>
      </c>
      <c r="DR44" t="e">
        <f>#REF!+";Hb!$K#"</f>
        <v>#REF!</v>
      </c>
      <c r="DS44" t="e">
        <f>#REF!+";Hb!$K$"</f>
        <v>#REF!</v>
      </c>
      <c r="DT44" t="e">
        <f>#REF!+";Hb!$K%"</f>
        <v>#REF!</v>
      </c>
      <c r="DU44" t="e">
        <f>#REF!+";Hb!$K&amp;"</f>
        <v>#REF!</v>
      </c>
      <c r="DV44" t="e">
        <f>#REF!+";Hb!$K'"</f>
        <v>#REF!</v>
      </c>
      <c r="DW44" t="e">
        <f>#REF!+";Hb!$K("</f>
        <v>#REF!</v>
      </c>
      <c r="DX44" t="e">
        <f>#REF!+";Hb!$K)"</f>
        <v>#REF!</v>
      </c>
      <c r="DY44" t="e">
        <f>#REF!+";Hb!$K."</f>
        <v>#REF!</v>
      </c>
      <c r="DZ44" t="e">
        <f>#REF!+";Hb!$K/"</f>
        <v>#REF!</v>
      </c>
      <c r="EA44" t="e">
        <f>#REF!+";Hb!$K0"</f>
        <v>#REF!</v>
      </c>
      <c r="EB44" t="e">
        <f>#REF!+";Hb!$K1"</f>
        <v>#REF!</v>
      </c>
      <c r="EC44" t="e">
        <f>#REF!+";Hb!$K2"</f>
        <v>#REF!</v>
      </c>
      <c r="ED44" t="e">
        <f>#REF!+";Hb!$K3"</f>
        <v>#REF!</v>
      </c>
      <c r="EE44" t="e">
        <f>#REF!+";Hb!$K4"</f>
        <v>#REF!</v>
      </c>
      <c r="EF44" t="e">
        <f>#REF!+";Hb!$K5"</f>
        <v>#REF!</v>
      </c>
      <c r="EG44" t="e">
        <f>#REF!+";Hb!$K6"</f>
        <v>#REF!</v>
      </c>
      <c r="EH44" t="e">
        <f>#REF!+";Hb!$K7"</f>
        <v>#REF!</v>
      </c>
      <c r="EI44" t="e">
        <f>#REF!+";Hb!$K8"</f>
        <v>#REF!</v>
      </c>
      <c r="EJ44" t="e">
        <f>#REF!+";Hb!$K9"</f>
        <v>#REF!</v>
      </c>
      <c r="EK44" t="e">
        <f>#REF!+";Hb!$K:"</f>
        <v>#REF!</v>
      </c>
      <c r="EL44" t="e">
        <f>#REF!+";Hb!$K;"</f>
        <v>#REF!</v>
      </c>
      <c r="EM44" t="e">
        <f>#REF!+";Hb!$K&lt;"</f>
        <v>#REF!</v>
      </c>
      <c r="EN44" t="e">
        <f>#REF!+";Hb!$K="</f>
        <v>#REF!</v>
      </c>
      <c r="EO44" t="e">
        <f>#REF!+";Hb!$K&gt;"</f>
        <v>#REF!</v>
      </c>
      <c r="EP44" t="e">
        <f>#REF!+";Hb!$K?"</f>
        <v>#REF!</v>
      </c>
      <c r="EQ44" t="e">
        <f>#REF!+";Hb!$K@"</f>
        <v>#REF!</v>
      </c>
      <c r="ER44" t="e">
        <f>#REF!+";Hb!$KA"</f>
        <v>#REF!</v>
      </c>
      <c r="ES44" t="e">
        <f>#REF!+";Hb!$KB"</f>
        <v>#REF!</v>
      </c>
      <c r="ET44" t="e">
        <f>#REF!+";Hb!$KC"</f>
        <v>#REF!</v>
      </c>
      <c r="EU44" t="e">
        <f>#REF!+";Hb!$KD"</f>
        <v>#REF!</v>
      </c>
      <c r="EV44" t="e">
        <f>#REF!+";Hb!$KE"</f>
        <v>#REF!</v>
      </c>
      <c r="EW44" t="e">
        <f>#REF!+";Hb!$KF"</f>
        <v>#REF!</v>
      </c>
      <c r="EX44" t="e">
        <f>#REF!+";Hb!$KG"</f>
        <v>#REF!</v>
      </c>
      <c r="EY44" t="e">
        <f>#REF!+";Hb!$KH"</f>
        <v>#REF!</v>
      </c>
      <c r="EZ44" t="e">
        <f>#REF!+";Hb!$KI"</f>
        <v>#REF!</v>
      </c>
      <c r="FA44" t="e">
        <f>#REF!+";Hb!$KJ"</f>
        <v>#REF!</v>
      </c>
      <c r="FB44" t="e">
        <f>#REF!+";Hb!$KK"</f>
        <v>#REF!</v>
      </c>
      <c r="FC44" t="e">
        <f>#REF!+";Hb!$KL"</f>
        <v>#REF!</v>
      </c>
      <c r="FD44" t="e">
        <f>#REF!+";Hb!$KM"</f>
        <v>#REF!</v>
      </c>
      <c r="FE44" t="e">
        <f>#REF!+";Hb!$KN"</f>
        <v>#REF!</v>
      </c>
      <c r="FF44" t="e">
        <f>#REF!+";Hb!$KO"</f>
        <v>#REF!</v>
      </c>
      <c r="FG44" t="e">
        <f>#REF!+";Hb!$KP"</f>
        <v>#REF!</v>
      </c>
      <c r="FH44" t="e">
        <f>#REF!+";Hb!$KQ"</f>
        <v>#REF!</v>
      </c>
      <c r="FI44" t="e">
        <f>#REF!+";Hb!$KR"</f>
        <v>#REF!</v>
      </c>
      <c r="FJ44" t="e">
        <f>#REF!+";Hb!$KS"</f>
        <v>#REF!</v>
      </c>
      <c r="FK44" t="e">
        <f>#REF!+";Hb!$KT"</f>
        <v>#REF!</v>
      </c>
      <c r="FL44" t="e">
        <f>#REF!+";Hb!$KU"</f>
        <v>#REF!</v>
      </c>
      <c r="FM44" t="e">
        <f>#REF!+";Hb!$KV"</f>
        <v>#REF!</v>
      </c>
      <c r="FN44" t="e">
        <f>#REF!+";Hb!$KW"</f>
        <v>#REF!</v>
      </c>
      <c r="FO44" t="e">
        <f>#REF!+";Hb!$KX"</f>
        <v>#REF!</v>
      </c>
      <c r="FP44" t="e">
        <f>#REF!+";Hb!$KY"</f>
        <v>#REF!</v>
      </c>
      <c r="FQ44" t="e">
        <f>#REF!+";Hb!$KZ"</f>
        <v>#REF!</v>
      </c>
      <c r="FR44" t="e">
        <f>#REF!+";Hb!$K["</f>
        <v>#REF!</v>
      </c>
      <c r="FS44" t="e">
        <f>#REF!+";Hb!$K\"</f>
        <v>#REF!</v>
      </c>
      <c r="FT44" t="e">
        <f>#REF!+";Hb!$K]"</f>
        <v>#REF!</v>
      </c>
      <c r="FU44" t="e">
        <f>#REF!+";Hb!$K^"</f>
        <v>#REF!</v>
      </c>
      <c r="FV44" t="e">
        <f>#REF!+";Hb!$K_"</f>
        <v>#REF!</v>
      </c>
      <c r="FW44" t="e">
        <f>#REF!+";Hb!$K`"</f>
        <v>#REF!</v>
      </c>
      <c r="FX44" t="e">
        <f>#REF!+";Hb!$Ka"</f>
        <v>#REF!</v>
      </c>
      <c r="FY44" t="e">
        <f>#REF!+";Hb!$Kb"</f>
        <v>#REF!</v>
      </c>
      <c r="FZ44" t="e">
        <f>#REF!+";Hb!$Kc"</f>
        <v>#REF!</v>
      </c>
      <c r="GA44" t="e">
        <f>#REF!+";Hb!$Kd"</f>
        <v>#REF!</v>
      </c>
      <c r="GB44" t="e">
        <f>#REF!+";Hb!$Ke"</f>
        <v>#REF!</v>
      </c>
      <c r="GC44" t="e">
        <f>#REF!+";Hb!$Kf"</f>
        <v>#REF!</v>
      </c>
      <c r="GD44" t="e">
        <f>#REF!+";Hb!$Kg"</f>
        <v>#REF!</v>
      </c>
      <c r="GE44" t="e">
        <f>#REF!+";Hb!$Kh"</f>
        <v>#REF!</v>
      </c>
      <c r="GF44" t="e">
        <f>#REF!+";Hb!$Ki"</f>
        <v>#REF!</v>
      </c>
      <c r="GG44" t="e">
        <f>#REF!+";Hb!$Kj"</f>
        <v>#REF!</v>
      </c>
      <c r="GH44" t="e">
        <f>#REF!+";Hb!$Kk"</f>
        <v>#REF!</v>
      </c>
      <c r="GI44" t="e">
        <f>#REF!+";Hb!$Kl"</f>
        <v>#REF!</v>
      </c>
      <c r="GJ44" t="e">
        <f>#REF!+";Hb!$Km"</f>
        <v>#REF!</v>
      </c>
      <c r="GK44" t="e">
        <f>#REF!+";Hb!$Kn"</f>
        <v>#REF!</v>
      </c>
      <c r="GL44" t="e">
        <f>#REF!+";Hb!$Ko"</f>
        <v>#REF!</v>
      </c>
      <c r="GM44" t="e">
        <f>#REF!+";Hb!$Kp"</f>
        <v>#REF!</v>
      </c>
      <c r="GN44" t="e">
        <f>#REF!+";Hb!$Kq"</f>
        <v>#REF!</v>
      </c>
      <c r="GO44" t="e">
        <f>#REF!+";Hb!$Kr"</f>
        <v>#REF!</v>
      </c>
      <c r="GP44" t="e">
        <f>#REF!+";Hb!$Ks"</f>
        <v>#REF!</v>
      </c>
      <c r="GQ44" t="e">
        <f>#REF!+";Hb!$Kt"</f>
        <v>#REF!</v>
      </c>
      <c r="GR44" t="e">
        <f>#REF!+";Hb!$Ku"</f>
        <v>#REF!</v>
      </c>
      <c r="GS44" t="e">
        <f>#REF!+";Hb!$Kv"</f>
        <v>#REF!</v>
      </c>
      <c r="GT44" t="e">
        <f>#REF!+";Hb!$Kw"</f>
        <v>#REF!</v>
      </c>
      <c r="GU44" t="e">
        <f>#REF!+";Hb!$Kx"</f>
        <v>#REF!</v>
      </c>
      <c r="GV44" t="e">
        <f>#REF!+";Hb!$Ky"</f>
        <v>#REF!</v>
      </c>
      <c r="GW44" t="e">
        <f>#REF!+";Hb!$Kz"</f>
        <v>#REF!</v>
      </c>
      <c r="GX44" t="e">
        <f>#REF!+";Hb!$K{"</f>
        <v>#REF!</v>
      </c>
      <c r="GY44" t="e">
        <f>#REF!+";Hb!$K|"</f>
        <v>#REF!</v>
      </c>
      <c r="GZ44" t="e">
        <f>#REF!+";Hb!$K}"</f>
        <v>#REF!</v>
      </c>
      <c r="HA44" t="e">
        <f>#REF!+";Hb!$K~"</f>
        <v>#REF!</v>
      </c>
      <c r="HB44" t="e">
        <f>#REF!+";Hb!$L#"</f>
        <v>#REF!</v>
      </c>
      <c r="HC44" t="e">
        <f>#REF!+";Hb!$L$"</f>
        <v>#REF!</v>
      </c>
      <c r="HD44" t="e">
        <f>#REF!+";Hb!$L%"</f>
        <v>#REF!</v>
      </c>
      <c r="HE44" t="e">
        <f>#REF!+";Hb!$L&amp;"</f>
        <v>#REF!</v>
      </c>
      <c r="HF44" t="e">
        <f>#REF!+";Hb!$L'"</f>
        <v>#REF!</v>
      </c>
      <c r="HG44" t="e">
        <f>#REF!+";Hb!$L("</f>
        <v>#REF!</v>
      </c>
      <c r="HH44" t="e">
        <f>#REF!+";Hb!$L)"</f>
        <v>#REF!</v>
      </c>
      <c r="HI44" t="e">
        <f>#REF!+";Hb!$L."</f>
        <v>#REF!</v>
      </c>
      <c r="HJ44" t="e">
        <f>#REF!+";Hb!$L/"</f>
        <v>#REF!</v>
      </c>
      <c r="HK44" t="e">
        <f>#REF!+";Hb!$L0"</f>
        <v>#REF!</v>
      </c>
      <c r="HL44" t="e">
        <f>#REF!+";Hb!$L1"</f>
        <v>#REF!</v>
      </c>
      <c r="HM44" t="e">
        <f>#REF!+";Hb!$L2"</f>
        <v>#REF!</v>
      </c>
      <c r="HN44" t="e">
        <f>#REF!+";Hb!$L3"</f>
        <v>#REF!</v>
      </c>
      <c r="HO44" t="e">
        <f>#REF!+";Hb!$L4"</f>
        <v>#REF!</v>
      </c>
      <c r="HP44" t="e">
        <f>#REF!+";Hb!$L5"</f>
        <v>#REF!</v>
      </c>
      <c r="HQ44" t="e">
        <f>#REF!+";Hb!$L6"</f>
        <v>#REF!</v>
      </c>
      <c r="HR44" t="e">
        <f>#REF!+";Hb!$L7"</f>
        <v>#REF!</v>
      </c>
      <c r="HS44" t="e">
        <f>#REF!+";Hb!$L8"</f>
        <v>#REF!</v>
      </c>
      <c r="HT44" t="e">
        <f>#REF!+";Hb!$L9"</f>
        <v>#REF!</v>
      </c>
      <c r="HU44" t="e">
        <f>#REF!+";Hb!$L:"</f>
        <v>#REF!</v>
      </c>
      <c r="HV44" t="e">
        <f>#REF!+";Hb!$L;"</f>
        <v>#REF!</v>
      </c>
      <c r="HW44" t="e">
        <f>#REF!+";Hb!$L&lt;"</f>
        <v>#REF!</v>
      </c>
      <c r="HX44" t="e">
        <f>#REF!+";Hb!$L="</f>
        <v>#REF!</v>
      </c>
      <c r="HY44" t="e">
        <f>#REF!+";Hb!$L&gt;"</f>
        <v>#REF!</v>
      </c>
      <c r="HZ44" t="e">
        <f>#REF!+";Hb!$L?"</f>
        <v>#REF!</v>
      </c>
      <c r="IA44" t="e">
        <f>#REF!+";Hb!$L@"</f>
        <v>#REF!</v>
      </c>
      <c r="IB44" t="e">
        <f>#REF!+";Hb!$LA"</f>
        <v>#REF!</v>
      </c>
      <c r="IC44" t="e">
        <f>#REF!+";Hb!$LB"</f>
        <v>#REF!</v>
      </c>
      <c r="ID44" t="e">
        <f>#REF!+";Hb!$LC"</f>
        <v>#REF!</v>
      </c>
      <c r="IE44" t="e">
        <f>#REF!+";Hb!$LD"</f>
        <v>#REF!</v>
      </c>
      <c r="IF44" t="e">
        <f>#REF!+";Hb!$LE"</f>
        <v>#REF!</v>
      </c>
      <c r="IG44" t="e">
        <f>#REF!+";Hb!$LF"</f>
        <v>#REF!</v>
      </c>
      <c r="IH44" t="e">
        <f>#REF!+";Hb!$LG"</f>
        <v>#REF!</v>
      </c>
      <c r="II44" t="e">
        <f>#REF!+";Hb!$LH"</f>
        <v>#REF!</v>
      </c>
      <c r="IJ44" t="e">
        <f>#REF!+";Hb!$LI"</f>
        <v>#REF!</v>
      </c>
      <c r="IK44" t="e">
        <f>#REF!+";Hb!$LJ"</f>
        <v>#REF!</v>
      </c>
      <c r="IL44" t="e">
        <f>#REF!+";Hb!$LK"</f>
        <v>#REF!</v>
      </c>
      <c r="IM44" t="e">
        <f>#REF!+";Hb!$LL"</f>
        <v>#REF!</v>
      </c>
      <c r="IN44" t="e">
        <f>#REF!+";Hb!$LM"</f>
        <v>#REF!</v>
      </c>
      <c r="IO44" t="e">
        <f>#REF!+";Hb!$LN"</f>
        <v>#REF!</v>
      </c>
      <c r="IP44" t="e">
        <f>#REF!+";Hb!$LO"</f>
        <v>#REF!</v>
      </c>
      <c r="IQ44" t="e">
        <f>#REF!+";Hb!$LP"</f>
        <v>#REF!</v>
      </c>
      <c r="IR44" t="e">
        <f>#REF!+";Hb!$LQ"</f>
        <v>#REF!</v>
      </c>
      <c r="IS44" t="e">
        <f>#REF!+";Hb!$LR"</f>
        <v>#REF!</v>
      </c>
      <c r="IT44" t="e">
        <f>#REF!+";Hb!$LS"</f>
        <v>#REF!</v>
      </c>
      <c r="IU44" t="e">
        <f>#REF!+";Hb!$LT"</f>
        <v>#REF!</v>
      </c>
      <c r="IV44" t="e">
        <f>#REF!+";Hb!$LU"</f>
        <v>#REF!</v>
      </c>
    </row>
    <row r="45" spans="6:256" x14ac:dyDescent="0.25">
      <c r="F45" t="e">
        <f>#REF!+";Hb!$LV"</f>
        <v>#REF!</v>
      </c>
      <c r="G45" t="e">
        <f>#REF!+";Hb!$LW"</f>
        <v>#REF!</v>
      </c>
      <c r="H45" t="e">
        <f>#REF!+";Hb!$LX"</f>
        <v>#REF!</v>
      </c>
      <c r="I45" t="e">
        <f>#REF!+";Hb!$LY"</f>
        <v>#REF!</v>
      </c>
      <c r="J45" t="e">
        <f>#REF!+";Hb!$LZ"</f>
        <v>#REF!</v>
      </c>
      <c r="K45" t="e">
        <f>#REF!+";Hb!$L["</f>
        <v>#REF!</v>
      </c>
      <c r="L45" t="e">
        <f>#REF!+";Hb!$L\"</f>
        <v>#REF!</v>
      </c>
      <c r="M45" t="e">
        <f>#REF!+";Hb!$L]"</f>
        <v>#REF!</v>
      </c>
      <c r="N45" t="e">
        <f>#REF!+";Hb!$L^"</f>
        <v>#REF!</v>
      </c>
      <c r="O45" t="e">
        <f>#REF!+";Hb!$L_"</f>
        <v>#REF!</v>
      </c>
      <c r="P45" t="e">
        <f>#REF!+";Hb!$L`"</f>
        <v>#REF!</v>
      </c>
      <c r="Q45" t="e">
        <f>#REF!+";Hb!$La"</f>
        <v>#REF!</v>
      </c>
      <c r="R45" t="e">
        <f>#REF!+";Hb!$Lb"</f>
        <v>#REF!</v>
      </c>
      <c r="S45" t="e">
        <f>#REF!+";Hb!$Lc"</f>
        <v>#REF!</v>
      </c>
      <c r="T45" t="e">
        <f>#REF!+";Hb!$Ld"</f>
        <v>#REF!</v>
      </c>
      <c r="U45" t="e">
        <f>#REF!+";Hb!$Le"</f>
        <v>#REF!</v>
      </c>
      <c r="V45" t="e">
        <f>#REF!+";Hb!$Lf"</f>
        <v>#REF!</v>
      </c>
      <c r="W45" t="e">
        <f>#REF!+";Hb!$Lg"</f>
        <v>#REF!</v>
      </c>
      <c r="X45" t="e">
        <f>#REF!+";Hb!$Lh"</f>
        <v>#REF!</v>
      </c>
      <c r="Y45" t="e">
        <f>#REF!+";Hb!$Li"</f>
        <v>#REF!</v>
      </c>
      <c r="Z45" t="e">
        <f>#REF!+";Hb!$Lj"</f>
        <v>#REF!</v>
      </c>
      <c r="AA45" t="e">
        <f>#REF!+";Hb!$Lk"</f>
        <v>#REF!</v>
      </c>
      <c r="AB45" t="e">
        <f>#REF!+";Hb!$Ll"</f>
        <v>#REF!</v>
      </c>
      <c r="AC45" t="e">
        <f>#REF!+";Hb!$Lm"</f>
        <v>#REF!</v>
      </c>
      <c r="AD45" t="e">
        <f>#REF!+";Hb!$Ln"</f>
        <v>#REF!</v>
      </c>
      <c r="AE45" t="e">
        <f>#REF!+";Hb!$Lo"</f>
        <v>#REF!</v>
      </c>
      <c r="AF45" t="e">
        <f>#REF!+";Hb!$Lp"</f>
        <v>#REF!</v>
      </c>
      <c r="AG45" t="e">
        <f>#REF!+";Hb!$Lq"</f>
        <v>#REF!</v>
      </c>
      <c r="AH45" t="e">
        <f>#REF!+";Hb!$Lr"</f>
        <v>#REF!</v>
      </c>
      <c r="AI45" t="e">
        <f>#REF!+";Hb!$Ls"</f>
        <v>#REF!</v>
      </c>
      <c r="AJ45" t="e">
        <f>#REF!+";Hb!$Lt"</f>
        <v>#REF!</v>
      </c>
      <c r="AK45" t="e">
        <f>#REF!+";Hb!$Lu"</f>
        <v>#REF!</v>
      </c>
      <c r="AL45" t="e">
        <f>#REF!+";Hb!$Lv"</f>
        <v>#REF!</v>
      </c>
      <c r="AM45" t="e">
        <f>#REF!+";Hb!$Lw"</f>
        <v>#REF!</v>
      </c>
      <c r="AN45" t="e">
        <f>#REF!+";Hb!$Lx"</f>
        <v>#REF!</v>
      </c>
      <c r="AO45" t="e">
        <f>#REF!+";Hb!$Ly"</f>
        <v>#REF!</v>
      </c>
      <c r="AP45" t="e">
        <f>#REF!+";Hb!$Lz"</f>
        <v>#REF!</v>
      </c>
      <c r="AQ45" t="e">
        <f>#REF!+";Hb!$L{"</f>
        <v>#REF!</v>
      </c>
      <c r="AR45" t="e">
        <f>#REF!+";Hb!$L|"</f>
        <v>#REF!</v>
      </c>
      <c r="AS45" t="e">
        <f>#REF!+";Hb!$L}"</f>
        <v>#REF!</v>
      </c>
      <c r="AT45" t="e">
        <f>#REF!+";Hb!$L~"</f>
        <v>#REF!</v>
      </c>
      <c r="AU45" t="e">
        <f>#REF!+";Hb!$M#"</f>
        <v>#REF!</v>
      </c>
      <c r="AV45" t="e">
        <f>#REF!+";Hb!$M$"</f>
        <v>#REF!</v>
      </c>
      <c r="AW45" t="e">
        <f>#REF!+";Hb!$M%"</f>
        <v>#REF!</v>
      </c>
      <c r="AX45" t="e">
        <f>#REF!+";Hb!$M&amp;"</f>
        <v>#REF!</v>
      </c>
      <c r="AY45" t="e">
        <f>#REF!+";Hb!$M'"</f>
        <v>#REF!</v>
      </c>
      <c r="AZ45" t="e">
        <f>#REF!+";Hb!$M("</f>
        <v>#REF!</v>
      </c>
      <c r="BA45" t="e">
        <f>#REF!+";Hb!$M)"</f>
        <v>#REF!</v>
      </c>
      <c r="BB45" t="e">
        <f>#REF!+";Hb!$M."</f>
        <v>#REF!</v>
      </c>
      <c r="BC45" t="e">
        <f>#REF!+";Hb!$M/"</f>
        <v>#REF!</v>
      </c>
      <c r="BD45" t="e">
        <f>#REF!+";Hb!$M0"</f>
        <v>#REF!</v>
      </c>
      <c r="BE45" t="e">
        <f>#REF!+";Hb!$M1"</f>
        <v>#REF!</v>
      </c>
      <c r="BF45" t="e">
        <f>#REF!+";Hb!$M2"</f>
        <v>#REF!</v>
      </c>
      <c r="BG45" t="e">
        <f>#REF!+";Hb!$M3"</f>
        <v>#REF!</v>
      </c>
      <c r="BH45" t="e">
        <f>#REF!+";Hb!$M4"</f>
        <v>#REF!</v>
      </c>
      <c r="BI45" t="e">
        <f>#REF!+";Hb!$M5"</f>
        <v>#REF!</v>
      </c>
      <c r="BJ45" t="e">
        <f>#REF!+";Hb!$M6"</f>
        <v>#REF!</v>
      </c>
      <c r="BK45" t="e">
        <f>#REF!+";Hb!$M7"</f>
        <v>#REF!</v>
      </c>
      <c r="BL45" t="e">
        <f>#REF!+";Hb!$M8"</f>
        <v>#REF!</v>
      </c>
      <c r="BM45" t="e">
        <f>#REF!+";Hb!$M9"</f>
        <v>#REF!</v>
      </c>
      <c r="BN45" t="e">
        <f>#REF!+";Hb!$M:"</f>
        <v>#REF!</v>
      </c>
      <c r="BO45" t="e">
        <f>#REF!+";Hb!$M;"</f>
        <v>#REF!</v>
      </c>
      <c r="BP45" t="e">
        <f>#REF!+";Hb!$M&lt;"</f>
        <v>#REF!</v>
      </c>
      <c r="BQ45" t="e">
        <f>#REF!+";Hb!$M="</f>
        <v>#REF!</v>
      </c>
      <c r="BR45" t="e">
        <f>#REF!+";Hb!$M&gt;"</f>
        <v>#REF!</v>
      </c>
      <c r="BS45" t="e">
        <f>#REF!+";Hb!$M?"</f>
        <v>#REF!</v>
      </c>
      <c r="BT45" t="e">
        <f>#REF!+";Hb!$M@"</f>
        <v>#REF!</v>
      </c>
      <c r="BU45" t="e">
        <f>#REF!+";Hb!$MA"</f>
        <v>#REF!</v>
      </c>
      <c r="BV45" t="e">
        <f>#REF!+";Hb!$MB"</f>
        <v>#REF!</v>
      </c>
      <c r="BW45" t="e">
        <f>#REF!+";Hb!$MC"</f>
        <v>#REF!</v>
      </c>
      <c r="BX45" t="e">
        <f>#REF!+";Hb!$MD"</f>
        <v>#REF!</v>
      </c>
      <c r="BY45" t="e">
        <f>#REF!+";Hb!$ME"</f>
        <v>#REF!</v>
      </c>
      <c r="BZ45" t="e">
        <f>#REF!+";Hb!$MF"</f>
        <v>#REF!</v>
      </c>
      <c r="CA45" t="e">
        <f>#REF!+";Hb!$MG"</f>
        <v>#REF!</v>
      </c>
      <c r="CB45" t="e">
        <f>#REF!+";Hb!$MH"</f>
        <v>#REF!</v>
      </c>
      <c r="CC45" t="e">
        <f>#REF!+";Hb!$MI"</f>
        <v>#REF!</v>
      </c>
      <c r="CD45" t="e">
        <f>#REF!+";Hb!$MJ"</f>
        <v>#REF!</v>
      </c>
      <c r="CE45" t="e">
        <f>#REF!+";Hb!$MK"</f>
        <v>#REF!</v>
      </c>
      <c r="CF45" t="e">
        <f>#REF!+";Hb!$ML"</f>
        <v>#REF!</v>
      </c>
      <c r="CG45" t="e">
        <f>#REF!+";Hb!$MM"</f>
        <v>#REF!</v>
      </c>
      <c r="CH45" t="e">
        <f>#REF!+";Hb!$MN"</f>
        <v>#REF!</v>
      </c>
      <c r="CI45" t="e">
        <f>#REF!+";Hb!$MO"</f>
        <v>#REF!</v>
      </c>
      <c r="CJ45" t="e">
        <f>#REF!+";Hb!$MP"</f>
        <v>#REF!</v>
      </c>
      <c r="CK45" t="e">
        <f>#REF!+";Hb!$MQ"</f>
        <v>#REF!</v>
      </c>
      <c r="CL45" t="e">
        <f>#REF!+";Hb!$MR"</f>
        <v>#REF!</v>
      </c>
      <c r="CM45" t="e">
        <f>#REF!+";Hb!$MS"</f>
        <v>#REF!</v>
      </c>
      <c r="CN45" t="e">
        <f>#REF!+";Hb!$MT"</f>
        <v>#REF!</v>
      </c>
      <c r="CO45" t="e">
        <f>#REF!+";Hb!$MU"</f>
        <v>#REF!</v>
      </c>
      <c r="CP45" t="e">
        <f>#REF!+";Hb!$MV"</f>
        <v>#REF!</v>
      </c>
      <c r="CQ45" t="e">
        <f>#REF!+";Hb!$MW"</f>
        <v>#REF!</v>
      </c>
      <c r="CR45" t="e">
        <f>#REF!+";Hb!$MX"</f>
        <v>#REF!</v>
      </c>
      <c r="CS45" t="e">
        <f>#REF!+";Hb!$MY"</f>
        <v>#REF!</v>
      </c>
      <c r="CT45" t="e">
        <f>#REF!+";Hb!$MZ"</f>
        <v>#REF!</v>
      </c>
      <c r="CU45" t="e">
        <f>#REF!+";Hb!$M["</f>
        <v>#REF!</v>
      </c>
      <c r="CV45" t="e">
        <f>#REF!+";Hb!$M\"</f>
        <v>#REF!</v>
      </c>
      <c r="CW45" t="e">
        <f>#REF!+";Hb!$M]"</f>
        <v>#REF!</v>
      </c>
      <c r="CX45" t="e">
        <f>#REF!+";Hb!$M^"</f>
        <v>#REF!</v>
      </c>
      <c r="CY45" t="e">
        <f>#REF!+";Hb!$M_"</f>
        <v>#REF!</v>
      </c>
      <c r="CZ45" t="e">
        <f>#REF!+";Hb!$M`"</f>
        <v>#REF!</v>
      </c>
      <c r="DA45" t="e">
        <f>#REF!+";Hb!$Ma"</f>
        <v>#REF!</v>
      </c>
      <c r="DB45" t="e">
        <f>#REF!+";Hb!$Mb"</f>
        <v>#REF!</v>
      </c>
      <c r="DC45" t="e">
        <f>#REF!+";Hb!$Mc"</f>
        <v>#REF!</v>
      </c>
      <c r="DD45" t="e">
        <f>#REF!+";Hb!$Md"</f>
        <v>#REF!</v>
      </c>
      <c r="DE45" t="e">
        <f>#REF!+";Hb!$Me"</f>
        <v>#REF!</v>
      </c>
      <c r="DF45" t="e">
        <f>#REF!+";Hb!$Mf"</f>
        <v>#REF!</v>
      </c>
      <c r="DG45" t="e">
        <f>#REF!+";Hb!$Mg"</f>
        <v>#REF!</v>
      </c>
      <c r="DH45" t="e">
        <f>#REF!+";Hb!$Mh"</f>
        <v>#REF!</v>
      </c>
      <c r="DI45" t="e">
        <f>#REF!+";Hb!$Mi"</f>
        <v>#REF!</v>
      </c>
      <c r="DJ45" t="e">
        <f>#REF!+";Hb!$Mj"</f>
        <v>#REF!</v>
      </c>
      <c r="DK45" t="e">
        <f>#REF!+";Hb!$Mk"</f>
        <v>#REF!</v>
      </c>
      <c r="DL45" t="e">
        <f>#REF!+";Hb!$Ml"</f>
        <v>#REF!</v>
      </c>
      <c r="DM45" t="e">
        <f>#REF!+";Hb!$Mm"</f>
        <v>#REF!</v>
      </c>
      <c r="DN45" t="e">
        <f>#REF!+";Hb!$Mn"</f>
        <v>#REF!</v>
      </c>
      <c r="DO45" t="e">
        <f>#REF!+";Hb!$Mo"</f>
        <v>#REF!</v>
      </c>
      <c r="DP45" t="e">
        <f>#REF!+";Hb!$Mp"</f>
        <v>#REF!</v>
      </c>
      <c r="DQ45" t="e">
        <f>#REF!+";Hb!$Mq"</f>
        <v>#REF!</v>
      </c>
      <c r="DR45" t="e">
        <f>#REF!+";Hb!$Mr"</f>
        <v>#REF!</v>
      </c>
      <c r="DS45" t="e">
        <f>#REF!+";Hb!$Ms"</f>
        <v>#REF!</v>
      </c>
      <c r="DT45" t="e">
        <f>#REF!+";Hb!$Mt"</f>
        <v>#REF!</v>
      </c>
      <c r="DU45" t="e">
        <f>#REF!+";Hb!$Mu"</f>
        <v>#REF!</v>
      </c>
      <c r="DV45" t="e">
        <f>#REF!+";Hb!$Mv"</f>
        <v>#REF!</v>
      </c>
      <c r="DW45" t="e">
        <f>#REF!+";Hb!$Mw"</f>
        <v>#REF!</v>
      </c>
      <c r="DX45" t="e">
        <f>#REF!+";Hb!$Mx"</f>
        <v>#REF!</v>
      </c>
      <c r="DY45" t="e">
        <f>#REF!+";Hb!$My"</f>
        <v>#REF!</v>
      </c>
      <c r="DZ45" t="e">
        <f>#REF!+";Hb!$Mz"</f>
        <v>#REF!</v>
      </c>
      <c r="EA45" t="e">
        <f>#REF!+";Hb!$M{"</f>
        <v>#REF!</v>
      </c>
      <c r="EB45" t="e">
        <f>#REF!+";Hb!$M|"</f>
        <v>#REF!</v>
      </c>
      <c r="EC45" t="e">
        <f>#REF!+";Hb!$M}"</f>
        <v>#REF!</v>
      </c>
      <c r="ED45" t="e">
        <f>#REF!+";Hb!$M~"</f>
        <v>#REF!</v>
      </c>
      <c r="EE45" t="e">
        <f>#REF!+";Hb!$N#"</f>
        <v>#REF!</v>
      </c>
      <c r="EF45" t="e">
        <f>#REF!+";Hb!$N$"</f>
        <v>#REF!</v>
      </c>
      <c r="EG45" t="e">
        <f>#REF!+";Hb!$N%"</f>
        <v>#REF!</v>
      </c>
      <c r="EH45" t="e">
        <f>#REF!+";Hb!$N&amp;"</f>
        <v>#REF!</v>
      </c>
      <c r="EI45" t="e">
        <f>#REF!+";Hb!$N'"</f>
        <v>#REF!</v>
      </c>
      <c r="EJ45" t="e">
        <f>#REF!+";Hb!$N("</f>
        <v>#REF!</v>
      </c>
      <c r="EK45" t="e">
        <f>#REF!+";Hb!$N)"</f>
        <v>#REF!</v>
      </c>
      <c r="EL45" t="e">
        <f>#REF!+";Hb!$N."</f>
        <v>#REF!</v>
      </c>
      <c r="EM45" t="e">
        <f>#REF!+";Hb!$N/"</f>
        <v>#REF!</v>
      </c>
      <c r="EN45" t="e">
        <f>#REF!+";Hb!$N0"</f>
        <v>#REF!</v>
      </c>
      <c r="EO45" t="e">
        <f>#REF!+";Hb!$N1"</f>
        <v>#REF!</v>
      </c>
      <c r="EP45" t="e">
        <f>#REF!+";Hb!$N2"</f>
        <v>#REF!</v>
      </c>
      <c r="EQ45" t="e">
        <f>#REF!+";Hb!$N3"</f>
        <v>#REF!</v>
      </c>
      <c r="ER45" t="e">
        <f>#REF!+";Hb!$N4"</f>
        <v>#REF!</v>
      </c>
      <c r="ES45" t="e">
        <f>#REF!+";Hb!$N5"</f>
        <v>#REF!</v>
      </c>
      <c r="ET45" t="e">
        <f>#REF!+";Hb!$N6"</f>
        <v>#REF!</v>
      </c>
      <c r="EU45" t="e">
        <f>#REF!+";Hb!$N7"</f>
        <v>#REF!</v>
      </c>
      <c r="EV45" t="e">
        <f>#REF!+";Hb!$N8"</f>
        <v>#REF!</v>
      </c>
      <c r="EW45" t="e">
        <f>#REF!+";Hb!$N9"</f>
        <v>#REF!</v>
      </c>
      <c r="EX45" t="e">
        <f>#REF!+";Hb!$N:"</f>
        <v>#REF!</v>
      </c>
      <c r="EY45" t="e">
        <f>#REF!+";Hb!$N;"</f>
        <v>#REF!</v>
      </c>
      <c r="EZ45" t="e">
        <f>#REF!+";Hb!$N&lt;"</f>
        <v>#REF!</v>
      </c>
      <c r="FA45" t="e">
        <f>#REF!+";Hb!$N="</f>
        <v>#REF!</v>
      </c>
      <c r="FB45" t="e">
        <f>#REF!+";Hb!$N&gt;"</f>
        <v>#REF!</v>
      </c>
      <c r="FC45" t="e">
        <f>#REF!+";Hb!$N?"</f>
        <v>#REF!</v>
      </c>
      <c r="FD45" t="e">
        <f>#REF!+";Hb!$N@"</f>
        <v>#REF!</v>
      </c>
      <c r="FE45" t="e">
        <f>#REF!+";Hb!$NA"</f>
        <v>#REF!</v>
      </c>
      <c r="FF45" t="e">
        <f>#REF!+";Hb!$NB"</f>
        <v>#REF!</v>
      </c>
      <c r="FG45" t="e">
        <f>#REF!+";Hb!$NC"</f>
        <v>#REF!</v>
      </c>
      <c r="FH45" t="e">
        <f>#REF!+";Hb!$ND"</f>
        <v>#REF!</v>
      </c>
      <c r="FI45" t="e">
        <f>#REF!+";Hb!$NE"</f>
        <v>#REF!</v>
      </c>
      <c r="FJ45" t="e">
        <f>#REF!+";Hb!$NF"</f>
        <v>#REF!</v>
      </c>
      <c r="FK45" t="e">
        <f>#REF!+";Hb!$NG"</f>
        <v>#REF!</v>
      </c>
      <c r="FL45" t="e">
        <f>#REF!+";Hb!$NH"</f>
        <v>#REF!</v>
      </c>
      <c r="FM45" t="e">
        <f>#REF!+";Hb!$NI"</f>
        <v>#REF!</v>
      </c>
      <c r="FN45" t="e">
        <f>#REF!+";Hb!$NJ"</f>
        <v>#REF!</v>
      </c>
      <c r="FO45" t="e">
        <f>#REF!+";Hb!$NK"</f>
        <v>#REF!</v>
      </c>
      <c r="FP45" t="e">
        <f>#REF!+";Hb!$NL"</f>
        <v>#REF!</v>
      </c>
      <c r="FQ45" t="e">
        <f>#REF!+";Hb!$NM"</f>
        <v>#REF!</v>
      </c>
      <c r="FR45" t="e">
        <f>#REF!+";Hb!$NN"</f>
        <v>#REF!</v>
      </c>
      <c r="FS45" t="e">
        <f>#REF!+";Hb!$NO"</f>
        <v>#REF!</v>
      </c>
      <c r="FT45" t="e">
        <f>#REF!+";Hb!$NP"</f>
        <v>#REF!</v>
      </c>
      <c r="FU45" t="e">
        <f>#REF!+";Hb!$NQ"</f>
        <v>#REF!</v>
      </c>
      <c r="FV45" t="e">
        <f>#REF!+";Hb!$NR"</f>
        <v>#REF!</v>
      </c>
      <c r="FW45" t="e">
        <f>#REF!+";Hb!$NS"</f>
        <v>#REF!</v>
      </c>
      <c r="FX45" t="e">
        <f>#REF!+";Hb!$NT"</f>
        <v>#REF!</v>
      </c>
      <c r="FY45" t="e">
        <f>#REF!+";Hb!$NU"</f>
        <v>#REF!</v>
      </c>
      <c r="FZ45" t="e">
        <f>#REF!+";Hb!$NV"</f>
        <v>#REF!</v>
      </c>
      <c r="GA45" t="e">
        <f>#REF!+";Hb!$NW"</f>
        <v>#REF!</v>
      </c>
      <c r="GB45" t="e">
        <f>#REF!+";Hb!$NX"</f>
        <v>#REF!</v>
      </c>
      <c r="GC45" t="e">
        <f>#REF!+";Hb!$NY"</f>
        <v>#REF!</v>
      </c>
      <c r="GD45" t="e">
        <f>#REF!+";Hb!$NZ"</f>
        <v>#REF!</v>
      </c>
      <c r="GE45" t="e">
        <f>#REF!+";Hb!$N["</f>
        <v>#REF!</v>
      </c>
      <c r="GF45" t="e">
        <f>#REF!+";Hb!$N\"</f>
        <v>#REF!</v>
      </c>
      <c r="GG45" t="e">
        <f>#REF!+";Hb!$N]"</f>
        <v>#REF!</v>
      </c>
      <c r="GH45" t="e">
        <f>#REF!+";Hb!$N^"</f>
        <v>#REF!</v>
      </c>
      <c r="GI45" t="e">
        <f>#REF!+";Hb!$N_"</f>
        <v>#REF!</v>
      </c>
      <c r="GJ45" t="e">
        <f>#REF!+";Hb!$N`"</f>
        <v>#REF!</v>
      </c>
      <c r="GK45" t="e">
        <f>#REF!+";Hb!$Na"</f>
        <v>#REF!</v>
      </c>
      <c r="GL45" t="e">
        <f>#REF!+";Hb!$Nb"</f>
        <v>#REF!</v>
      </c>
      <c r="GM45" t="e">
        <f>#REF!+";Hb!$Nc"</f>
        <v>#REF!</v>
      </c>
      <c r="GN45" t="e">
        <f>#REF!+";Hb!$Nd"</f>
        <v>#REF!</v>
      </c>
      <c r="GO45" t="e">
        <f>#REF!+";Hb!$Ne"</f>
        <v>#REF!</v>
      </c>
      <c r="GP45" t="e">
        <f>#REF!+";Hb!$Nf"</f>
        <v>#REF!</v>
      </c>
      <c r="GQ45" t="e">
        <f>#REF!+";Hb!$Ng"</f>
        <v>#REF!</v>
      </c>
      <c r="GR45" t="e">
        <f>#REF!+";Hb!$Nh"</f>
        <v>#REF!</v>
      </c>
      <c r="GS45" t="e">
        <f>#REF!+";Hb!$Ni"</f>
        <v>#REF!</v>
      </c>
      <c r="GT45" t="e">
        <f>#REF!+";Hb!$Nj"</f>
        <v>#REF!</v>
      </c>
      <c r="GU45" t="e">
        <f>#REF!+";Hb!$Nk"</f>
        <v>#REF!</v>
      </c>
      <c r="GV45" t="e">
        <f>#REF!+";Hb!$Nl"</f>
        <v>#REF!</v>
      </c>
      <c r="GW45" t="e">
        <f>#REF!+";Hb!$Nm"</f>
        <v>#REF!</v>
      </c>
      <c r="GX45" t="e">
        <f>#REF!+";Hb!$Nn"</f>
        <v>#REF!</v>
      </c>
      <c r="GY45" t="e">
        <f>#REF!+";Hb!$No"</f>
        <v>#REF!</v>
      </c>
      <c r="GZ45" t="e">
        <f>#REF!+";Hb!$Np"</f>
        <v>#REF!</v>
      </c>
      <c r="HA45" t="e">
        <f>#REF!+";Hb!$Nq"</f>
        <v>#REF!</v>
      </c>
      <c r="HB45" t="e">
        <f>#REF!+";Hb!$Nr"</f>
        <v>#REF!</v>
      </c>
      <c r="HC45" t="e">
        <f>#REF!+";Hb!$Ns"</f>
        <v>#REF!</v>
      </c>
      <c r="HD45" t="e">
        <f>#REF!+";Hb!$Nt"</f>
        <v>#REF!</v>
      </c>
      <c r="HE45" t="e">
        <f>#REF!+";Hb!$Nu"</f>
        <v>#REF!</v>
      </c>
      <c r="HF45" t="e">
        <f>#REF!+";Hb!$Nv"</f>
        <v>#REF!</v>
      </c>
      <c r="HG45" t="e">
        <f>#REF!+";Hb!$Nw"</f>
        <v>#REF!</v>
      </c>
      <c r="HH45" t="e">
        <f>#REF!+";Hb!$Nx"</f>
        <v>#REF!</v>
      </c>
      <c r="HI45" t="e">
        <f>#REF!+";Hb!$Ny"</f>
        <v>#REF!</v>
      </c>
      <c r="HJ45" t="e">
        <f>#REF!+";Hb!$Nz"</f>
        <v>#REF!</v>
      </c>
      <c r="HK45" t="e">
        <f>#REF!+";Hb!$N{"</f>
        <v>#REF!</v>
      </c>
      <c r="HL45" t="e">
        <f>#REF!+";Hb!$N|"</f>
        <v>#REF!</v>
      </c>
      <c r="HM45" t="e">
        <f>#REF!+";Hb!$N}"</f>
        <v>#REF!</v>
      </c>
      <c r="HN45" t="e">
        <f>#REF!+";Hb!$N~"</f>
        <v>#REF!</v>
      </c>
      <c r="HO45" t="e">
        <f>#REF!+";Hb!$O#"</f>
        <v>#REF!</v>
      </c>
      <c r="HP45" t="e">
        <f>#REF!+";Hb!$O$"</f>
        <v>#REF!</v>
      </c>
      <c r="HQ45" t="e">
        <f>#REF!+";Hb!$O%"</f>
        <v>#REF!</v>
      </c>
      <c r="HR45" t="e">
        <f>#REF!+";Hb!$O&amp;"</f>
        <v>#REF!</v>
      </c>
      <c r="HS45" t="e">
        <f>#REF!+";Hb!$O'"</f>
        <v>#REF!</v>
      </c>
      <c r="HT45" t="e">
        <f>#REF!+";Hb!$O("</f>
        <v>#REF!</v>
      </c>
      <c r="HU45" t="e">
        <f>#REF!+";Hb!$O)"</f>
        <v>#REF!</v>
      </c>
      <c r="HV45" t="e">
        <f>#REF!+";Hb!$O."</f>
        <v>#REF!</v>
      </c>
      <c r="HW45" t="e">
        <f>#REF!+";Hb!$O/"</f>
        <v>#REF!</v>
      </c>
      <c r="HX45" t="e">
        <f>#REF!+";Hb!$O0"</f>
        <v>#REF!</v>
      </c>
      <c r="HY45" t="e">
        <f>#REF!+";Hb!$O1"</f>
        <v>#REF!</v>
      </c>
      <c r="HZ45" t="e">
        <f>#REF!+";Hb!$O2"</f>
        <v>#REF!</v>
      </c>
      <c r="IA45" t="e">
        <f>#REF!+";Hb!$O3"</f>
        <v>#REF!</v>
      </c>
      <c r="IB45" t="e">
        <f>#REF!+";Hb!$O4"</f>
        <v>#REF!</v>
      </c>
      <c r="IC45" t="e">
        <f>#REF!+";Hb!$O5"</f>
        <v>#REF!</v>
      </c>
      <c r="ID45" t="e">
        <f>#REF!+";Hb!$O6"</f>
        <v>#REF!</v>
      </c>
      <c r="IE45" t="e">
        <f>#REF!+";Hb!$O7"</f>
        <v>#REF!</v>
      </c>
      <c r="IF45" t="e">
        <f>#REF!+";Hb!$O8"</f>
        <v>#REF!</v>
      </c>
      <c r="IG45" t="e">
        <f>#REF!+";Hb!$O9"</f>
        <v>#REF!</v>
      </c>
      <c r="IH45" t="e">
        <f>#REF!+";Hb!$O:"</f>
        <v>#REF!</v>
      </c>
      <c r="II45" t="e">
        <f>#REF!+";Hb!$O;"</f>
        <v>#REF!</v>
      </c>
      <c r="IJ45" t="e">
        <f>#REF!+";Hb!$O&lt;"</f>
        <v>#REF!</v>
      </c>
      <c r="IK45" t="e">
        <f>#REF!+";Hb!$O="</f>
        <v>#REF!</v>
      </c>
      <c r="IL45" t="e">
        <f>#REF!+";Hb!$O&gt;"</f>
        <v>#REF!</v>
      </c>
      <c r="IM45" t="e">
        <f>#REF!+";Hb!$O?"</f>
        <v>#REF!</v>
      </c>
      <c r="IN45" t="e">
        <f>#REF!+";Hb!$O@"</f>
        <v>#REF!</v>
      </c>
      <c r="IO45" t="e">
        <f>#REF!+";Hb!$OA"</f>
        <v>#REF!</v>
      </c>
      <c r="IP45" t="e">
        <f>#REF!+";Hb!$OB"</f>
        <v>#REF!</v>
      </c>
      <c r="IQ45" t="e">
        <f>#REF!+";Hb!$OC"</f>
        <v>#REF!</v>
      </c>
      <c r="IR45" t="e">
        <f>#REF!+";Hb!$OD"</f>
        <v>#REF!</v>
      </c>
      <c r="IS45" t="e">
        <f>#REF!+";Hb!$OE"</f>
        <v>#REF!</v>
      </c>
      <c r="IT45" t="e">
        <f>#REF!+";Hb!$OF"</f>
        <v>#REF!</v>
      </c>
      <c r="IU45" t="e">
        <f>#REF!+";Hb!$OG"</f>
        <v>#REF!</v>
      </c>
      <c r="IV45" t="e">
        <f>#REF!+";Hb!$OH"</f>
        <v>#REF!</v>
      </c>
    </row>
    <row r="46" spans="6:256" x14ac:dyDescent="0.25">
      <c r="F46" t="e">
        <f>#REF!+";Hb!$OI"</f>
        <v>#REF!</v>
      </c>
      <c r="G46" t="e">
        <f>#REF!+";Hb!$OJ"</f>
        <v>#REF!</v>
      </c>
      <c r="H46" t="e">
        <f>#REF!+";Hb!$OK"</f>
        <v>#REF!</v>
      </c>
      <c r="I46" t="e">
        <f>#REF!+";Hb!$OL"</f>
        <v>#REF!</v>
      </c>
      <c r="J46" t="e">
        <f>#REF!+";Hb!$OM"</f>
        <v>#REF!</v>
      </c>
      <c r="K46" t="e">
        <f>#REF!+";Hb!$ON"</f>
        <v>#REF!</v>
      </c>
      <c r="L46" t="e">
        <f>#REF!+";Hb!$OO"</f>
        <v>#REF!</v>
      </c>
      <c r="M46" t="e">
        <f>#REF!+";Hb!$OP"</f>
        <v>#REF!</v>
      </c>
      <c r="N46" t="e">
        <f>#REF!+";Hb!$OQ"</f>
        <v>#REF!</v>
      </c>
      <c r="O46" t="e">
        <f>#REF!+";Hb!$OR"</f>
        <v>#REF!</v>
      </c>
      <c r="P46" t="e">
        <f>#REF!+";Hb!$OS"</f>
        <v>#REF!</v>
      </c>
      <c r="Q46" t="e">
        <f>#REF!+";Hb!$OT"</f>
        <v>#REF!</v>
      </c>
      <c r="R46" t="e">
        <f>#REF!+";Hb!$OU"</f>
        <v>#REF!</v>
      </c>
      <c r="S46" t="e">
        <f>#REF!+";Hb!$OV"</f>
        <v>#REF!</v>
      </c>
      <c r="T46" t="e">
        <f>#REF!+";Hb!$OW"</f>
        <v>#REF!</v>
      </c>
      <c r="U46" t="e">
        <f>#REF!+";Hb!$OX"</f>
        <v>#REF!</v>
      </c>
      <c r="V46" t="e">
        <f>#REF!+";Hb!$OY"</f>
        <v>#REF!</v>
      </c>
      <c r="W46" t="e">
        <f>#REF!+";Hb!$OZ"</f>
        <v>#REF!</v>
      </c>
      <c r="X46" t="e">
        <f>#REF!+";Hb!$O["</f>
        <v>#REF!</v>
      </c>
      <c r="Y46" t="e">
        <f>#REF!+";Hb!$O\"</f>
        <v>#REF!</v>
      </c>
      <c r="Z46" t="e">
        <f>#REF!+";Hb!$O]"</f>
        <v>#REF!</v>
      </c>
      <c r="AA46" t="e">
        <f>#REF!+";Hb!$O^"</f>
        <v>#REF!</v>
      </c>
      <c r="AB46" t="e">
        <f>#REF!+";Hb!$O_"</f>
        <v>#REF!</v>
      </c>
      <c r="AC46" t="e">
        <f>#REF!+";Hb!$O`"</f>
        <v>#REF!</v>
      </c>
      <c r="AD46" t="e">
        <f>#REF!+";Hb!$Oa"</f>
        <v>#REF!</v>
      </c>
      <c r="AE46" t="e">
        <f>#REF!+";Hb!$Ob"</f>
        <v>#REF!</v>
      </c>
      <c r="AF46" t="e">
        <f>#REF!+";Hb!$Oc"</f>
        <v>#REF!</v>
      </c>
      <c r="AG46" t="e">
        <f>#REF!+";Hb!$Od"</f>
        <v>#REF!</v>
      </c>
      <c r="AH46" t="e">
        <f>#REF!+";Hb!$Oe"</f>
        <v>#REF!</v>
      </c>
      <c r="AI46" t="e">
        <f>#REF!+";Hb!$Of"</f>
        <v>#REF!</v>
      </c>
      <c r="AJ46" t="e">
        <f>#REF!+";Hb!$Og"</f>
        <v>#REF!</v>
      </c>
      <c r="AK46" t="e">
        <f>#REF!+";Hb!$Oh"</f>
        <v>#REF!</v>
      </c>
      <c r="AL46" t="e">
        <f>#REF!+";Hb!$Oi"</f>
        <v>#REF!</v>
      </c>
      <c r="AM46" t="e">
        <f>#REF!+";Hb!$Oj"</f>
        <v>#REF!</v>
      </c>
      <c r="AN46" t="e">
        <f>#REF!+";Hb!$Ok"</f>
        <v>#REF!</v>
      </c>
      <c r="AO46" t="e">
        <f>#REF!+";Hb!$Ol"</f>
        <v>#REF!</v>
      </c>
      <c r="AP46" t="e">
        <f>#REF!+";Hb!$Om"</f>
        <v>#REF!</v>
      </c>
      <c r="AQ46" t="e">
        <f>#REF!+";Hb!$On"</f>
        <v>#REF!</v>
      </c>
      <c r="AR46" t="e">
        <f>#REF!+";Hb!$Oo"</f>
        <v>#REF!</v>
      </c>
      <c r="AS46" t="e">
        <f>#REF!+";Hb!$Op"</f>
        <v>#REF!</v>
      </c>
      <c r="AT46" t="e">
        <f>#REF!+";Hb!$Oq"</f>
        <v>#REF!</v>
      </c>
      <c r="AU46" t="e">
        <f>#REF!+";Hb!$Or"</f>
        <v>#REF!</v>
      </c>
      <c r="AV46" t="e">
        <f>#REF!+";Hb!$Os"</f>
        <v>#REF!</v>
      </c>
      <c r="AW46" t="e">
        <f>#REF!+";Hb!$Ot"</f>
        <v>#REF!</v>
      </c>
      <c r="AX46" t="e">
        <f>#REF!+";Hb!$Ou"</f>
        <v>#REF!</v>
      </c>
      <c r="AY46" t="e">
        <f>#REF!+";Hb!$Ov"</f>
        <v>#REF!</v>
      </c>
      <c r="AZ46" t="e">
        <f>#REF!+";Hb!$Ow"</f>
        <v>#REF!</v>
      </c>
      <c r="BA46" t="e">
        <f>#REF!+";Hb!$Ox"</f>
        <v>#REF!</v>
      </c>
      <c r="BB46" t="e">
        <f>#REF!+";Hb!$Oy"</f>
        <v>#REF!</v>
      </c>
      <c r="BC46" t="e">
        <f>#REF!+";Hb!$Oz"</f>
        <v>#REF!</v>
      </c>
      <c r="BD46" t="e">
        <f>#REF!+";Hb!$O{"</f>
        <v>#REF!</v>
      </c>
      <c r="BE46" t="e">
        <f>#REF!+";Hb!$O|"</f>
        <v>#REF!</v>
      </c>
      <c r="BF46" t="e">
        <f>#REF!+";Hb!$O}"</f>
        <v>#REF!</v>
      </c>
      <c r="BG46" t="e">
        <f>#REF!+";Hb!$O~"</f>
        <v>#REF!</v>
      </c>
      <c r="BH46" t="e">
        <f>#REF!+";Hb!$P#"</f>
        <v>#REF!</v>
      </c>
      <c r="BI46" t="e">
        <f>#REF!+";Hb!$P$"</f>
        <v>#REF!</v>
      </c>
      <c r="BJ46" t="e">
        <f>#REF!+";Hb!$P%"</f>
        <v>#REF!</v>
      </c>
      <c r="BK46" t="e">
        <f>#REF!+";Hb!$P&amp;"</f>
        <v>#REF!</v>
      </c>
      <c r="BL46" t="e">
        <f>#REF!+";Hb!$P'"</f>
        <v>#REF!</v>
      </c>
      <c r="BM46" t="e">
        <f>#REF!+";Hb!$P("</f>
        <v>#REF!</v>
      </c>
      <c r="BN46" t="e">
        <f>#REF!+";Hb!$P)"</f>
        <v>#REF!</v>
      </c>
      <c r="BO46" t="e">
        <f>#REF!+";Hb!$P."</f>
        <v>#REF!</v>
      </c>
      <c r="BP46" t="e">
        <f>#REF!+";Hb!$P/"</f>
        <v>#REF!</v>
      </c>
      <c r="BQ46" t="e">
        <f>#REF!+";Hb!$P0"</f>
        <v>#REF!</v>
      </c>
      <c r="BR46" t="e">
        <f>#REF!+";Hb!$P1"</f>
        <v>#REF!</v>
      </c>
      <c r="BS46" t="e">
        <f>#REF!+";Hb!$P2"</f>
        <v>#REF!</v>
      </c>
      <c r="BT46" t="e">
        <f>#REF!+";Hb!$P3"</f>
        <v>#REF!</v>
      </c>
      <c r="BU46" t="e">
        <f>#REF!+";Hb!$P4"</f>
        <v>#REF!</v>
      </c>
      <c r="BV46" t="e">
        <f>#REF!+";Hb!$P5"</f>
        <v>#REF!</v>
      </c>
      <c r="BW46" t="e">
        <f>#REF!+";Hb!$P6"</f>
        <v>#REF!</v>
      </c>
      <c r="BX46" t="e">
        <f>#REF!+";Hb!$P7"</f>
        <v>#REF!</v>
      </c>
      <c r="BY46" t="e">
        <f>#REF!+";Hb!$P8"</f>
        <v>#REF!</v>
      </c>
      <c r="BZ46" t="e">
        <f>#REF!+";Hb!$P9"</f>
        <v>#REF!</v>
      </c>
      <c r="CA46" t="e">
        <f>#REF!+";Hb!$P:"</f>
        <v>#REF!</v>
      </c>
      <c r="CB46" t="e">
        <f>#REF!+";Hb!$P;"</f>
        <v>#REF!</v>
      </c>
      <c r="CC46" t="e">
        <f>#REF!+";Hb!$P&lt;"</f>
        <v>#REF!</v>
      </c>
      <c r="CD46" t="e">
        <f>#REF!+";Hb!$P="</f>
        <v>#REF!</v>
      </c>
      <c r="CE46" t="e">
        <f>#REF!+";Hb!$P&gt;"</f>
        <v>#REF!</v>
      </c>
      <c r="CF46" t="e">
        <f>#REF!+";Hb!$P?"</f>
        <v>#REF!</v>
      </c>
      <c r="CG46" t="e">
        <f>#REF!+";Hb!$P@"</f>
        <v>#REF!</v>
      </c>
      <c r="CH46" t="e">
        <f>#REF!+";Hb!$PA"</f>
        <v>#REF!</v>
      </c>
      <c r="CI46" t="e">
        <f>#REF!+";Hb!$PB"</f>
        <v>#REF!</v>
      </c>
      <c r="CJ46" t="e">
        <f>#REF!+";Hb!$PC"</f>
        <v>#REF!</v>
      </c>
      <c r="CK46" t="e">
        <f>#REF!+";Hb!$PD"</f>
        <v>#REF!</v>
      </c>
      <c r="CL46" t="e">
        <f>#REF!+";Hb!$PE"</f>
        <v>#REF!</v>
      </c>
      <c r="CM46" t="e">
        <f>#REF!+";Hb!$PF"</f>
        <v>#REF!</v>
      </c>
      <c r="CN46" t="e">
        <f>#REF!+";Hb!$PG"</f>
        <v>#REF!</v>
      </c>
      <c r="CO46" t="e">
        <f>#REF!+";Hb!$PH"</f>
        <v>#REF!</v>
      </c>
      <c r="CP46" t="e">
        <f>#REF!+";Hb!$PI"</f>
        <v>#REF!</v>
      </c>
      <c r="CQ46" t="e">
        <f>#REF!+";Hb!$PJ"</f>
        <v>#REF!</v>
      </c>
      <c r="CR46" t="e">
        <f>#REF!+";Hb!$PK"</f>
        <v>#REF!</v>
      </c>
      <c r="CS46" t="e">
        <f>#REF!+";Hb!$PL"</f>
        <v>#REF!</v>
      </c>
      <c r="CT46" t="e">
        <f>#REF!+";Hb!$PM"</f>
        <v>#REF!</v>
      </c>
      <c r="CU46" t="e">
        <f>#REF!+";Hb!$PN"</f>
        <v>#REF!</v>
      </c>
      <c r="CV46" t="e">
        <f>#REF!+";Hb!$PO"</f>
        <v>#REF!</v>
      </c>
      <c r="CW46" t="e">
        <f>#REF!+";Hb!$PP"</f>
        <v>#REF!</v>
      </c>
      <c r="CX46" t="e">
        <f>#REF!+";Hb!$PQ"</f>
        <v>#REF!</v>
      </c>
      <c r="CY46" t="e">
        <f>#REF!+";Hb!$PR"</f>
        <v>#REF!</v>
      </c>
      <c r="CZ46" t="e">
        <f>#REF!+";Hb!$PS"</f>
        <v>#REF!</v>
      </c>
      <c r="DA46" t="e">
        <f>#REF!+";Hb!$PT"</f>
        <v>#REF!</v>
      </c>
      <c r="DB46" t="e">
        <f>#REF!+";Hb!$PU"</f>
        <v>#REF!</v>
      </c>
      <c r="DC46" t="e">
        <f>#REF!+";Hb!$PV"</f>
        <v>#REF!</v>
      </c>
      <c r="DD46" t="e">
        <f>#REF!+";Hb!$PW"</f>
        <v>#REF!</v>
      </c>
      <c r="DE46" t="e">
        <f>#REF!+";Hb!$PX"</f>
        <v>#REF!</v>
      </c>
      <c r="DF46" t="e">
        <f>#REF!+";Hb!$PY"</f>
        <v>#REF!</v>
      </c>
      <c r="DG46" t="e">
        <f>#REF!+";Hb!$PZ"</f>
        <v>#REF!</v>
      </c>
      <c r="DH46" t="e">
        <f>#REF!+";Hb!$P["</f>
        <v>#REF!</v>
      </c>
      <c r="DI46" t="e">
        <f>#REF!+";Hb!$P\"</f>
        <v>#REF!</v>
      </c>
      <c r="DJ46" t="e">
        <f>#REF!+";Hb!$P]"</f>
        <v>#REF!</v>
      </c>
      <c r="DK46" t="e">
        <f>#REF!+";Hb!$P^"</f>
        <v>#REF!</v>
      </c>
      <c r="DL46" t="e">
        <f>#REF!+";Hb!$P_"</f>
        <v>#REF!</v>
      </c>
      <c r="DM46" t="e">
        <f>#REF!+";Hb!$P`"</f>
        <v>#REF!</v>
      </c>
      <c r="DN46" t="e">
        <f>#REF!+";Hb!$Pa"</f>
        <v>#REF!</v>
      </c>
      <c r="DO46" t="e">
        <f>#REF!+";Hb!$Pb"</f>
        <v>#REF!</v>
      </c>
      <c r="DP46" t="e">
        <f>#REF!+";Hb!$Pc"</f>
        <v>#REF!</v>
      </c>
      <c r="DQ46" t="e">
        <f>#REF!+";Hb!$Pd"</f>
        <v>#REF!</v>
      </c>
      <c r="DR46" t="e">
        <f>#REF!+";Hb!$Pe"</f>
        <v>#REF!</v>
      </c>
      <c r="DS46" t="e">
        <f>#REF!+";Hb!$Pf"</f>
        <v>#REF!</v>
      </c>
      <c r="DT46" t="e">
        <f>#REF!+";Hb!$Pg"</f>
        <v>#REF!</v>
      </c>
      <c r="DU46" t="e">
        <f>#REF!+";Hb!$Ph"</f>
        <v>#REF!</v>
      </c>
      <c r="DV46" t="e">
        <f>#REF!+";Hb!$Pi"</f>
        <v>#REF!</v>
      </c>
      <c r="DW46" t="e">
        <f>#REF!+";Hb!$Pj"</f>
        <v>#REF!</v>
      </c>
      <c r="DX46" t="e">
        <f>#REF!+";Hb!$Pk"</f>
        <v>#REF!</v>
      </c>
      <c r="DY46" t="e">
        <f>#REF!+";Hb!$Pl"</f>
        <v>#REF!</v>
      </c>
      <c r="DZ46" t="e">
        <f>#REF!+";Hb!$Pm"</f>
        <v>#REF!</v>
      </c>
      <c r="EA46" t="e">
        <f>#REF!+";Hb!$Pn"</f>
        <v>#REF!</v>
      </c>
      <c r="EB46" t="e">
        <f>#REF!+";Hb!$Po"</f>
        <v>#REF!</v>
      </c>
      <c r="EC46" t="e">
        <f>#REF!+";Hb!$Pp"</f>
        <v>#REF!</v>
      </c>
      <c r="ED46" t="e">
        <f>#REF!+";Hb!$Pq"</f>
        <v>#REF!</v>
      </c>
      <c r="EE46" t="e">
        <f>#REF!+";Hb!$Pr"</f>
        <v>#REF!</v>
      </c>
      <c r="EF46" t="e">
        <f>#REF!+";Hb!$Ps"</f>
        <v>#REF!</v>
      </c>
      <c r="EG46" t="e">
        <f>#REF!+";Hb!$Pt"</f>
        <v>#REF!</v>
      </c>
      <c r="EH46" t="e">
        <f>#REF!+";Hb!$Pu"</f>
        <v>#REF!</v>
      </c>
      <c r="EI46" t="e">
        <f>#REF!+";Hb!$Pv"</f>
        <v>#REF!</v>
      </c>
      <c r="EJ46" t="e">
        <f>#REF!+";Hb!$Pw"</f>
        <v>#REF!</v>
      </c>
      <c r="EK46" t="e">
        <f>#REF!+";Hb!$Px"</f>
        <v>#REF!</v>
      </c>
      <c r="EL46" t="e">
        <f>#REF!+";Hb!$Py"</f>
        <v>#REF!</v>
      </c>
      <c r="EM46" t="e">
        <f>#REF!+";Hb!$Pz"</f>
        <v>#REF!</v>
      </c>
      <c r="EN46" t="e">
        <f>#REF!+";Hb!$P{"</f>
        <v>#REF!</v>
      </c>
      <c r="EO46" t="e">
        <f>#REF!+";Hb!$P|"</f>
        <v>#REF!</v>
      </c>
      <c r="EP46" t="e">
        <f>#REF!+";Hb!$P}"</f>
        <v>#REF!</v>
      </c>
      <c r="EQ46" t="e">
        <f>#REF!+";Hb!$P~"</f>
        <v>#REF!</v>
      </c>
      <c r="ER46" t="e">
        <f>#REF!+";Hb!$Q#"</f>
        <v>#REF!</v>
      </c>
      <c r="ES46" t="e">
        <f>#REF!+";Hb!$Q$"</f>
        <v>#REF!</v>
      </c>
      <c r="ET46" t="e">
        <f>#REF!+";Hb!$Q%"</f>
        <v>#REF!</v>
      </c>
      <c r="EU46" t="e">
        <f>#REF!+";Hb!$Q&amp;"</f>
        <v>#REF!</v>
      </c>
      <c r="EV46" t="e">
        <f>#REF!+";Hb!$Q'"</f>
        <v>#REF!</v>
      </c>
      <c r="EW46" t="e">
        <f>#REF!+";Hb!$Q("</f>
        <v>#REF!</v>
      </c>
      <c r="EX46" t="e">
        <f>#REF!+";Hb!$Q)"</f>
        <v>#REF!</v>
      </c>
      <c r="EY46" t="e">
        <f>#REF!+";Hb!$Q."</f>
        <v>#REF!</v>
      </c>
      <c r="EZ46" t="e">
        <f>#REF!+";Hb!$Q/"</f>
        <v>#REF!</v>
      </c>
      <c r="FA46" t="e">
        <f>#REF!+";Hb!$Q0"</f>
        <v>#REF!</v>
      </c>
      <c r="FB46" t="e">
        <f>#REF!+";Hb!$Q1"</f>
        <v>#REF!</v>
      </c>
      <c r="FC46" t="e">
        <f>#REF!+";Hb!$Q2"</f>
        <v>#REF!</v>
      </c>
      <c r="FD46" t="e">
        <f>#REF!+";Hb!$Q3"</f>
        <v>#REF!</v>
      </c>
      <c r="FE46" t="e">
        <f>#REF!+";Hb!$Q4"</f>
        <v>#REF!</v>
      </c>
      <c r="FF46" t="e">
        <f>#REF!+";Hb!$Q5"</f>
        <v>#REF!</v>
      </c>
      <c r="FG46" t="e">
        <f>#REF!+";Hb!$Q6"</f>
        <v>#REF!</v>
      </c>
      <c r="FH46" t="e">
        <f>#REF!+";Hb!$Q7"</f>
        <v>#REF!</v>
      </c>
      <c r="FI46" t="e">
        <f>#REF!+";Hb!$Q8"</f>
        <v>#REF!</v>
      </c>
      <c r="FJ46" t="e">
        <f>#REF!+";Hb!$Q9"</f>
        <v>#REF!</v>
      </c>
      <c r="FK46" t="e">
        <f>#REF!+";Hb!$Q:"</f>
        <v>#REF!</v>
      </c>
      <c r="FL46" t="e">
        <f>#REF!+";Hb!$Q;"</f>
        <v>#REF!</v>
      </c>
      <c r="FM46" t="e">
        <f>#REF!+";Hb!$Q&lt;"</f>
        <v>#REF!</v>
      </c>
      <c r="FN46" t="e">
        <f>#REF!+";Hb!$Q="</f>
        <v>#REF!</v>
      </c>
      <c r="FO46" t="e">
        <f>#REF!+";Hb!$Q&gt;"</f>
        <v>#REF!</v>
      </c>
      <c r="FP46" t="e">
        <f>#REF!+";Hb!$Q?"</f>
        <v>#REF!</v>
      </c>
      <c r="FQ46" t="e">
        <f>#REF!+";Hb!$Q@"</f>
        <v>#REF!</v>
      </c>
      <c r="FR46" t="e">
        <f>#REF!+";Hb!$QA"</f>
        <v>#REF!</v>
      </c>
      <c r="FS46" t="e">
        <f>#REF!+";Hb!$QB"</f>
        <v>#REF!</v>
      </c>
      <c r="FT46" t="e">
        <f>#REF!+";Hb!$QC"</f>
        <v>#REF!</v>
      </c>
      <c r="FU46" t="e">
        <f>#REF!+";Hb!$QD"</f>
        <v>#REF!</v>
      </c>
      <c r="FV46" t="e">
        <f>#REF!+";Hb!$QE"</f>
        <v>#REF!</v>
      </c>
      <c r="FW46" t="e">
        <f>#REF!+";Hb!$QF"</f>
        <v>#REF!</v>
      </c>
      <c r="FX46" t="e">
        <f>#REF!+";Hb!$QG"</f>
        <v>#REF!</v>
      </c>
      <c r="FY46" t="e">
        <f>#REF!+";Hb!$QH"</f>
        <v>#REF!</v>
      </c>
      <c r="FZ46" t="e">
        <f>#REF!+";Hb!$QI"</f>
        <v>#REF!</v>
      </c>
      <c r="GA46" t="e">
        <f>#REF!+";Hb!$QJ"</f>
        <v>#REF!</v>
      </c>
      <c r="GB46" t="e">
        <f>#REF!+";Hb!$QK"</f>
        <v>#REF!</v>
      </c>
      <c r="GC46" t="e">
        <f>#REF!+";Hb!$QL"</f>
        <v>#REF!</v>
      </c>
      <c r="GD46" t="e">
        <f>#REF!+";Hb!$QM"</f>
        <v>#REF!</v>
      </c>
      <c r="GE46" t="e">
        <f>#REF!+";Hb!$QN"</f>
        <v>#REF!</v>
      </c>
      <c r="GF46" t="e">
        <f>#REF!+";Hb!$QO"</f>
        <v>#REF!</v>
      </c>
      <c r="GG46" t="e">
        <f>#REF!+";Hb!$QP"</f>
        <v>#REF!</v>
      </c>
      <c r="GH46" t="e">
        <f>#REF!+";Hb!$QQ"</f>
        <v>#REF!</v>
      </c>
      <c r="GI46" t="e">
        <f>#REF!+";Hb!$QR"</f>
        <v>#REF!</v>
      </c>
      <c r="GJ46" t="e">
        <f>#REF!+";Hb!$QS"</f>
        <v>#REF!</v>
      </c>
      <c r="GK46" t="e">
        <f>#REF!+";Hb!$QT"</f>
        <v>#REF!</v>
      </c>
      <c r="GL46" t="e">
        <f>#REF!+";Hb!$QU"</f>
        <v>#REF!</v>
      </c>
      <c r="GM46" t="e">
        <f>#REF!+";Hb!$QV"</f>
        <v>#REF!</v>
      </c>
      <c r="GN46" t="e">
        <f>#REF!+";Hb!$QW"</f>
        <v>#REF!</v>
      </c>
      <c r="GO46" t="e">
        <f>#REF!+";Hb!$QX"</f>
        <v>#REF!</v>
      </c>
      <c r="GP46" t="e">
        <f>#REF!+";Hb!$QY"</f>
        <v>#REF!</v>
      </c>
      <c r="GQ46" t="e">
        <f>#REF!+";Hb!$QZ"</f>
        <v>#REF!</v>
      </c>
      <c r="GR46" t="e">
        <f>#REF!+";Hb!$Q["</f>
        <v>#REF!</v>
      </c>
      <c r="GS46" t="e">
        <f>#REF!+";Hb!$Q\"</f>
        <v>#REF!</v>
      </c>
      <c r="GT46" t="e">
        <f>#REF!+";Hb!$Q]"</f>
        <v>#REF!</v>
      </c>
      <c r="GU46" t="e">
        <f>#REF!+";Hb!$Q^"</f>
        <v>#REF!</v>
      </c>
      <c r="GV46" t="e">
        <f>#REF!+";Hb!$Q_"</f>
        <v>#REF!</v>
      </c>
      <c r="GW46" t="e">
        <f>#REF!+";Hb!$Q`"</f>
        <v>#REF!</v>
      </c>
      <c r="GX46" t="e">
        <f>#REF!+";Hb!$Qa"</f>
        <v>#REF!</v>
      </c>
      <c r="GY46" t="e">
        <f>#REF!+";Hb!$Qb"</f>
        <v>#REF!</v>
      </c>
      <c r="GZ46" t="e">
        <f>#REF!+";Hb!$Qc"</f>
        <v>#REF!</v>
      </c>
      <c r="HA46" t="e">
        <f>#REF!+";Hb!$Qd"</f>
        <v>#REF!</v>
      </c>
      <c r="HB46" t="e">
        <f>#REF!+";Hb!$Qe"</f>
        <v>#REF!</v>
      </c>
      <c r="HC46" t="e">
        <f>#REF!+";Hb!$Qf"</f>
        <v>#REF!</v>
      </c>
      <c r="HD46" t="e">
        <f>#REF!+";Hb!$Qg"</f>
        <v>#REF!</v>
      </c>
      <c r="HE46" t="e">
        <f>#REF!+";Hb!$Qh"</f>
        <v>#REF!</v>
      </c>
      <c r="HF46" t="e">
        <f>#REF!+";Hb!$Qi"</f>
        <v>#REF!</v>
      </c>
      <c r="HG46" t="e">
        <f>#REF!+";Hb!$Qj"</f>
        <v>#REF!</v>
      </c>
      <c r="HH46" t="e">
        <f>#REF!+";Hb!$Qk"</f>
        <v>#REF!</v>
      </c>
      <c r="HI46" t="e">
        <f>#REF!+";Hb!$Ql"</f>
        <v>#REF!</v>
      </c>
      <c r="HJ46" t="e">
        <f>#REF!+";Hb!$Qm"</f>
        <v>#REF!</v>
      </c>
      <c r="HK46" t="e">
        <f>#REF!+";Hb!$Qn"</f>
        <v>#REF!</v>
      </c>
      <c r="HL46" t="e">
        <f>#REF!+";Hb!$Qo"</f>
        <v>#REF!</v>
      </c>
      <c r="HM46" t="e">
        <f>#REF!+";Hb!$Qp"</f>
        <v>#REF!</v>
      </c>
      <c r="HN46" t="e">
        <f>#REF!+";Hb!$Qq"</f>
        <v>#REF!</v>
      </c>
      <c r="HO46" t="e">
        <f>#REF!+";Hb!$Qr"</f>
        <v>#REF!</v>
      </c>
      <c r="HP46" t="e">
        <f>#REF!+";Hb!$Qs"</f>
        <v>#REF!</v>
      </c>
      <c r="HQ46" t="e">
        <f>#REF!+";Hb!$Qt"</f>
        <v>#REF!</v>
      </c>
      <c r="HR46" t="e">
        <f>#REF!+";Hb!$Qu"</f>
        <v>#REF!</v>
      </c>
      <c r="HS46" t="e">
        <f>#REF!+";Hb!$Qv"</f>
        <v>#REF!</v>
      </c>
      <c r="HT46" t="e">
        <f>#REF!+";Hb!$Qw"</f>
        <v>#REF!</v>
      </c>
      <c r="HU46" t="e">
        <f>#REF!+";Hb!$Qx"</f>
        <v>#REF!</v>
      </c>
      <c r="HV46" t="e">
        <f>#REF!+";Hb!$Qy"</f>
        <v>#REF!</v>
      </c>
      <c r="HW46" t="e">
        <f>#REF!+";Hb!$Qz"</f>
        <v>#REF!</v>
      </c>
      <c r="HX46" t="e">
        <f>#REF!+";Hb!$Q{"</f>
        <v>#REF!</v>
      </c>
      <c r="HY46" t="e">
        <f>#REF!+";Hb!$Q|"</f>
        <v>#REF!</v>
      </c>
      <c r="HZ46" t="e">
        <f>#REF!+";Hb!$Q}"</f>
        <v>#REF!</v>
      </c>
      <c r="IA46" t="e">
        <f>#REF!+";Hb!$Q~"</f>
        <v>#REF!</v>
      </c>
      <c r="IB46" t="e">
        <f>#REF!+";Hb!$R#"</f>
        <v>#REF!</v>
      </c>
      <c r="IC46" t="e">
        <f>#REF!+";Hb!$R$"</f>
        <v>#REF!</v>
      </c>
      <c r="ID46" t="e">
        <f>#REF!+";Hb!$R%"</f>
        <v>#REF!</v>
      </c>
      <c r="IE46" t="e">
        <f>#REF!+";Hb!$R&amp;"</f>
        <v>#REF!</v>
      </c>
      <c r="IF46" t="e">
        <f>#REF!+";Hb!$R'"</f>
        <v>#REF!</v>
      </c>
      <c r="IG46" t="e">
        <f>#REF!+";Hb!$R("</f>
        <v>#REF!</v>
      </c>
      <c r="IH46" t="e">
        <f>#REF!+";Hb!$R)"</f>
        <v>#REF!</v>
      </c>
      <c r="II46" t="e">
        <f>#REF!+";Hb!$R."</f>
        <v>#REF!</v>
      </c>
      <c r="IJ46" t="e">
        <f>#REF!+";Hb!$R/"</f>
        <v>#REF!</v>
      </c>
      <c r="IK46" t="e">
        <f>#REF!+";Hb!$R0"</f>
        <v>#REF!</v>
      </c>
      <c r="IL46" t="e">
        <f>#REF!+";Hb!$R1"</f>
        <v>#REF!</v>
      </c>
      <c r="IM46" t="e">
        <f>#REF!+";Hb!$R2"</f>
        <v>#REF!</v>
      </c>
      <c r="IN46" t="e">
        <f>#REF!+";Hb!$R3"</f>
        <v>#REF!</v>
      </c>
      <c r="IO46" t="e">
        <f>#REF!+";Hb!$R4"</f>
        <v>#REF!</v>
      </c>
      <c r="IP46" t="e">
        <f>#REF!+";Hb!$R5"</f>
        <v>#REF!</v>
      </c>
      <c r="IQ46" t="e">
        <f>#REF!+";Hb!$R6"</f>
        <v>#REF!</v>
      </c>
      <c r="IR46" t="e">
        <f>#REF!+";Hb!$R7"</f>
        <v>#REF!</v>
      </c>
      <c r="IS46" t="e">
        <f>#REF!+";Hb!$R8"</f>
        <v>#REF!</v>
      </c>
      <c r="IT46" t="e">
        <f>#REF!+";Hb!$R9"</f>
        <v>#REF!</v>
      </c>
      <c r="IU46" t="e">
        <f>#REF!+";Hb!$R:"</f>
        <v>#REF!</v>
      </c>
      <c r="IV46" t="e">
        <f>#REF!+";Hb!$R;"</f>
        <v>#REF!</v>
      </c>
    </row>
    <row r="47" spans="6:256" x14ac:dyDescent="0.25">
      <c r="F47" t="e">
        <f>#REF!+";Hb!$R&lt;"</f>
        <v>#REF!</v>
      </c>
      <c r="G47" t="e">
        <f>#REF!+";Hb!$R="</f>
        <v>#REF!</v>
      </c>
      <c r="H47" t="e">
        <f>#REF!+";Hb!$R&gt;"</f>
        <v>#REF!</v>
      </c>
      <c r="I47" t="e">
        <f>#REF!+";Hb!$R?"</f>
        <v>#REF!</v>
      </c>
      <c r="J47" t="e">
        <f>#REF!+";Hb!$R@"</f>
        <v>#REF!</v>
      </c>
      <c r="K47" t="e">
        <f>#REF!+";Hb!$RA"</f>
        <v>#REF!</v>
      </c>
      <c r="L47" t="e">
        <f>#REF!+";Hb!$RB"</f>
        <v>#REF!</v>
      </c>
      <c r="M47" t="e">
        <f>#REF!+";Hb!$RC"</f>
        <v>#REF!</v>
      </c>
      <c r="N47" t="e">
        <f>#REF!+";Hb!$RD"</f>
        <v>#REF!</v>
      </c>
      <c r="O47" t="e">
        <f>#REF!+";Hb!$RE"</f>
        <v>#REF!</v>
      </c>
      <c r="P47" t="e">
        <f>#REF!+";Hb!$RF"</f>
        <v>#REF!</v>
      </c>
      <c r="Q47" t="e">
        <f>#REF!+";Hb!$RG"</f>
        <v>#REF!</v>
      </c>
      <c r="R47" t="e">
        <f>#REF!+";Hb!$RH"</f>
        <v>#REF!</v>
      </c>
      <c r="S47" t="e">
        <f>#REF!+";Hb!$RI"</f>
        <v>#REF!</v>
      </c>
      <c r="T47" t="e">
        <f>#REF!+";Hb!$RJ"</f>
        <v>#REF!</v>
      </c>
      <c r="U47" t="e">
        <f>#REF!+";Hb!$RK"</f>
        <v>#REF!</v>
      </c>
      <c r="V47" t="e">
        <f>#REF!+";Hb!$RL"</f>
        <v>#REF!</v>
      </c>
      <c r="W47" t="e">
        <f>#REF!+";Hb!$RM"</f>
        <v>#REF!</v>
      </c>
      <c r="X47" t="e">
        <f>#REF!+";Hb!$RN"</f>
        <v>#REF!</v>
      </c>
      <c r="Y47" t="e">
        <f>#REF!+";Hb!$RO"</f>
        <v>#REF!</v>
      </c>
      <c r="Z47" t="e">
        <f>#REF!+";Hb!$RP"</f>
        <v>#REF!</v>
      </c>
      <c r="AA47" t="e">
        <f>#REF!+";Hb!$RQ"</f>
        <v>#REF!</v>
      </c>
      <c r="AB47" t="e">
        <f>#REF!+";Hb!$RR"</f>
        <v>#REF!</v>
      </c>
      <c r="AC47" t="e">
        <f>#REF!+";Hb!$RS"</f>
        <v>#REF!</v>
      </c>
      <c r="AD47" t="e">
        <f>#REF!+";Hb!$RT"</f>
        <v>#REF!</v>
      </c>
      <c r="AE47" t="e">
        <f>#REF!+";Hb!$RU"</f>
        <v>#REF!</v>
      </c>
      <c r="AF47" t="e">
        <f>#REF!+";Hb!$RV"</f>
        <v>#REF!</v>
      </c>
      <c r="AG47" t="e">
        <f>#REF!+";Hb!$RW"</f>
        <v>#REF!</v>
      </c>
      <c r="AH47" t="e">
        <f>#REF!+";Hb!$RX"</f>
        <v>#REF!</v>
      </c>
      <c r="AI47" t="e">
        <f>#REF!+";Hb!$RY"</f>
        <v>#REF!</v>
      </c>
      <c r="AJ47" t="e">
        <f>#REF!+";Hb!$RZ"</f>
        <v>#REF!</v>
      </c>
      <c r="AK47" t="e">
        <f>#REF!+";Hb!$R["</f>
        <v>#REF!</v>
      </c>
      <c r="AL47" t="e">
        <f>#REF!+";Hb!$R\"</f>
        <v>#REF!</v>
      </c>
      <c r="AM47" t="e">
        <f>#REF!+";Hb!$R]"</f>
        <v>#REF!</v>
      </c>
      <c r="AN47" t="e">
        <f>#REF!+";Hb!$R^"</f>
        <v>#REF!</v>
      </c>
      <c r="AO47" t="e">
        <f>#REF!+";Hb!$R_"</f>
        <v>#REF!</v>
      </c>
      <c r="AP47" t="e">
        <f>#REF!+";Hb!$R`"</f>
        <v>#REF!</v>
      </c>
      <c r="AQ47" t="e">
        <f>#REF!+";Hb!$Ra"</f>
        <v>#REF!</v>
      </c>
      <c r="AR47" t="e">
        <f>#REF!+";Hb!$Rb"</f>
        <v>#REF!</v>
      </c>
      <c r="AS47" t="e">
        <f>#REF!+";Hb!$Rc"</f>
        <v>#REF!</v>
      </c>
      <c r="AT47" t="e">
        <f>#REF!+";Hb!$Rd"</f>
        <v>#REF!</v>
      </c>
      <c r="AU47" t="e">
        <f>#REF!+";Hb!$Re"</f>
        <v>#REF!</v>
      </c>
      <c r="AV47" t="e">
        <f>#REF!+";Hb!$Rf"</f>
        <v>#REF!</v>
      </c>
      <c r="AW47" t="e">
        <f>#REF!+";Hb!$Rg"</f>
        <v>#REF!</v>
      </c>
      <c r="AX47" t="e">
        <f>#REF!+";Hb!$Rh"</f>
        <v>#REF!</v>
      </c>
      <c r="AY47" t="e">
        <f>#REF!+";Hb!$Ri"</f>
        <v>#REF!</v>
      </c>
      <c r="AZ47" t="e">
        <f>#REF!+";Hb!$Rj"</f>
        <v>#REF!</v>
      </c>
      <c r="BA47" t="e">
        <f>#REF!+";Hb!$Rk"</f>
        <v>#REF!</v>
      </c>
      <c r="BB47" t="e">
        <f>#REF!+";Hb!$Rl"</f>
        <v>#REF!</v>
      </c>
      <c r="BC47" t="e">
        <f>#REF!+";Hb!$Rm"</f>
        <v>#REF!</v>
      </c>
      <c r="BD47" t="e">
        <f>#REF!+";Hb!$Rn"</f>
        <v>#REF!</v>
      </c>
      <c r="BE47" t="e">
        <f>#REF!+";Hb!$Ro"</f>
        <v>#REF!</v>
      </c>
      <c r="BF47" t="e">
        <f>#REF!+";Hb!$Rp"</f>
        <v>#REF!</v>
      </c>
      <c r="BG47" t="e">
        <f>#REF!+";Hb!$Rq"</f>
        <v>#REF!</v>
      </c>
      <c r="BH47" t="e">
        <f>#REF!+";Hb!$Rr"</f>
        <v>#REF!</v>
      </c>
      <c r="BI47" t="e">
        <f>#REF!+";Hb!$Rs"</f>
        <v>#REF!</v>
      </c>
      <c r="BJ47" t="e">
        <f>#REF!+";Hb!$Rt"</f>
        <v>#REF!</v>
      </c>
      <c r="BK47" t="e">
        <f>#REF!+";Hb!$Ru"</f>
        <v>#REF!</v>
      </c>
      <c r="BL47" t="e">
        <f>#REF!+";Hb!$Rv"</f>
        <v>#REF!</v>
      </c>
      <c r="BM47" t="e">
        <f>#REF!+";Hb!$Rw"</f>
        <v>#REF!</v>
      </c>
      <c r="BN47" t="e">
        <f>#REF!+";Hb!$Rx"</f>
        <v>#REF!</v>
      </c>
      <c r="BO47" t="e">
        <f>#REF!+";Hb!$Ry"</f>
        <v>#REF!</v>
      </c>
      <c r="BP47" t="e">
        <f>#REF!+";Hb!$Rz"</f>
        <v>#REF!</v>
      </c>
      <c r="BQ47" t="e">
        <f>#REF!+";Hb!$R{"</f>
        <v>#REF!</v>
      </c>
      <c r="BR47" t="e">
        <f>#REF!+";Hb!$R|"</f>
        <v>#REF!</v>
      </c>
      <c r="BS47" t="e">
        <f>#REF!+";Hb!$R}"</f>
        <v>#REF!</v>
      </c>
      <c r="BT47" t="e">
        <f>#REF!+";Hb!$R~"</f>
        <v>#REF!</v>
      </c>
      <c r="BU47" t="e">
        <f>#REF!+";Hb!$S#"</f>
        <v>#REF!</v>
      </c>
      <c r="BV47" t="e">
        <f>#REF!+";Hb!$S$"</f>
        <v>#REF!</v>
      </c>
      <c r="BW47" t="e">
        <f>#REF!+";Hb!$S%"</f>
        <v>#REF!</v>
      </c>
      <c r="BX47" t="e">
        <f>#REF!+";Hb!$S&amp;"</f>
        <v>#REF!</v>
      </c>
      <c r="BY47" t="e">
        <f>#REF!+";Hb!$S'"</f>
        <v>#REF!</v>
      </c>
      <c r="BZ47" t="e">
        <f>#REF!+";Hb!$S("</f>
        <v>#REF!</v>
      </c>
      <c r="CA47" t="e">
        <f>#REF!+";Hb!$S)"</f>
        <v>#REF!</v>
      </c>
      <c r="CB47" t="e">
        <f>#REF!+";Hb!$S."</f>
        <v>#REF!</v>
      </c>
      <c r="CC47" t="e">
        <f>#REF!+";Hb!$S/"</f>
        <v>#REF!</v>
      </c>
      <c r="CD47" t="e">
        <f>#REF!+";Hb!$S0"</f>
        <v>#REF!</v>
      </c>
      <c r="CE47" t="e">
        <f>#REF!+";Hb!$S1"</f>
        <v>#REF!</v>
      </c>
      <c r="CF47" t="e">
        <f>#REF!+";Hb!$S2"</f>
        <v>#REF!</v>
      </c>
      <c r="CG47" t="e">
        <f>#REF!+";Hb!$S3"</f>
        <v>#REF!</v>
      </c>
      <c r="CH47" t="e">
        <f>#REF!+";Hb!$S4"</f>
        <v>#REF!</v>
      </c>
      <c r="CI47" t="e">
        <f>#REF!+";Hb!$S5"</f>
        <v>#REF!</v>
      </c>
      <c r="CJ47" t="e">
        <f>#REF!+";Hb!$S6"</f>
        <v>#REF!</v>
      </c>
      <c r="CK47" t="e">
        <f>#REF!+";Hb!$S7"</f>
        <v>#REF!</v>
      </c>
      <c r="CL47" t="e">
        <f>#REF!+";Hb!$S8"</f>
        <v>#REF!</v>
      </c>
      <c r="CM47" t="e">
        <f>#REF!+";Hb!$S9"</f>
        <v>#REF!</v>
      </c>
      <c r="CN47" t="e">
        <f>#REF!+";Hb!$S:"</f>
        <v>#REF!</v>
      </c>
      <c r="CO47" t="e">
        <f>#REF!+";Hb!$S;"</f>
        <v>#REF!</v>
      </c>
      <c r="CP47" t="e">
        <f>#REF!+";Hb!$S&lt;"</f>
        <v>#REF!</v>
      </c>
      <c r="CQ47" t="e">
        <f>#REF!+";Hb!$S="</f>
        <v>#REF!</v>
      </c>
      <c r="CR47" t="e">
        <f>#REF!+";Hb!$S&gt;"</f>
        <v>#REF!</v>
      </c>
      <c r="CS47" t="e">
        <f>#REF!+";Hb!$S?"</f>
        <v>#REF!</v>
      </c>
      <c r="CT47" t="e">
        <f>#REF!+";Hb!$S@"</f>
        <v>#REF!</v>
      </c>
      <c r="CU47" t="e">
        <f>#REF!+";Hb!$SA"</f>
        <v>#REF!</v>
      </c>
      <c r="CV47" t="e">
        <f>#REF!+";Hb!$SB"</f>
        <v>#REF!</v>
      </c>
      <c r="CW47" t="e">
        <f>#REF!+";Hb!$SC"</f>
        <v>#REF!</v>
      </c>
      <c r="CX47" t="e">
        <f>#REF!+";Hb!$SD"</f>
        <v>#REF!</v>
      </c>
      <c r="CY47" t="e">
        <f>#REF!+";Hb!$SE"</f>
        <v>#REF!</v>
      </c>
      <c r="CZ47" t="e">
        <f>#REF!+";Hb!$SF"</f>
        <v>#REF!</v>
      </c>
      <c r="DA47" t="e">
        <f>#REF!+";Hb!$SG"</f>
        <v>#REF!</v>
      </c>
      <c r="DB47" t="e">
        <f>#REF!+";Hb!$SH"</f>
        <v>#REF!</v>
      </c>
      <c r="DC47" t="e">
        <f>#REF!+";Hb!$SI"</f>
        <v>#REF!</v>
      </c>
      <c r="DD47" t="e">
        <f>#REF!+";Hb!$SJ"</f>
        <v>#REF!</v>
      </c>
      <c r="DE47" t="e">
        <f>#REF!+";Hb!$SK"</f>
        <v>#REF!</v>
      </c>
      <c r="DF47" t="e">
        <f>#REF!+";Hb!$SL"</f>
        <v>#REF!</v>
      </c>
      <c r="DG47" t="e">
        <f>#REF!+";Hb!$SM"</f>
        <v>#REF!</v>
      </c>
      <c r="DH47" t="e">
        <f>#REF!+";Hb!$SN"</f>
        <v>#REF!</v>
      </c>
      <c r="DI47" t="e">
        <f>#REF!+";Hb!$SO"</f>
        <v>#REF!</v>
      </c>
      <c r="DJ47" t="e">
        <f>#REF!+";Hb!$SP"</f>
        <v>#REF!</v>
      </c>
      <c r="DK47" t="e">
        <f>#REF!+";Hb!$SQ"</f>
        <v>#REF!</v>
      </c>
      <c r="DL47" t="e">
        <f>#REF!+";Hb!$SR"</f>
        <v>#REF!</v>
      </c>
      <c r="DM47" t="e">
        <f>#REF!+";Hb!$SS"</f>
        <v>#REF!</v>
      </c>
      <c r="DN47" t="e">
        <f>#REF!+";Hb!$ST"</f>
        <v>#REF!</v>
      </c>
      <c r="DO47" t="e">
        <f>#REF!+";Hb!$SU"</f>
        <v>#REF!</v>
      </c>
      <c r="DP47" t="e">
        <f>#REF!+";Hb!$SV"</f>
        <v>#REF!</v>
      </c>
      <c r="DQ47" t="e">
        <f>#REF!+";Hb!$SW"</f>
        <v>#REF!</v>
      </c>
      <c r="DR47" t="e">
        <f>#REF!+";Hb!$SX"</f>
        <v>#REF!</v>
      </c>
      <c r="DS47" t="e">
        <f>#REF!+";Hb!$SY"</f>
        <v>#REF!</v>
      </c>
      <c r="DT47" t="e">
        <f>#REF!+";Hb!$SZ"</f>
        <v>#REF!</v>
      </c>
      <c r="DU47" t="e">
        <f>#REF!+";Hb!$S["</f>
        <v>#REF!</v>
      </c>
      <c r="DV47" t="e">
        <f>#REF!+";Hb!$S\"</f>
        <v>#REF!</v>
      </c>
      <c r="DW47" t="e">
        <f>#REF!+";Hb!$S]"</f>
        <v>#REF!</v>
      </c>
      <c r="DX47" t="e">
        <f>#REF!+";Hb!$S^"</f>
        <v>#REF!</v>
      </c>
      <c r="DY47" t="e">
        <f>#REF!+";Hb!$S_"</f>
        <v>#REF!</v>
      </c>
      <c r="DZ47" t="e">
        <f>#REF!+";Hb!$S`"</f>
        <v>#REF!</v>
      </c>
      <c r="EA47" t="e">
        <f>#REF!+";Hb!$Sa"</f>
        <v>#REF!</v>
      </c>
      <c r="EB47" t="e">
        <f>#REF!+";Hb!$Sb"</f>
        <v>#REF!</v>
      </c>
      <c r="EC47" t="e">
        <f>#REF!+";Hb!$Sc"</f>
        <v>#REF!</v>
      </c>
      <c r="ED47" t="e">
        <f>#REF!+";Hb!$Sd"</f>
        <v>#REF!</v>
      </c>
      <c r="EE47" t="e">
        <f>#REF!+";Hb!$Se"</f>
        <v>#REF!</v>
      </c>
      <c r="EF47" t="e">
        <f>#REF!+";Hb!$Sf"</f>
        <v>#REF!</v>
      </c>
      <c r="EG47" t="e">
        <f>#REF!+";Hb!$Sg"</f>
        <v>#REF!</v>
      </c>
      <c r="EH47" t="e">
        <f>#REF!+";Hb!$Sh"</f>
        <v>#REF!</v>
      </c>
      <c r="EI47" t="e">
        <f>#REF!+";Hb!$Si"</f>
        <v>#REF!</v>
      </c>
      <c r="EJ47" t="e">
        <f>#REF!+";Hb!$Sj"</f>
        <v>#REF!</v>
      </c>
      <c r="EK47" t="e">
        <f>#REF!+";Hb!$Sk"</f>
        <v>#REF!</v>
      </c>
      <c r="EL47" t="e">
        <f>#REF!+";Hb!$Sl"</f>
        <v>#REF!</v>
      </c>
      <c r="EM47" t="e">
        <f>#REF!+";Hb!$Sm"</f>
        <v>#REF!</v>
      </c>
      <c r="EN47" t="e">
        <f>#REF!+";Hb!$Sn"</f>
        <v>#REF!</v>
      </c>
      <c r="EO47" t="e">
        <f>#REF!+";Hb!$So"</f>
        <v>#REF!</v>
      </c>
      <c r="EP47" t="e">
        <f>#REF!+";Hb!$Sp"</f>
        <v>#REF!</v>
      </c>
      <c r="EQ47" t="e">
        <f>#REF!+";Hb!$Sq"</f>
        <v>#REF!</v>
      </c>
      <c r="ER47" t="e">
        <f>#REF!+";Hb!$Sr"</f>
        <v>#REF!</v>
      </c>
      <c r="ES47" t="e">
        <f>#REF!+";Hb!$Ss"</f>
        <v>#REF!</v>
      </c>
      <c r="ET47" t="e">
        <f>#REF!+";Hb!$St"</f>
        <v>#REF!</v>
      </c>
      <c r="EU47" t="e">
        <f>#REF!+";Hb!$Su"</f>
        <v>#REF!</v>
      </c>
      <c r="EV47" t="e">
        <f>#REF!+";Hb!$Sv"</f>
        <v>#REF!</v>
      </c>
      <c r="EW47" t="e">
        <f>#REF!+";Hb!$Sw"</f>
        <v>#REF!</v>
      </c>
      <c r="EX47" t="e">
        <f>#REF!+";Hb!$Sx"</f>
        <v>#REF!</v>
      </c>
      <c r="EY47" t="e">
        <f>#REF!+";Hb!$Sy"</f>
        <v>#REF!</v>
      </c>
      <c r="EZ47" t="e">
        <f>#REF!+";Hb!$Sz"</f>
        <v>#REF!</v>
      </c>
      <c r="FA47" t="e">
        <f>#REF!+";Hb!$S{"</f>
        <v>#REF!</v>
      </c>
      <c r="FB47" t="e">
        <f>#REF!+";Hb!$S|"</f>
        <v>#REF!</v>
      </c>
      <c r="FC47" t="e">
        <f>#REF!+";Hb!$S}"</f>
        <v>#REF!</v>
      </c>
      <c r="FD47" t="e">
        <f>#REF!+";Hb!$S~"</f>
        <v>#REF!</v>
      </c>
      <c r="FE47" t="e">
        <f>#REF!+";Hb!$T#"</f>
        <v>#REF!</v>
      </c>
      <c r="FF47" t="e">
        <f>#REF!+";Hb!$T$"</f>
        <v>#REF!</v>
      </c>
      <c r="FG47" t="e">
        <f>#REF!+";Hb!$T%"</f>
        <v>#REF!</v>
      </c>
      <c r="FH47" t="e">
        <f>#REF!+";Hb!$T&amp;"</f>
        <v>#REF!</v>
      </c>
      <c r="FI47" t="e">
        <f>#REF!+";Hb!$T'"</f>
        <v>#REF!</v>
      </c>
      <c r="FJ47" t="e">
        <f>#REF!+";Hb!$T("</f>
        <v>#REF!</v>
      </c>
      <c r="FK47" t="e">
        <f>#REF!+";Hb!$T)"</f>
        <v>#REF!</v>
      </c>
      <c r="FL47" t="e">
        <f>#REF!+";Hb!$T."</f>
        <v>#REF!</v>
      </c>
      <c r="FM47" t="e">
        <f>#REF!+";Hb!$T/"</f>
        <v>#REF!</v>
      </c>
      <c r="FN47" t="e">
        <f>#REF!+";Hb!$T0"</f>
        <v>#REF!</v>
      </c>
      <c r="FO47" t="e">
        <f>#REF!+";Hb!$T1"</f>
        <v>#REF!</v>
      </c>
      <c r="FP47" t="e">
        <f>#REF!+";Hb!$T2"</f>
        <v>#REF!</v>
      </c>
      <c r="FQ47" t="e">
        <f>#REF!+";Hb!$T3"</f>
        <v>#REF!</v>
      </c>
      <c r="FR47" t="e">
        <f>#REF!+";Hb!$T4"</f>
        <v>#REF!</v>
      </c>
      <c r="FS47" t="e">
        <f>#REF!+";Hb!$T5"</f>
        <v>#REF!</v>
      </c>
      <c r="FT47" t="e">
        <f>#REF!+";Hb!$T6"</f>
        <v>#REF!</v>
      </c>
      <c r="FU47" t="e">
        <f>#REF!+";Hb!$T7"</f>
        <v>#REF!</v>
      </c>
      <c r="FV47" t="e">
        <f>#REF!+";Hb!$T8"</f>
        <v>#REF!</v>
      </c>
      <c r="FW47" t="e">
        <f>#REF!+";Hb!$T9"</f>
        <v>#REF!</v>
      </c>
      <c r="FX47" t="e">
        <f>#REF!+";Hb!$T:"</f>
        <v>#REF!</v>
      </c>
      <c r="FY47" t="e">
        <f>#REF!+";Hb!$T;"</f>
        <v>#REF!</v>
      </c>
      <c r="FZ47" t="e">
        <f>#REF!+";Hb!$T&lt;"</f>
        <v>#REF!</v>
      </c>
      <c r="GA47" t="e">
        <f>#REF!+";Hb!$T="</f>
        <v>#REF!</v>
      </c>
      <c r="GB47" t="e">
        <f>#REF!+";Hb!$T&gt;"</f>
        <v>#REF!</v>
      </c>
      <c r="GC47" t="e">
        <f>#REF!+";Hb!$T?"</f>
        <v>#REF!</v>
      </c>
      <c r="GD47" t="e">
        <f>#REF!+";Hb!$T@"</f>
        <v>#REF!</v>
      </c>
      <c r="GE47" t="e">
        <f>#REF!+";Hb!$TA"</f>
        <v>#REF!</v>
      </c>
      <c r="GF47" t="e">
        <f>#REF!+";Hb!$TB"</f>
        <v>#REF!</v>
      </c>
      <c r="GG47" t="e">
        <f>#REF!+";Hb!$TC"</f>
        <v>#REF!</v>
      </c>
      <c r="GH47" t="e">
        <f>#REF!+";Hb!$TD"</f>
        <v>#REF!</v>
      </c>
      <c r="GI47" t="e">
        <f>#REF!+";Hb!$TE"</f>
        <v>#REF!</v>
      </c>
      <c r="GJ47" t="e">
        <f>#REF!+";Hb!$TF"</f>
        <v>#REF!</v>
      </c>
      <c r="GK47" t="e">
        <f>#REF!+";Hb!$TG"</f>
        <v>#REF!</v>
      </c>
      <c r="GL47" t="e">
        <f>#REF!+";Hb!$TH"</f>
        <v>#REF!</v>
      </c>
      <c r="GM47" t="e">
        <f>#REF!+";Hb!$TI"</f>
        <v>#REF!</v>
      </c>
      <c r="GN47" t="e">
        <f>#REF!+";Hb!$TJ"</f>
        <v>#REF!</v>
      </c>
      <c r="GO47" t="e">
        <f>#REF!+";Hb!$TK"</f>
        <v>#REF!</v>
      </c>
      <c r="GP47" t="e">
        <f>#REF!+";Hb!$TL"</f>
        <v>#REF!</v>
      </c>
      <c r="GQ47" t="e">
        <f>#REF!+";Hb!$TM"</f>
        <v>#REF!</v>
      </c>
      <c r="GR47" t="e">
        <f>#REF!+";Hb!$TN"</f>
        <v>#REF!</v>
      </c>
      <c r="GS47" t="e">
        <f>#REF!+";Hb!$TO"</f>
        <v>#REF!</v>
      </c>
      <c r="GT47" t="e">
        <f>#REF!+";Hb!$TP"</f>
        <v>#REF!</v>
      </c>
      <c r="GU47" t="e">
        <f>#REF!+";Hb!$TQ"</f>
        <v>#REF!</v>
      </c>
      <c r="GV47" t="e">
        <f>#REF!+";Hb!$TR"</f>
        <v>#REF!</v>
      </c>
      <c r="GW47" t="e">
        <f>#REF!+";Hb!$TS"</f>
        <v>#REF!</v>
      </c>
      <c r="GX47" t="e">
        <f>#REF!+";Hb!$TT"</f>
        <v>#REF!</v>
      </c>
      <c r="GY47" t="e">
        <f>#REF!+";Hb!$TU"</f>
        <v>#REF!</v>
      </c>
      <c r="GZ47" t="e">
        <f>#REF!+";Hb!$TV"</f>
        <v>#REF!</v>
      </c>
      <c r="HA47" t="e">
        <f>#REF!+";Hb!$TW"</f>
        <v>#REF!</v>
      </c>
      <c r="HB47" t="e">
        <f>#REF!+";Hb!$TX"</f>
        <v>#REF!</v>
      </c>
      <c r="HC47" t="e">
        <f>#REF!+";Hb!$TY"</f>
        <v>#REF!</v>
      </c>
      <c r="HD47" t="e">
        <f>#REF!+";Hb!$TZ"</f>
        <v>#REF!</v>
      </c>
      <c r="HE47" t="e">
        <f>#REF!+";Hb!$T["</f>
        <v>#REF!</v>
      </c>
      <c r="HF47" t="e">
        <f>#REF!+";Hb!$T\"</f>
        <v>#REF!</v>
      </c>
      <c r="HG47" t="e">
        <f>#REF!+";Hb!$T]"</f>
        <v>#REF!</v>
      </c>
      <c r="HH47" t="e">
        <f>#REF!+";Hb!$T^"</f>
        <v>#REF!</v>
      </c>
      <c r="HI47" t="e">
        <f>#REF!+";Hb!$T_"</f>
        <v>#REF!</v>
      </c>
      <c r="HJ47" t="e">
        <f>#REF!+";Hb!$T`"</f>
        <v>#REF!</v>
      </c>
      <c r="HK47" t="e">
        <f>#REF!+";Hb!$Ta"</f>
        <v>#REF!</v>
      </c>
      <c r="HL47" t="e">
        <f>#REF!+";Hb!$Tb"</f>
        <v>#REF!</v>
      </c>
      <c r="HM47" t="e">
        <f>#REF!+";Hb!$Tc"</f>
        <v>#REF!</v>
      </c>
      <c r="HN47" t="e">
        <f>#REF!+";Hb!$Td"</f>
        <v>#REF!</v>
      </c>
      <c r="HO47" t="e">
        <f>#REF!+";Hb!$Te"</f>
        <v>#REF!</v>
      </c>
      <c r="HP47" t="e">
        <f>#REF!+";Hb!$Tf"</f>
        <v>#REF!</v>
      </c>
      <c r="HQ47" t="e">
        <f>#REF!+";Hb!$Tg"</f>
        <v>#REF!</v>
      </c>
      <c r="HR47" t="e">
        <f>#REF!+";Hb!$Th"</f>
        <v>#REF!</v>
      </c>
      <c r="HS47" t="e">
        <f>#REF!+";Hb!$Ti"</f>
        <v>#REF!</v>
      </c>
      <c r="HT47" t="e">
        <f>#REF!+";Hb!$Tj"</f>
        <v>#REF!</v>
      </c>
      <c r="HU47" t="e">
        <f>#REF!+";Hb!$Tk"</f>
        <v>#REF!</v>
      </c>
      <c r="HV47" t="e">
        <f>#REF!+";Hb!$Tl"</f>
        <v>#REF!</v>
      </c>
      <c r="HW47" t="e">
        <f>#REF!+";Hb!$Tm"</f>
        <v>#REF!</v>
      </c>
      <c r="HX47" t="e">
        <f>#REF!+";Hb!$Tn"</f>
        <v>#REF!</v>
      </c>
      <c r="HY47" t="e">
        <f>#REF!+";Hb!$To"</f>
        <v>#REF!</v>
      </c>
      <c r="HZ47" t="e">
        <f>#REF!+";Hb!$Tp"</f>
        <v>#REF!</v>
      </c>
      <c r="IA47" t="e">
        <f>#REF!+";Hb!$Tq"</f>
        <v>#REF!</v>
      </c>
      <c r="IB47" t="e">
        <f>#REF!+";Hb!$Tr"</f>
        <v>#REF!</v>
      </c>
      <c r="IC47" t="e">
        <f>#REF!+";Hb!$Ts"</f>
        <v>#REF!</v>
      </c>
      <c r="ID47" t="e">
        <f>#REF!+";Hb!$Tt"</f>
        <v>#REF!</v>
      </c>
      <c r="IE47" t="e">
        <f>#REF!+";Hb!$Tu"</f>
        <v>#REF!</v>
      </c>
      <c r="IF47" t="e">
        <f>#REF!+";Hb!$Tv"</f>
        <v>#REF!</v>
      </c>
      <c r="IG47" t="e">
        <f>#REF!+";Hb!$Tw"</f>
        <v>#REF!</v>
      </c>
      <c r="IH47" t="e">
        <f>#REF!+";Hb!$Tx"</f>
        <v>#REF!</v>
      </c>
      <c r="II47" t="e">
        <f>#REF!+";Hb!$Ty"</f>
        <v>#REF!</v>
      </c>
      <c r="IJ47" t="e">
        <f>#REF!+";Hb!$Tz"</f>
        <v>#REF!</v>
      </c>
      <c r="IK47" t="e">
        <f>#REF!+";Hb!$T{"</f>
        <v>#REF!</v>
      </c>
      <c r="IL47" t="e">
        <f>#REF!+";Hb!$T|"</f>
        <v>#REF!</v>
      </c>
      <c r="IM47" t="e">
        <f>#REF!+";Hb!$T}"</f>
        <v>#REF!</v>
      </c>
      <c r="IN47" t="e">
        <f>#REF!+";Hb!$T~"</f>
        <v>#REF!</v>
      </c>
      <c r="IO47" t="e">
        <f>#REF!+";Hb!$U#"</f>
        <v>#REF!</v>
      </c>
      <c r="IP47" t="e">
        <f>#REF!+";Hb!$U$"</f>
        <v>#REF!</v>
      </c>
      <c r="IQ47" t="e">
        <f>#REF!+";Hb!$U%"</f>
        <v>#REF!</v>
      </c>
      <c r="IR47" t="e">
        <f>#REF!+";Hb!$U&amp;"</f>
        <v>#REF!</v>
      </c>
      <c r="IS47" t="e">
        <f>#REF!+";Hb!$U'"</f>
        <v>#REF!</v>
      </c>
      <c r="IT47" t="e">
        <f>#REF!+";Hb!$U("</f>
        <v>#REF!</v>
      </c>
      <c r="IU47" t="e">
        <f>#REF!+";Hb!$U)"</f>
        <v>#REF!</v>
      </c>
      <c r="IV47" t="e">
        <f>#REF!+";Hb!$U."</f>
        <v>#REF!</v>
      </c>
    </row>
    <row r="48" spans="6:256" x14ac:dyDescent="0.25">
      <c r="F48" t="e">
        <f>#REF!+";Hb!$U/"</f>
        <v>#REF!</v>
      </c>
      <c r="G48" t="e">
        <f>#REF!+";Hb!$U0"</f>
        <v>#REF!</v>
      </c>
      <c r="H48" t="e">
        <f>#REF!+";Hb!$U1"</f>
        <v>#REF!</v>
      </c>
      <c r="I48" t="e">
        <f>#REF!+";Hb!$U2"</f>
        <v>#REF!</v>
      </c>
      <c r="J48" t="e">
        <f>#REF!+";Hb!$U3"</f>
        <v>#REF!</v>
      </c>
      <c r="K48" t="e">
        <f>#REF!+";Hb!$U4"</f>
        <v>#REF!</v>
      </c>
      <c r="L48" t="e">
        <f>#REF!+";Hb!$U5"</f>
        <v>#REF!</v>
      </c>
      <c r="M48" t="e">
        <f>#REF!+";Hb!$U6"</f>
        <v>#REF!</v>
      </c>
      <c r="N48" t="e">
        <f>#REF!+";Hb!$U7"</f>
        <v>#REF!</v>
      </c>
      <c r="O48" t="e">
        <f>#REF!+";Hb!$U8"</f>
        <v>#REF!</v>
      </c>
      <c r="P48" t="e">
        <f>#REF!+";Hb!$U9"</f>
        <v>#REF!</v>
      </c>
      <c r="Q48" t="e">
        <f>#REF!+";Hb!$U:"</f>
        <v>#REF!</v>
      </c>
      <c r="R48" t="e">
        <f>#REF!+";Hb!$U;"</f>
        <v>#REF!</v>
      </c>
      <c r="S48" t="e">
        <f>#REF!+";Hb!$U&lt;"</f>
        <v>#REF!</v>
      </c>
      <c r="T48" t="e">
        <f>#REF!+";Hb!$U="</f>
        <v>#REF!</v>
      </c>
      <c r="U48" t="e">
        <f>#REF!+";Hb!$U&gt;"</f>
        <v>#REF!</v>
      </c>
      <c r="V48" t="e">
        <f>#REF!+";Hb!$U?"</f>
        <v>#REF!</v>
      </c>
      <c r="W48" t="e">
        <f>#REF!+";Hb!$U@"</f>
        <v>#REF!</v>
      </c>
      <c r="X48" t="e">
        <f>#REF!+";Hb!$UA"</f>
        <v>#REF!</v>
      </c>
      <c r="Y48" t="e">
        <f>#REF!+";Hb!$UB"</f>
        <v>#REF!</v>
      </c>
      <c r="Z48" t="e">
        <f>#REF!+";Hb!$UC"</f>
        <v>#REF!</v>
      </c>
      <c r="AA48" t="e">
        <f>#REF!+";Hb!$UD"</f>
        <v>#REF!</v>
      </c>
      <c r="AB48" t="e">
        <f>#REF!+";Hb!$UE"</f>
        <v>#REF!</v>
      </c>
      <c r="AC48" t="e">
        <f>#REF!+";Hb!$UF"</f>
        <v>#REF!</v>
      </c>
      <c r="AD48" t="e">
        <f>#REF!+";Hb!$UG"</f>
        <v>#REF!</v>
      </c>
      <c r="AE48" t="e">
        <f>#REF!+";Hb!$UH"</f>
        <v>#REF!</v>
      </c>
      <c r="AF48" t="e">
        <f>#REF!+";Hb!$UI"</f>
        <v>#REF!</v>
      </c>
      <c r="AG48" t="e">
        <f>#REF!+";Hb!$UJ"</f>
        <v>#REF!</v>
      </c>
      <c r="AH48" t="e">
        <f>#REF!+";Hb!$UK"</f>
        <v>#REF!</v>
      </c>
      <c r="AI48" t="e">
        <f>#REF!+";Hb!$UL"</f>
        <v>#REF!</v>
      </c>
      <c r="AJ48" t="e">
        <f>#REF!+";Hb!$UM"</f>
        <v>#REF!</v>
      </c>
      <c r="AK48" t="e">
        <f>#REF!+";Hb!$UN"</f>
        <v>#REF!</v>
      </c>
      <c r="AL48" t="e">
        <f>#REF!+";Hb!$UO"</f>
        <v>#REF!</v>
      </c>
      <c r="AM48" t="e">
        <f>#REF!+";Hb!$UP"</f>
        <v>#REF!</v>
      </c>
      <c r="AN48" t="e">
        <f>#REF!+";Hb!$UQ"</f>
        <v>#REF!</v>
      </c>
      <c r="AO48" t="e">
        <f>#REF!+";Hb!$UR"</f>
        <v>#REF!</v>
      </c>
      <c r="AP48" t="e">
        <f>#REF!+";Hb!$US"</f>
        <v>#REF!</v>
      </c>
      <c r="AQ48" t="e">
        <f>#REF!+";Hb!$UT"</f>
        <v>#REF!</v>
      </c>
      <c r="AR48" t="e">
        <f>#REF!+";Hb!$UU"</f>
        <v>#REF!</v>
      </c>
      <c r="AS48" t="e">
        <f>#REF!+";Hb!$UV"</f>
        <v>#REF!</v>
      </c>
      <c r="AT48" t="e">
        <f>#REF!+";Hb!$UW"</f>
        <v>#REF!</v>
      </c>
      <c r="AU48" t="e">
        <f>#REF!+";Hb!$UX"</f>
        <v>#REF!</v>
      </c>
      <c r="AV48" t="e">
        <f>#REF!+";Hb!$UY"</f>
        <v>#REF!</v>
      </c>
      <c r="AW48" t="e">
        <f>#REF!+";Hb!$UZ"</f>
        <v>#REF!</v>
      </c>
      <c r="AX48" t="e">
        <f>#REF!+";Hb!$U["</f>
        <v>#REF!</v>
      </c>
      <c r="AY48" t="e">
        <f>#REF!+";Hb!$U\"</f>
        <v>#REF!</v>
      </c>
      <c r="AZ48" t="e">
        <f>#REF!+";Hb!$U]"</f>
        <v>#REF!</v>
      </c>
      <c r="BA48" t="e">
        <f>#REF!+";Hb!$U^"</f>
        <v>#REF!</v>
      </c>
      <c r="BB48" t="e">
        <f>#REF!+";Hb!$U_"</f>
        <v>#REF!</v>
      </c>
      <c r="BC48" t="e">
        <f>#REF!+";Hb!$U`"</f>
        <v>#REF!</v>
      </c>
      <c r="BD48" t="e">
        <f>#REF!+";Hb!$Ua"</f>
        <v>#REF!</v>
      </c>
      <c r="BE48" t="e">
        <f>#REF!+";Hb!$Ub"</f>
        <v>#REF!</v>
      </c>
      <c r="BF48" t="e">
        <f>#REF!+";Hb!$Uc"</f>
        <v>#REF!</v>
      </c>
      <c r="BG48" t="e">
        <f>#REF!+";Hb!$Ud"</f>
        <v>#REF!</v>
      </c>
      <c r="BH48" t="e">
        <f>#REF!+";Hb!$Ue"</f>
        <v>#REF!</v>
      </c>
      <c r="BI48" t="e">
        <f>#REF!+";Hb!$Uf"</f>
        <v>#REF!</v>
      </c>
      <c r="BJ48" t="e">
        <f>#REF!+";Hb!$Ug"</f>
        <v>#REF!</v>
      </c>
      <c r="BK48" t="e">
        <f>#REF!+";Hb!$Uh"</f>
        <v>#REF!</v>
      </c>
      <c r="BL48" t="e">
        <f>#REF!+";Hb!$Ui"</f>
        <v>#REF!</v>
      </c>
      <c r="BM48" t="e">
        <f>#REF!+";Hb!$Uj"</f>
        <v>#REF!</v>
      </c>
      <c r="BN48" t="e">
        <f>#REF!+";Hb!$Uk"</f>
        <v>#REF!</v>
      </c>
      <c r="BO48" t="e">
        <f>#REF!+";Hb!$Ul"</f>
        <v>#REF!</v>
      </c>
      <c r="BP48" t="e">
        <f>#REF!+";Hb!$Um"</f>
        <v>#REF!</v>
      </c>
      <c r="BQ48" t="e">
        <f>#REF!+";Hb!$Un"</f>
        <v>#REF!</v>
      </c>
      <c r="BR48" t="e">
        <f>#REF!+";Hb!$Uo"</f>
        <v>#REF!</v>
      </c>
      <c r="BS48" t="e">
        <f>#REF!+";Hb!$Up"</f>
        <v>#REF!</v>
      </c>
      <c r="BT48" t="e">
        <f>#REF!+";Hb!$Uq"</f>
        <v>#REF!</v>
      </c>
      <c r="BU48" t="e">
        <f>#REF!+";Hb!$Ur"</f>
        <v>#REF!</v>
      </c>
      <c r="BV48" t="e">
        <f>#REF!+";Hb!$Us"</f>
        <v>#REF!</v>
      </c>
      <c r="BW48" t="e">
        <f>#REF!+";Hb!$Ut"</f>
        <v>#REF!</v>
      </c>
      <c r="BX48" t="e">
        <f>#REF!+";Hb!$Uu"</f>
        <v>#REF!</v>
      </c>
      <c r="BY48" t="e">
        <f>#REF!+";Hb!$Uv"</f>
        <v>#REF!</v>
      </c>
      <c r="BZ48" t="e">
        <f>#REF!+";Hb!$Uw"</f>
        <v>#REF!</v>
      </c>
      <c r="CA48" t="e">
        <f>#REF!+";Hb!$Ux"</f>
        <v>#REF!</v>
      </c>
      <c r="CB48" t="e">
        <f>#REF!+";Hb!$Uy"</f>
        <v>#REF!</v>
      </c>
      <c r="CC48" t="e">
        <f>#REF!+";Hb!$Uz"</f>
        <v>#REF!</v>
      </c>
      <c r="CD48" t="e">
        <f>#REF!+";Hb!$U{"</f>
        <v>#REF!</v>
      </c>
      <c r="CE48" t="e">
        <f>#REF!+";Hb!$U|"</f>
        <v>#REF!</v>
      </c>
      <c r="CF48" t="e">
        <f>#REF!+";Hb!$U}"</f>
        <v>#REF!</v>
      </c>
      <c r="CG48" t="e">
        <f>#REF!+";Hb!$U~"</f>
        <v>#REF!</v>
      </c>
      <c r="CH48" t="e">
        <f>#REF!+";Hb!$V#"</f>
        <v>#REF!</v>
      </c>
      <c r="CI48" t="e">
        <f>#REF!+";Hb!$V$"</f>
        <v>#REF!</v>
      </c>
      <c r="CJ48" t="e">
        <f>#REF!+";Hb!$V%"</f>
        <v>#REF!</v>
      </c>
      <c r="CK48" t="e">
        <f>#REF!+";Hb!$V&amp;"</f>
        <v>#REF!</v>
      </c>
      <c r="CL48" t="e">
        <f>#REF!+";Hb!$V'"</f>
        <v>#REF!</v>
      </c>
      <c r="CM48" t="e">
        <f>#REF!+";Hb!$V("</f>
        <v>#REF!</v>
      </c>
      <c r="CN48" t="e">
        <f>#REF!+";Hb!$V)"</f>
        <v>#REF!</v>
      </c>
      <c r="CO48" t="e">
        <f>#REF!+";Hb!$V."</f>
        <v>#REF!</v>
      </c>
      <c r="CP48" t="e">
        <f>#REF!+";Hb!$V/"</f>
        <v>#REF!</v>
      </c>
      <c r="CQ48" t="e">
        <f>#REF!+";Hb!$V0"</f>
        <v>#REF!</v>
      </c>
      <c r="CR48" t="e">
        <f>#REF!+";Hb!$V1"</f>
        <v>#REF!</v>
      </c>
      <c r="CS48" t="e">
        <f>#REF!+";Hb!$V2"</f>
        <v>#REF!</v>
      </c>
      <c r="CT48" t="e">
        <f>#REF!+";Hb!$V3"</f>
        <v>#REF!</v>
      </c>
      <c r="CU48" t="e">
        <f>#REF!+";Hb!$V4"</f>
        <v>#REF!</v>
      </c>
      <c r="CV48" t="e">
        <f>#REF!+";Hb!$V5"</f>
        <v>#REF!</v>
      </c>
      <c r="CW48" t="e">
        <f>#REF!+";Hb!$V6"</f>
        <v>#REF!</v>
      </c>
      <c r="CX48" t="e">
        <f>#REF!+";Hb!$V7"</f>
        <v>#REF!</v>
      </c>
      <c r="CY48" t="e">
        <f>#REF!+";Hb!$V8"</f>
        <v>#REF!</v>
      </c>
      <c r="CZ48" t="e">
        <f>#REF!+";Hb!$V9"</f>
        <v>#REF!</v>
      </c>
      <c r="DA48" t="e">
        <f>#REF!+";Hb!$V:"</f>
        <v>#REF!</v>
      </c>
      <c r="DB48" t="e">
        <f>#REF!+";Hb!$V;"</f>
        <v>#REF!</v>
      </c>
      <c r="DC48" t="e">
        <f>#REF!+";Hb!$V&lt;"</f>
        <v>#REF!</v>
      </c>
      <c r="DD48" t="e">
        <f>#REF!+";Hb!$V="</f>
        <v>#REF!</v>
      </c>
      <c r="DE48" t="e">
        <f>#REF!+";Hb!$V&gt;"</f>
        <v>#REF!</v>
      </c>
      <c r="DF48" t="e">
        <f>#REF!+";Hb!$V?"</f>
        <v>#REF!</v>
      </c>
      <c r="DG48" t="e">
        <f>#REF!+";Hb!$V@"</f>
        <v>#REF!</v>
      </c>
      <c r="DH48" t="e">
        <f>#REF!+";Hb!$VA"</f>
        <v>#REF!</v>
      </c>
      <c r="DI48" t="e">
        <f>#REF!+";Hb!$VB"</f>
        <v>#REF!</v>
      </c>
      <c r="DJ48" t="e">
        <f>#REF!+";Hb!$VC"</f>
        <v>#REF!</v>
      </c>
      <c r="DK48" t="e">
        <f>#REF!+";Hb!$VD"</f>
        <v>#REF!</v>
      </c>
      <c r="DL48" t="e">
        <f>#REF!+";Hb!$VE"</f>
        <v>#REF!</v>
      </c>
      <c r="DM48" t="e">
        <f>#REF!+";Hb!$VF"</f>
        <v>#REF!</v>
      </c>
      <c r="DN48" t="e">
        <f>#REF!+";Hb!$VG"</f>
        <v>#REF!</v>
      </c>
      <c r="DO48" t="e">
        <f>#REF!+";Hb!$VH"</f>
        <v>#REF!</v>
      </c>
      <c r="DP48" t="e">
        <f>#REF!+";Hb!$VI"</f>
        <v>#REF!</v>
      </c>
      <c r="DQ48" t="e">
        <f>#REF!+";Hb!$VJ"</f>
        <v>#REF!</v>
      </c>
      <c r="DR48" t="e">
        <f>#REF!+";Hb!$VK"</f>
        <v>#REF!</v>
      </c>
      <c r="DS48" t="e">
        <f>#REF!+";Hb!$VL"</f>
        <v>#REF!</v>
      </c>
      <c r="DT48" t="e">
        <f>#REF!+";Hb!$VM"</f>
        <v>#REF!</v>
      </c>
      <c r="DU48" t="e">
        <f>#REF!+";Hb!$VN"</f>
        <v>#REF!</v>
      </c>
      <c r="DV48" t="e">
        <f>#REF!+";Hb!$VO"</f>
        <v>#REF!</v>
      </c>
      <c r="DW48" t="e">
        <f>#REF!+";Hb!$VP"</f>
        <v>#REF!</v>
      </c>
      <c r="DX48" t="e">
        <f>#REF!+";Hb!$VQ"</f>
        <v>#REF!</v>
      </c>
      <c r="DY48" t="e">
        <f>#REF!+";Hb!$VR"</f>
        <v>#REF!</v>
      </c>
      <c r="DZ48" t="e">
        <f>#REF!+";Hb!$VS"</f>
        <v>#REF!</v>
      </c>
      <c r="EA48" t="e">
        <f>#REF!+";Hb!$VT"</f>
        <v>#REF!</v>
      </c>
      <c r="EB48" t="e">
        <f>#REF!+";Hb!$VU"</f>
        <v>#REF!</v>
      </c>
      <c r="EC48" t="e">
        <f>#REF!+";Hb!$VV"</f>
        <v>#REF!</v>
      </c>
      <c r="ED48" t="e">
        <f>#REF!+";Hb!$VW"</f>
        <v>#REF!</v>
      </c>
      <c r="EE48" t="e">
        <f>#REF!+";Hb!$VX"</f>
        <v>#REF!</v>
      </c>
      <c r="EF48" t="e">
        <f>#REF!+";Hb!$VY"</f>
        <v>#REF!</v>
      </c>
      <c r="EG48" t="e">
        <f>#REF!+";Hb!$VZ"</f>
        <v>#REF!</v>
      </c>
      <c r="EH48" t="e">
        <f>#REF!+";Hb!$V["</f>
        <v>#REF!</v>
      </c>
      <c r="EI48" t="e">
        <f>#REF!+";Hb!$V\"</f>
        <v>#REF!</v>
      </c>
      <c r="EJ48" t="e">
        <f>#REF!+";Hb!$V]"</f>
        <v>#REF!</v>
      </c>
      <c r="EK48" t="e">
        <f>#REF!+";Hb!$V^"</f>
        <v>#REF!</v>
      </c>
      <c r="EL48" t="e">
        <f>#REF!+";Hb!$V_"</f>
        <v>#REF!</v>
      </c>
      <c r="EM48" t="e">
        <f>#REF!+";Hb!$V`"</f>
        <v>#REF!</v>
      </c>
      <c r="EN48" t="e">
        <f>#REF!+";Hb!$Va"</f>
        <v>#REF!</v>
      </c>
      <c r="EO48" t="e">
        <f>#REF!+";Hb!$Vb"</f>
        <v>#REF!</v>
      </c>
      <c r="EP48" t="e">
        <f>#REF!+";Hb!$Vc"</f>
        <v>#REF!</v>
      </c>
      <c r="EQ48" t="e">
        <f>#REF!+";Hb!$Vd"</f>
        <v>#REF!</v>
      </c>
      <c r="ER48" t="e">
        <f>#REF!+";Hb!$Ve"</f>
        <v>#REF!</v>
      </c>
      <c r="ES48" t="e">
        <f>#REF!+";Hb!$Vf"</f>
        <v>#REF!</v>
      </c>
      <c r="ET48" t="e">
        <f>#REF!+";Hb!$Vg"</f>
        <v>#REF!</v>
      </c>
      <c r="EU48" t="e">
        <f>#REF!+";Hb!$Vh"</f>
        <v>#REF!</v>
      </c>
      <c r="EV48" t="e">
        <f>#REF!+";Hb!$Vi"</f>
        <v>#REF!</v>
      </c>
      <c r="EW48" t="e">
        <f>#REF!+";Hb!$Vj"</f>
        <v>#REF!</v>
      </c>
      <c r="EX48" t="e">
        <f>#REF!+";Hb!$Vk"</f>
        <v>#REF!</v>
      </c>
      <c r="EY48" t="e">
        <f>#REF!+";Hb!$Vl"</f>
        <v>#REF!</v>
      </c>
      <c r="EZ48" t="e">
        <f>#REF!+";Hb!$Vm"</f>
        <v>#REF!</v>
      </c>
      <c r="FA48" t="e">
        <f>#REF!+";Hb!$Vn"</f>
        <v>#REF!</v>
      </c>
      <c r="FB48" t="e">
        <f>#REF!+";Hb!$Vo"</f>
        <v>#REF!</v>
      </c>
      <c r="FC48" t="e">
        <f>#REF!+";Hb!$Vp"</f>
        <v>#REF!</v>
      </c>
      <c r="FD48" t="e">
        <f>#REF!+";Hb!$Vq"</f>
        <v>#REF!</v>
      </c>
      <c r="FE48" t="e">
        <f>#REF!+";Hb!$Vr"</f>
        <v>#REF!</v>
      </c>
      <c r="FF48" t="e">
        <f>#REF!+";Hb!$Vs"</f>
        <v>#REF!</v>
      </c>
      <c r="FG48" t="e">
        <f>#REF!+";Hb!$Vt"</f>
        <v>#REF!</v>
      </c>
      <c r="FH48" t="e">
        <f>#REF!+";Hb!$Vu"</f>
        <v>#REF!</v>
      </c>
      <c r="FI48" t="e">
        <f>#REF!+";Hb!$Vv"</f>
        <v>#REF!</v>
      </c>
      <c r="FJ48" t="e">
        <f>#REF!+";Hb!$Vw"</f>
        <v>#REF!</v>
      </c>
      <c r="FK48" t="e">
        <f>#REF!+";Hb!$Vx"</f>
        <v>#REF!</v>
      </c>
      <c r="FL48" t="e">
        <f>#REF!+";Hb!$Vy"</f>
        <v>#REF!</v>
      </c>
      <c r="FM48" t="e">
        <f>#REF!+";Hb!$Vz"</f>
        <v>#REF!</v>
      </c>
      <c r="FN48" t="e">
        <f>#REF!+";Hb!$V{"</f>
        <v>#REF!</v>
      </c>
      <c r="FO48" t="e">
        <f>#REF!+";Hb!$V|"</f>
        <v>#REF!</v>
      </c>
      <c r="FP48" t="e">
        <f>#REF!+";Hb!$V}"</f>
        <v>#REF!</v>
      </c>
      <c r="FQ48" t="e">
        <f>#REF!+";Hb!$V~"</f>
        <v>#REF!</v>
      </c>
      <c r="FR48" t="e">
        <f>#REF!+";Hb!$W#"</f>
        <v>#REF!</v>
      </c>
      <c r="FS48" t="e">
        <f>#REF!+";Hb!$W$"</f>
        <v>#REF!</v>
      </c>
      <c r="FT48" t="e">
        <f>#REF!+";Hb!$W%"</f>
        <v>#REF!</v>
      </c>
      <c r="FU48" t="e">
        <f>#REF!+";Hb!$W&amp;"</f>
        <v>#REF!</v>
      </c>
      <c r="FV48" t="e">
        <f>#REF!+";Hb!$W'"</f>
        <v>#REF!</v>
      </c>
      <c r="FW48" t="e">
        <f>#REF!+";Hb!$W("</f>
        <v>#REF!</v>
      </c>
      <c r="FX48" t="e">
        <f>#REF!+";Hb!$W)"</f>
        <v>#REF!</v>
      </c>
      <c r="FY48" t="e">
        <f>#REF!+";Hb!$W."</f>
        <v>#REF!</v>
      </c>
      <c r="FZ48" t="e">
        <f>#REF!+";Hb!$W/"</f>
        <v>#REF!</v>
      </c>
      <c r="GA48" t="e">
        <f>#REF!+";Hb!$W0"</f>
        <v>#REF!</v>
      </c>
      <c r="GB48" t="e">
        <f>#REF!+";Hb!$W1"</f>
        <v>#REF!</v>
      </c>
      <c r="GC48" t="e">
        <f>#REF!+";Hb!$W2"</f>
        <v>#REF!</v>
      </c>
      <c r="GD48" t="e">
        <f>#REF!+";Hb!$W3"</f>
        <v>#REF!</v>
      </c>
      <c r="GE48" t="e">
        <f>#REF!+";Hb!$W4"</f>
        <v>#REF!</v>
      </c>
      <c r="GF48" t="e">
        <f>#REF!+";Hb!$W5"</f>
        <v>#REF!</v>
      </c>
      <c r="GG48" t="e">
        <f>#REF!+";Hb!$W6"</f>
        <v>#REF!</v>
      </c>
      <c r="GH48" t="e">
        <f>#REF!+";Hb!$W7"</f>
        <v>#REF!</v>
      </c>
      <c r="GI48" t="e">
        <f>#REF!+";Hb!$W8"</f>
        <v>#REF!</v>
      </c>
      <c r="GJ48" t="e">
        <f>#REF!+";Hb!$W9"</f>
        <v>#REF!</v>
      </c>
      <c r="GK48" t="e">
        <f>#REF!+";Hb!$W:"</f>
        <v>#REF!</v>
      </c>
      <c r="GL48" t="e">
        <f>#REF!+";Hb!$W;"</f>
        <v>#REF!</v>
      </c>
      <c r="GM48" t="e">
        <f>#REF!+";Hb!$W&lt;"</f>
        <v>#REF!</v>
      </c>
      <c r="GN48" t="e">
        <f>#REF!+";Hb!$W="</f>
        <v>#REF!</v>
      </c>
      <c r="GO48" t="e">
        <f>#REF!+";Hb!$W&gt;"</f>
        <v>#REF!</v>
      </c>
      <c r="GP48" t="e">
        <f>#REF!+";Hb!$W?"</f>
        <v>#REF!</v>
      </c>
      <c r="GQ48" t="e">
        <f>#REF!+";Hb!$W@"</f>
        <v>#REF!</v>
      </c>
      <c r="GR48" t="e">
        <f>#REF!+";Hb!$WA"</f>
        <v>#REF!</v>
      </c>
      <c r="GS48" t="e">
        <f>#REF!+";Hb!$WB"</f>
        <v>#REF!</v>
      </c>
      <c r="GT48" t="e">
        <f>#REF!+";Hb!$WC"</f>
        <v>#REF!</v>
      </c>
      <c r="GU48" t="e">
        <f>#REF!+";Hb!$WD"</f>
        <v>#REF!</v>
      </c>
      <c r="GV48" t="e">
        <f>#REF!+";Hb!$WE"</f>
        <v>#REF!</v>
      </c>
      <c r="GW48" t="e">
        <f>#REF!+";Hb!$WF"</f>
        <v>#REF!</v>
      </c>
      <c r="GX48" t="e">
        <f>#REF!+";Hb!$WG"</f>
        <v>#REF!</v>
      </c>
      <c r="GY48" t="e">
        <f>#REF!+";Hb!$WH"</f>
        <v>#REF!</v>
      </c>
      <c r="GZ48" t="e">
        <f>#REF!+";Hb!$WI"</f>
        <v>#REF!</v>
      </c>
      <c r="HA48" t="e">
        <f>#REF!+";Hb!$WJ"</f>
        <v>#REF!</v>
      </c>
      <c r="HB48" t="e">
        <f>#REF!+";Hb!$WK"</f>
        <v>#REF!</v>
      </c>
      <c r="HC48" t="e">
        <f>#REF!+";Hb!$WL"</f>
        <v>#REF!</v>
      </c>
      <c r="HD48" t="e">
        <f>#REF!+";Hb!$WM"</f>
        <v>#REF!</v>
      </c>
      <c r="HE48" t="e">
        <f>#REF!+";Hb!$WN"</f>
        <v>#REF!</v>
      </c>
      <c r="HF48" t="e">
        <f>#REF!+";Hb!$WO"</f>
        <v>#REF!</v>
      </c>
      <c r="HG48" t="e">
        <f>#REF!+";Hb!$WP"</f>
        <v>#REF!</v>
      </c>
      <c r="HH48" t="e">
        <f>#REF!+";Hb!$WQ"</f>
        <v>#REF!</v>
      </c>
      <c r="HI48" t="e">
        <f>#REF!+";Hb!$WR"</f>
        <v>#REF!</v>
      </c>
      <c r="HJ48" t="e">
        <f>#REF!+";Hb!$WS"</f>
        <v>#REF!</v>
      </c>
      <c r="HK48" t="e">
        <f>#REF!+";Hb!$WT"</f>
        <v>#REF!</v>
      </c>
      <c r="HL48" t="e">
        <f>#REF!+";Hb!$WU"</f>
        <v>#REF!</v>
      </c>
      <c r="HM48" t="e">
        <f>#REF!+";Hb!$WV"</f>
        <v>#REF!</v>
      </c>
      <c r="HN48" t="e">
        <f>#REF!+";Hb!$WW"</f>
        <v>#REF!</v>
      </c>
      <c r="HO48" t="e">
        <f>#REF!+";Hb!$WX"</f>
        <v>#REF!</v>
      </c>
      <c r="HP48" t="e">
        <f>#REF!+";Hb!$WY"</f>
        <v>#REF!</v>
      </c>
      <c r="HQ48" t="e">
        <f>#REF!+";Hb!$WZ"</f>
        <v>#REF!</v>
      </c>
      <c r="HR48" t="e">
        <f>#REF!+";Hb!$W["</f>
        <v>#REF!</v>
      </c>
      <c r="HS48" t="e">
        <f>#REF!+";Hb!$W\"</f>
        <v>#REF!</v>
      </c>
      <c r="HT48" t="e">
        <f>#REF!+";Hb!$W]"</f>
        <v>#REF!</v>
      </c>
      <c r="HU48" t="e">
        <f>#REF!+";Hb!$W^"</f>
        <v>#REF!</v>
      </c>
      <c r="HV48" t="e">
        <f>#REF!+";Hb!$W_"</f>
        <v>#REF!</v>
      </c>
      <c r="HW48" t="e">
        <f>#REF!+";Hb!$W`"</f>
        <v>#REF!</v>
      </c>
      <c r="HX48" t="e">
        <f>#REF!+";Hb!$Wa"</f>
        <v>#REF!</v>
      </c>
      <c r="HY48" t="e">
        <f>#REF!+";Hb!$Wb"</f>
        <v>#REF!</v>
      </c>
      <c r="HZ48" t="e">
        <f>#REF!+";Hb!$Wc"</f>
        <v>#REF!</v>
      </c>
      <c r="IA48" t="e">
        <f>#REF!+";Hb!$Wd"</f>
        <v>#REF!</v>
      </c>
      <c r="IB48" t="e">
        <f>#REF!+";Hb!$We"</f>
        <v>#REF!</v>
      </c>
      <c r="IC48" t="e">
        <f>#REF!+";Hb!$Wf"</f>
        <v>#REF!</v>
      </c>
      <c r="ID48" t="e">
        <f>#REF!+";Hb!$Wg"</f>
        <v>#REF!</v>
      </c>
      <c r="IE48" t="e">
        <f>#REF!+";Hb!$Wh"</f>
        <v>#REF!</v>
      </c>
      <c r="IF48" t="e">
        <f>#REF!+";Hb!$Wi"</f>
        <v>#REF!</v>
      </c>
      <c r="IG48" t="e">
        <f>#REF!+";Hb!$Wj"</f>
        <v>#REF!</v>
      </c>
      <c r="IH48" t="e">
        <f>#REF!+";Hb!$Wk"</f>
        <v>#REF!</v>
      </c>
      <c r="II48" t="e">
        <f>#REF!+";Hb!$Wl"</f>
        <v>#REF!</v>
      </c>
      <c r="IJ48" t="e">
        <f>#REF!+";Hb!$Wm"</f>
        <v>#REF!</v>
      </c>
      <c r="IK48" t="e">
        <f>#REF!+";Hb!$Wn"</f>
        <v>#REF!</v>
      </c>
      <c r="IL48" t="e">
        <f>#REF!+";Hb!$Wo"</f>
        <v>#REF!</v>
      </c>
      <c r="IM48" t="e">
        <f>#REF!+";Hb!$Wp"</f>
        <v>#REF!</v>
      </c>
      <c r="IN48" t="e">
        <f>#REF!+";Hb!$Wq"</f>
        <v>#REF!</v>
      </c>
      <c r="IO48" t="e">
        <f>#REF!+";Hb!$Wr"</f>
        <v>#REF!</v>
      </c>
      <c r="IP48" t="e">
        <f>#REF!+";Hb!$Ws"</f>
        <v>#REF!</v>
      </c>
      <c r="IQ48" t="e">
        <f>#REF!+";Hb!$Wt"</f>
        <v>#REF!</v>
      </c>
      <c r="IR48" t="e">
        <f>#REF!+";Hb!$Wu"</f>
        <v>#REF!</v>
      </c>
      <c r="IS48" t="e">
        <f>#REF!+";Hb!$Wv"</f>
        <v>#REF!</v>
      </c>
      <c r="IT48" t="e">
        <f>#REF!+";Hb!$Ww"</f>
        <v>#REF!</v>
      </c>
      <c r="IU48" t="e">
        <f>#REF!+";Hb!$Wx"</f>
        <v>#REF!</v>
      </c>
      <c r="IV48" t="e">
        <f>#REF!+";Hb!$Wy"</f>
        <v>#REF!</v>
      </c>
    </row>
    <row r="49" spans="6:256" x14ac:dyDescent="0.25">
      <c r="F49" t="e">
        <f>#REF!+";Hb!$Wz"</f>
        <v>#REF!</v>
      </c>
      <c r="G49" t="e">
        <f>#REF!+";Hb!$W{"</f>
        <v>#REF!</v>
      </c>
      <c r="H49" t="e">
        <f>#REF!+";Hb!$W|"</f>
        <v>#REF!</v>
      </c>
      <c r="I49" t="e">
        <f>#REF!+";Hb!$W}"</f>
        <v>#REF!</v>
      </c>
      <c r="J49" t="e">
        <f>#REF!+";Hb!$W~"</f>
        <v>#REF!</v>
      </c>
      <c r="K49" t="e">
        <f>#REF!+";Hb!$X#"</f>
        <v>#REF!</v>
      </c>
      <c r="L49" t="e">
        <f>#REF!+";Hb!$X$"</f>
        <v>#REF!</v>
      </c>
      <c r="M49" t="e">
        <f>#REF!+";Hb!$X%"</f>
        <v>#REF!</v>
      </c>
      <c r="N49" t="e">
        <f>#REF!+";Hb!$X&amp;"</f>
        <v>#REF!</v>
      </c>
      <c r="O49" t="e">
        <f>#REF!+";Hb!$X'"</f>
        <v>#REF!</v>
      </c>
      <c r="P49" t="e">
        <f>#REF!+";Hb!$X("</f>
        <v>#REF!</v>
      </c>
      <c r="Q49" t="e">
        <f>#REF!+";Hb!$X)"</f>
        <v>#REF!</v>
      </c>
      <c r="R49" t="e">
        <f>#REF!+";Hb!$X."</f>
        <v>#REF!</v>
      </c>
      <c r="S49" t="e">
        <f>#REF!+";Hb!$X/"</f>
        <v>#REF!</v>
      </c>
      <c r="T49" t="e">
        <f>#REF!+";Hb!$X0"</f>
        <v>#REF!</v>
      </c>
      <c r="U49" t="e">
        <f>#REF!+";Hb!$X1"</f>
        <v>#REF!</v>
      </c>
      <c r="V49" t="e">
        <f>#REF!+";Hb!$X2"</f>
        <v>#REF!</v>
      </c>
      <c r="W49" t="e">
        <f>#REF!+";Hb!$X3"</f>
        <v>#REF!</v>
      </c>
      <c r="X49" t="e">
        <f>#REF!+";Hb!$X4"</f>
        <v>#REF!</v>
      </c>
      <c r="Y49" t="e">
        <f>#REF!+";Hb!$X5"</f>
        <v>#REF!</v>
      </c>
      <c r="Z49" t="e">
        <f>#REF!+";Hb!$X6"</f>
        <v>#REF!</v>
      </c>
      <c r="AA49" t="e">
        <f>#REF!+";Hb!$X7"</f>
        <v>#REF!</v>
      </c>
      <c r="AB49" t="e">
        <f>#REF!+";Hb!$X8"</f>
        <v>#REF!</v>
      </c>
      <c r="AC49" t="e">
        <f>#REF!+";Hb!$X9"</f>
        <v>#REF!</v>
      </c>
      <c r="AD49" t="e">
        <f>#REF!+";Hb!$X:"</f>
        <v>#REF!</v>
      </c>
      <c r="AE49" t="e">
        <f>#REF!+";Hb!$X;"</f>
        <v>#REF!</v>
      </c>
      <c r="AF49" t="e">
        <f>#REF!+";Hb!$X&lt;"</f>
        <v>#REF!</v>
      </c>
      <c r="AG49" t="e">
        <f>#REF!+";Hb!$X="</f>
        <v>#REF!</v>
      </c>
      <c r="AH49" t="e">
        <f>#REF!+";Hb!$X&gt;"</f>
        <v>#REF!</v>
      </c>
      <c r="AI49" t="e">
        <f>#REF!+";Hb!$X?"</f>
        <v>#REF!</v>
      </c>
      <c r="AJ49" t="e">
        <f>#REF!+";Hb!$X@"</f>
        <v>#REF!</v>
      </c>
      <c r="AK49" t="e">
        <f>#REF!+";Hb!$XA"</f>
        <v>#REF!</v>
      </c>
      <c r="AL49" t="e">
        <f>#REF!+";Hb!$XB"</f>
        <v>#REF!</v>
      </c>
      <c r="AM49" t="e">
        <f>#REF!+";Hb!$XC"</f>
        <v>#REF!</v>
      </c>
      <c r="AN49" t="e">
        <f>#REF!+";Hb!$XD"</f>
        <v>#REF!</v>
      </c>
      <c r="AO49" t="e">
        <f>#REF!+";Hb!$XE"</f>
        <v>#REF!</v>
      </c>
      <c r="AP49" t="e">
        <f>#REF!+";Hb!$XF"</f>
        <v>#REF!</v>
      </c>
      <c r="AQ49" t="e">
        <f>#REF!+";Hb!$XG"</f>
        <v>#REF!</v>
      </c>
      <c r="AR49" t="e">
        <f>#REF!+";Hb!$XH"</f>
        <v>#REF!</v>
      </c>
      <c r="AS49" t="e">
        <f>#REF!+";Hb!$XI"</f>
        <v>#REF!</v>
      </c>
      <c r="AT49" t="e">
        <f>#REF!+";Hb!$XJ"</f>
        <v>#REF!</v>
      </c>
      <c r="AU49" t="e">
        <f>#REF!+";Hb!$XK"</f>
        <v>#REF!</v>
      </c>
      <c r="AV49" t="e">
        <f>#REF!+";Hb!$XL"</f>
        <v>#REF!</v>
      </c>
      <c r="AW49" t="e">
        <f>#REF!+";Hb!$XM"</f>
        <v>#REF!</v>
      </c>
      <c r="AX49" t="e">
        <f>#REF!+";Hb!$XN"</f>
        <v>#REF!</v>
      </c>
      <c r="AY49" t="e">
        <f>#REF!+";Hb!$XO"</f>
        <v>#REF!</v>
      </c>
      <c r="AZ49" t="e">
        <f>#REF!+";Hb!$XP"</f>
        <v>#REF!</v>
      </c>
      <c r="BA49" t="e">
        <f>#REF!+";Hb!$XQ"</f>
        <v>#REF!</v>
      </c>
      <c r="BB49" t="e">
        <f>#REF!+";Hb!$XR"</f>
        <v>#REF!</v>
      </c>
      <c r="BC49" t="e">
        <f>#REF!+";Hb!$XS"</f>
        <v>#REF!</v>
      </c>
      <c r="BD49" t="e">
        <f>#REF!+";Hb!$XT"</f>
        <v>#REF!</v>
      </c>
      <c r="BE49" t="e">
        <f>#REF!+";Hb!$XU"</f>
        <v>#REF!</v>
      </c>
      <c r="BF49" t="e">
        <f>#REF!+";Hb!$XV"</f>
        <v>#REF!</v>
      </c>
      <c r="BG49" t="e">
        <f>#REF!+";Hb!$XW"</f>
        <v>#REF!</v>
      </c>
      <c r="BH49" t="e">
        <f>#REF!+";Hb!$XX"</f>
        <v>#REF!</v>
      </c>
      <c r="BI49" t="e">
        <f>#REF!+";Hb!$XY"</f>
        <v>#REF!</v>
      </c>
      <c r="BJ49" t="e">
        <f>#REF!+";Hb!$XZ"</f>
        <v>#REF!</v>
      </c>
      <c r="BK49" t="e">
        <f>#REF!+";Hb!$X["</f>
        <v>#REF!</v>
      </c>
      <c r="BL49" t="e">
        <f>#REF!+";Hb!$X\"</f>
        <v>#REF!</v>
      </c>
      <c r="BM49" t="e">
        <f>#REF!+";Hb!$X]"</f>
        <v>#REF!</v>
      </c>
      <c r="BN49" t="e">
        <f>#REF!+";Hb!$X^"</f>
        <v>#REF!</v>
      </c>
      <c r="BO49" t="e">
        <f>#REF!+";Hb!$X_"</f>
        <v>#REF!</v>
      </c>
      <c r="BP49" t="e">
        <f>#REF!+";Hb!$X`"</f>
        <v>#REF!</v>
      </c>
      <c r="BQ49" t="e">
        <f>#REF!+";Hb!$Xa"</f>
        <v>#REF!</v>
      </c>
      <c r="BR49" t="e">
        <f>#REF!+";Hb!$Xb"</f>
        <v>#REF!</v>
      </c>
      <c r="BS49" t="e">
        <f>#REF!+";Hb!$Xc"</f>
        <v>#REF!</v>
      </c>
      <c r="BT49" t="e">
        <f>#REF!+";Hb!$Xd"</f>
        <v>#REF!</v>
      </c>
      <c r="BU49" t="e">
        <f>#REF!+";Hb!$Xe"</f>
        <v>#REF!</v>
      </c>
      <c r="BV49" t="e">
        <f>#REF!+";Hb!$Xf"</f>
        <v>#REF!</v>
      </c>
      <c r="BW49" t="e">
        <f>#REF!+";Hb!$Xg"</f>
        <v>#REF!</v>
      </c>
      <c r="BX49" t="e">
        <f>#REF!+";Hb!$Xh"</f>
        <v>#REF!</v>
      </c>
      <c r="BY49" t="e">
        <f>#REF!+";Hb!$Xi"</f>
        <v>#REF!</v>
      </c>
      <c r="BZ49" t="e">
        <f>#REF!+";Hb!$Xj"</f>
        <v>#REF!</v>
      </c>
      <c r="CA49" t="e">
        <f>#REF!+";Hb!$Xk"</f>
        <v>#REF!</v>
      </c>
      <c r="CB49" t="e">
        <f>#REF!+";Hb!$Xl"</f>
        <v>#REF!</v>
      </c>
      <c r="CC49" t="e">
        <f>#REF!+";Hb!$Xm"</f>
        <v>#REF!</v>
      </c>
      <c r="CD49" t="e">
        <f>#REF!+";Hb!$Xn"</f>
        <v>#REF!</v>
      </c>
      <c r="CE49" t="e">
        <f>#REF!+";Hb!$Xo"</f>
        <v>#REF!</v>
      </c>
      <c r="CF49" t="e">
        <f>#REF!+";Hb!$Xp"</f>
        <v>#REF!</v>
      </c>
      <c r="CG49" t="e">
        <f>#REF!+";Hb!$Xq"</f>
        <v>#REF!</v>
      </c>
      <c r="CH49" t="e">
        <f>#REF!+";Hb!$Xr"</f>
        <v>#REF!</v>
      </c>
      <c r="CI49" t="e">
        <f>#REF!+";Hb!$Xs"</f>
        <v>#REF!</v>
      </c>
      <c r="CJ49" t="e">
        <f>#REF!+";Hb!$Xt"</f>
        <v>#REF!</v>
      </c>
      <c r="CK49" t="e">
        <f>#REF!+";Hb!$Xu"</f>
        <v>#REF!</v>
      </c>
      <c r="CL49" t="e">
        <f>#REF!+";Hb!$Xv"</f>
        <v>#REF!</v>
      </c>
      <c r="CM49" t="e">
        <f>#REF!+";Hb!$Xw"</f>
        <v>#REF!</v>
      </c>
      <c r="CN49" t="e">
        <f>#REF!+";Hb!$Xx"</f>
        <v>#REF!</v>
      </c>
      <c r="CO49" t="e">
        <f>#REF!+";Hb!$Xy"</f>
        <v>#REF!</v>
      </c>
      <c r="CP49" t="e">
        <f>#REF!+";Hb!$Xz"</f>
        <v>#REF!</v>
      </c>
      <c r="CQ49" t="e">
        <f>#REF!+";Hb!$X{"</f>
        <v>#REF!</v>
      </c>
      <c r="CR49" t="e">
        <f>#REF!+";Hb!$X|"</f>
        <v>#REF!</v>
      </c>
      <c r="CS49" t="e">
        <f>#REF!+";Hb!$X}"</f>
        <v>#REF!</v>
      </c>
      <c r="CT49" t="e">
        <f>#REF!+";Hb!$X~"</f>
        <v>#REF!</v>
      </c>
      <c r="CU49" t="e">
        <f>#REF!+";Hb!$Y#"</f>
        <v>#REF!</v>
      </c>
      <c r="CV49" t="e">
        <f>#REF!+";Hb!$Y$"</f>
        <v>#REF!</v>
      </c>
      <c r="CW49" t="e">
        <f>#REF!+";Hb!$Y%"</f>
        <v>#REF!</v>
      </c>
      <c r="CX49" t="e">
        <f>#REF!+";Hb!$Y&amp;"</f>
        <v>#REF!</v>
      </c>
      <c r="CY49" t="e">
        <f>#REF!+";Hb!$Y'"</f>
        <v>#REF!</v>
      </c>
      <c r="CZ49" t="e">
        <f>#REF!+";Hb!$Y("</f>
        <v>#REF!</v>
      </c>
      <c r="DA49" t="e">
        <f>#REF!+";Hb!$Y)"</f>
        <v>#REF!</v>
      </c>
      <c r="DB49" t="e">
        <f>#REF!+";Hb!$Y."</f>
        <v>#REF!</v>
      </c>
      <c r="DC49" t="e">
        <f>#REF!+";Hb!$Y/"</f>
        <v>#REF!</v>
      </c>
      <c r="DD49" t="e">
        <f>#REF!+";Hb!$Y0"</f>
        <v>#REF!</v>
      </c>
      <c r="DE49" t="e">
        <f>#REF!+";Hb!$Y1"</f>
        <v>#REF!</v>
      </c>
      <c r="DF49" t="e">
        <f>#REF!+";Hb!$Y2"</f>
        <v>#REF!</v>
      </c>
      <c r="DG49" t="e">
        <f>#REF!+";Hb!$Y3"</f>
        <v>#REF!</v>
      </c>
      <c r="DH49" t="e">
        <f>#REF!+";Hb!$Y4"</f>
        <v>#REF!</v>
      </c>
      <c r="DI49" t="e">
        <f>#REF!+";Hb!$Y5"</f>
        <v>#REF!</v>
      </c>
      <c r="DJ49" t="e">
        <f>#REF!+";Hb!$Y6"</f>
        <v>#REF!</v>
      </c>
      <c r="DK49" t="e">
        <f>#REF!+";Hb!$Y7"</f>
        <v>#REF!</v>
      </c>
      <c r="DL49" t="e">
        <f>#REF!+";Hb!$Y8"</f>
        <v>#REF!</v>
      </c>
      <c r="DM49" t="e">
        <f>#REF!+";Hb!$Y9"</f>
        <v>#REF!</v>
      </c>
      <c r="DN49" t="e">
        <f>#REF!+";Hb!$Y:"</f>
        <v>#REF!</v>
      </c>
      <c r="DO49" t="e">
        <f>#REF!+";Hb!$Y;"</f>
        <v>#REF!</v>
      </c>
      <c r="DP49" t="e">
        <f>#REF!+";Hb!$Y&lt;"</f>
        <v>#REF!</v>
      </c>
      <c r="DQ49" t="e">
        <f>#REF!+";Hb!$Y="</f>
        <v>#REF!</v>
      </c>
      <c r="DR49" t="e">
        <f>#REF!+";Hb!$Y&gt;"</f>
        <v>#REF!</v>
      </c>
      <c r="DS49" t="e">
        <f>#REF!+";Hb!$Y?"</f>
        <v>#REF!</v>
      </c>
      <c r="DT49" t="e">
        <f>#REF!+";Hb!$Y@"</f>
        <v>#REF!</v>
      </c>
      <c r="DU49" t="e">
        <f>#REF!+";Hb!$YA"</f>
        <v>#REF!</v>
      </c>
      <c r="DV49" t="e">
        <f>#REF!+";Hb!$YB"</f>
        <v>#REF!</v>
      </c>
      <c r="DW49" t="e">
        <f>#REF!+";Hb!$YC"</f>
        <v>#REF!</v>
      </c>
      <c r="DX49" t="e">
        <f>#REF!+";Hb!$YD"</f>
        <v>#REF!</v>
      </c>
      <c r="DY49" t="e">
        <f>#REF!+";Hb!$YE"</f>
        <v>#REF!</v>
      </c>
      <c r="DZ49" t="e">
        <f>#REF!+";Hb!$YF"</f>
        <v>#REF!</v>
      </c>
      <c r="EA49" t="e">
        <f>#REF!+";Hb!$YG"</f>
        <v>#REF!</v>
      </c>
      <c r="EB49" t="e">
        <f>#REF!+";Hb!$YH"</f>
        <v>#REF!</v>
      </c>
      <c r="EC49" t="e">
        <f>#REF!+";Hb!$YI"</f>
        <v>#REF!</v>
      </c>
      <c r="ED49" t="e">
        <f>#REF!+";Hb!$YJ"</f>
        <v>#REF!</v>
      </c>
      <c r="EE49" t="e">
        <f>#REF!+";Hb!$YK"</f>
        <v>#REF!</v>
      </c>
      <c r="EF49" t="e">
        <f>#REF!+";Hb!$YL"</f>
        <v>#REF!</v>
      </c>
      <c r="EG49" t="e">
        <f>#REF!+";Hb!$YM"</f>
        <v>#REF!</v>
      </c>
      <c r="EH49" t="e">
        <f>#REF!+";Hb!$YN"</f>
        <v>#REF!</v>
      </c>
      <c r="EI49" t="e">
        <f>#REF!+";Hb!$YO"</f>
        <v>#REF!</v>
      </c>
      <c r="EJ49" t="e">
        <f>#REF!+";Hb!$YP"</f>
        <v>#REF!</v>
      </c>
      <c r="EK49" t="e">
        <f>#REF!+";Hb!$YQ"</f>
        <v>#REF!</v>
      </c>
      <c r="EL49" t="e">
        <f>#REF!+";Hb!$YR"</f>
        <v>#REF!</v>
      </c>
      <c r="EM49" t="e">
        <f>#REF!+";Hb!$YS"</f>
        <v>#REF!</v>
      </c>
      <c r="EN49" t="e">
        <f>#REF!+";Hb!$YT"</f>
        <v>#REF!</v>
      </c>
      <c r="EO49" t="e">
        <f>#REF!+";Hb!$YU"</f>
        <v>#REF!</v>
      </c>
      <c r="EP49" t="e">
        <f>#REF!+";Hb!$YV"</f>
        <v>#REF!</v>
      </c>
      <c r="EQ49" t="e">
        <f>#REF!+";Hb!$YW"</f>
        <v>#REF!</v>
      </c>
      <c r="ER49" t="e">
        <f>#REF!+";Hb!$YX"</f>
        <v>#REF!</v>
      </c>
      <c r="ES49" t="e">
        <f>#REF!+";Hb!$YY"</f>
        <v>#REF!</v>
      </c>
      <c r="ET49" t="e">
        <f>#REF!+";Hb!$YZ"</f>
        <v>#REF!</v>
      </c>
      <c r="EU49" t="e">
        <f>#REF!+";Hb!$Y["</f>
        <v>#REF!</v>
      </c>
      <c r="EV49" t="e">
        <f>#REF!+";Hb!$Y\"</f>
        <v>#REF!</v>
      </c>
      <c r="EW49" t="e">
        <f>#REF!+";Hb!$Y]"</f>
        <v>#REF!</v>
      </c>
      <c r="EX49" t="e">
        <f>#REF!+";Hb!$Y^"</f>
        <v>#REF!</v>
      </c>
      <c r="EY49" t="e">
        <f>#REF!+";Hb!$Y_"</f>
        <v>#REF!</v>
      </c>
      <c r="EZ49" t="e">
        <f>#REF!+";Hb!$Y`"</f>
        <v>#REF!</v>
      </c>
      <c r="FA49" t="e">
        <f>#REF!+";Hb!$Ya"</f>
        <v>#REF!</v>
      </c>
      <c r="FB49" t="e">
        <f>#REF!+";Hb!$Yb"</f>
        <v>#REF!</v>
      </c>
      <c r="FC49" t="e">
        <f>#REF!+";Hb!$Yc"</f>
        <v>#REF!</v>
      </c>
      <c r="FD49" t="e">
        <f>#REF!+";Hb!$Yd"</f>
        <v>#REF!</v>
      </c>
      <c r="FE49" t="e">
        <f>#REF!+";Hb!$Ye"</f>
        <v>#REF!</v>
      </c>
      <c r="FF49" t="e">
        <f>#REF!+";Hb!$Yf"</f>
        <v>#REF!</v>
      </c>
      <c r="FG49" t="e">
        <f>#REF!+";Hb!$Yg"</f>
        <v>#REF!</v>
      </c>
      <c r="FH49" t="e">
        <f>#REF!+";Hb!$Yh"</f>
        <v>#REF!</v>
      </c>
      <c r="FI49" t="e">
        <f>#REF!+";Hb!$Yi"</f>
        <v>#REF!</v>
      </c>
      <c r="FJ49" t="e">
        <f>#REF!+";Hb!$Yj"</f>
        <v>#REF!</v>
      </c>
      <c r="FK49" t="e">
        <f>#REF!+";Hb!$Yk"</f>
        <v>#REF!</v>
      </c>
      <c r="FL49" t="e">
        <f>#REF!+";Hb!$Yl"</f>
        <v>#REF!</v>
      </c>
      <c r="FM49" t="e">
        <f>#REF!+";Hb!$Ym"</f>
        <v>#REF!</v>
      </c>
      <c r="FN49" t="e">
        <f>#REF!+";Hb!$Yn"</f>
        <v>#REF!</v>
      </c>
      <c r="FO49" t="e">
        <f>#REF!+";Hb!$Yo"</f>
        <v>#REF!</v>
      </c>
      <c r="FP49" t="e">
        <f>#REF!+";Hb!$Yp"</f>
        <v>#REF!</v>
      </c>
      <c r="FQ49" t="e">
        <f>#REF!+";Hb!$Yq"</f>
        <v>#REF!</v>
      </c>
      <c r="FR49" t="e">
        <f>#REF!+";Hb!$Yr"</f>
        <v>#REF!</v>
      </c>
      <c r="FS49" t="e">
        <f>#REF!+";Hb!$Ys"</f>
        <v>#REF!</v>
      </c>
      <c r="FT49" t="e">
        <f>#REF!+";Hb!$Yt"</f>
        <v>#REF!</v>
      </c>
      <c r="FU49" t="e">
        <f>#REF!+";Hb!$Yu"</f>
        <v>#REF!</v>
      </c>
      <c r="FV49" t="e">
        <f>#REF!+";Hb!$Yv"</f>
        <v>#REF!</v>
      </c>
      <c r="FW49" t="e">
        <f>#REF!+";Hb!$Yw"</f>
        <v>#REF!</v>
      </c>
      <c r="FX49" t="e">
        <f>#REF!+";Hb!$Yx"</f>
        <v>#REF!</v>
      </c>
      <c r="FY49" t="e">
        <f>#REF!+";Hb!$Yy"</f>
        <v>#REF!</v>
      </c>
      <c r="FZ49" t="e">
        <f>#REF!+";Hb!$Yz"</f>
        <v>#REF!</v>
      </c>
      <c r="GA49" t="e">
        <f>#REF!+";Hb!$Y{"</f>
        <v>#REF!</v>
      </c>
      <c r="GB49" t="e">
        <f>#REF!+";Hb!$Y|"</f>
        <v>#REF!</v>
      </c>
      <c r="GC49" t="e">
        <f>#REF!+";Hb!$Y}"</f>
        <v>#REF!</v>
      </c>
      <c r="GD49" t="e">
        <f>#REF!+";Hb!$Y~"</f>
        <v>#REF!</v>
      </c>
      <c r="GE49" t="e">
        <f>#REF!+";Hb!$Z#"</f>
        <v>#REF!</v>
      </c>
      <c r="GF49" t="e">
        <f>#REF!+";Hb!$Z$"</f>
        <v>#REF!</v>
      </c>
      <c r="GG49" t="e">
        <f>#REF!+";Hb!$Z%"</f>
        <v>#REF!</v>
      </c>
      <c r="GH49" t="e">
        <f>#REF!+";Hb!$Z&amp;"</f>
        <v>#REF!</v>
      </c>
      <c r="GI49" t="e">
        <f>#REF!+";Hb!$Z'"</f>
        <v>#REF!</v>
      </c>
      <c r="GJ49" t="e">
        <f>#REF!+";Hb!$Z("</f>
        <v>#REF!</v>
      </c>
      <c r="GK49" t="e">
        <f>#REF!+";Hb!$Z)"</f>
        <v>#REF!</v>
      </c>
      <c r="GL49" t="e">
        <f>#REF!+";Hb!$Z."</f>
        <v>#REF!</v>
      </c>
      <c r="GM49" t="e">
        <f>#REF!+";Hb!$Z/"</f>
        <v>#REF!</v>
      </c>
      <c r="GN49" t="e">
        <f>#REF!+";Hb!$Z0"</f>
        <v>#REF!</v>
      </c>
      <c r="GO49" t="e">
        <f>#REF!+";Hb!$Z1"</f>
        <v>#REF!</v>
      </c>
      <c r="GP49" t="e">
        <f>#REF!+";Hb!$Z2"</f>
        <v>#REF!</v>
      </c>
      <c r="GQ49" t="e">
        <f>#REF!+";Hb!$Z3"</f>
        <v>#REF!</v>
      </c>
      <c r="GR49" t="e">
        <f>#REF!+";Hb!$Z4"</f>
        <v>#REF!</v>
      </c>
      <c r="GS49" t="e">
        <f>#REF!+";Hb!$Z5"</f>
        <v>#REF!</v>
      </c>
      <c r="GT49" t="e">
        <f>#REF!+";Hb!$Z6"</f>
        <v>#REF!</v>
      </c>
      <c r="GU49" t="e">
        <f>#REF!+";Hb!$Z7"</f>
        <v>#REF!</v>
      </c>
      <c r="GV49" t="e">
        <f>#REF!+";Hb!$Z8"</f>
        <v>#REF!</v>
      </c>
      <c r="GW49" t="e">
        <f>#REF!+";Hb!$Z9"</f>
        <v>#REF!</v>
      </c>
      <c r="GX49" t="e">
        <f>#REF!+";Hb!$Z:"</f>
        <v>#REF!</v>
      </c>
      <c r="GY49" t="e">
        <f>#REF!+";Hb!$Z;"</f>
        <v>#REF!</v>
      </c>
      <c r="GZ49" t="e">
        <f>#REF!+";Hb!$Z&lt;"</f>
        <v>#REF!</v>
      </c>
      <c r="HA49" t="e">
        <f>#REF!+";Hb!$Z="</f>
        <v>#REF!</v>
      </c>
      <c r="HB49" t="e">
        <f>#REF!+";Hb!$Z&gt;"</f>
        <v>#REF!</v>
      </c>
      <c r="HC49" t="e">
        <f>#REF!+";Hb!$Z?"</f>
        <v>#REF!</v>
      </c>
      <c r="HD49" t="e">
        <f>#REF!+";Hb!$Z@"</f>
        <v>#REF!</v>
      </c>
      <c r="HE49" t="e">
        <f>#REF!+";Hb!$ZA"</f>
        <v>#REF!</v>
      </c>
      <c r="HF49" t="e">
        <f>#REF!+";Hb!$ZB"</f>
        <v>#REF!</v>
      </c>
      <c r="HG49" t="e">
        <f>#REF!+";Hb!$ZC"</f>
        <v>#REF!</v>
      </c>
      <c r="HH49" t="e">
        <f>#REF!+";Hb!$ZD"</f>
        <v>#REF!</v>
      </c>
      <c r="HI49" t="e">
        <f>#REF!+";Hb!$ZE"</f>
        <v>#REF!</v>
      </c>
      <c r="HJ49" t="e">
        <f>#REF!+";Hb!$ZF"</f>
        <v>#REF!</v>
      </c>
      <c r="HK49" t="e">
        <f>#REF!+";Hb!$ZG"</f>
        <v>#REF!</v>
      </c>
      <c r="HL49" t="e">
        <f>#REF!+";Hb!$ZH"</f>
        <v>#REF!</v>
      </c>
      <c r="HM49" t="e">
        <f>#REF!+";Hb!$ZI"</f>
        <v>#REF!</v>
      </c>
      <c r="HN49" t="e">
        <f>#REF!+";Hb!$ZJ"</f>
        <v>#REF!</v>
      </c>
      <c r="HO49" t="e">
        <f>#REF!+";Hb!$ZK"</f>
        <v>#REF!</v>
      </c>
      <c r="HP49" t="e">
        <f>#REF!+";Hb!$ZL"</f>
        <v>#REF!</v>
      </c>
      <c r="HQ49" t="e">
        <f>#REF!+";Hb!$ZM"</f>
        <v>#REF!</v>
      </c>
      <c r="HR49" t="e">
        <f>#REF!+";Hb!$ZN"</f>
        <v>#REF!</v>
      </c>
      <c r="HS49" t="e">
        <f>#REF!+";Hb!$ZO"</f>
        <v>#REF!</v>
      </c>
      <c r="HT49" t="e">
        <f>#REF!+";Hb!$ZP"</f>
        <v>#REF!</v>
      </c>
      <c r="HU49" t="e">
        <f>#REF!+";Hb!$ZQ"</f>
        <v>#REF!</v>
      </c>
      <c r="HV49" t="e">
        <f>#REF!+";Hb!$ZR"</f>
        <v>#REF!</v>
      </c>
      <c r="HW49" t="e">
        <f>#REF!+";Hb!$ZS"</f>
        <v>#REF!</v>
      </c>
      <c r="HX49" t="e">
        <f>#REF!+";Hb!$ZT"</f>
        <v>#REF!</v>
      </c>
      <c r="HY49" t="e">
        <f>#REF!+";Hb!$ZU"</f>
        <v>#REF!</v>
      </c>
      <c r="HZ49" t="e">
        <f>#REF!+";Hb!$ZV"</f>
        <v>#REF!</v>
      </c>
      <c r="IA49" t="e">
        <f>#REF!+";Hb!$ZW"</f>
        <v>#REF!</v>
      </c>
      <c r="IB49" t="e">
        <f>#REF!+";Hb!$ZX"</f>
        <v>#REF!</v>
      </c>
      <c r="IC49" t="e">
        <f>#REF!+";Hb!$ZY"</f>
        <v>#REF!</v>
      </c>
      <c r="ID49" t="e">
        <f>#REF!+";Hb!$ZZ"</f>
        <v>#REF!</v>
      </c>
      <c r="IE49" t="e">
        <f>#REF!+";Hb!$Z["</f>
        <v>#REF!</v>
      </c>
      <c r="IF49" t="e">
        <f>#REF!+";Hb!$Z\"</f>
        <v>#REF!</v>
      </c>
      <c r="IG49" t="e">
        <f>#REF!+";Hb!$Z]"</f>
        <v>#REF!</v>
      </c>
      <c r="IH49" t="e">
        <f>#REF!+";Hb!$Z^"</f>
        <v>#REF!</v>
      </c>
      <c r="II49" t="e">
        <f>#REF!+";Hb!$Z_"</f>
        <v>#REF!</v>
      </c>
      <c r="IJ49" t="e">
        <f>#REF!+";Hb!$Z`"</f>
        <v>#REF!</v>
      </c>
      <c r="IK49" t="e">
        <f>#REF!+";Hb!$Za"</f>
        <v>#REF!</v>
      </c>
      <c r="IL49" t="e">
        <f>#REF!+";Hb!$Zb"</f>
        <v>#REF!</v>
      </c>
      <c r="IM49" t="e">
        <f>#REF!+";Hb!$Zc"</f>
        <v>#REF!</v>
      </c>
      <c r="IN49" t="e">
        <f>#REF!+";Hb!$Zd"</f>
        <v>#REF!</v>
      </c>
      <c r="IO49" t="e">
        <f>#REF!+";Hb!$Ze"</f>
        <v>#REF!</v>
      </c>
      <c r="IP49" t="e">
        <f>#REF!+";Hb!$Zf"</f>
        <v>#REF!</v>
      </c>
      <c r="IQ49" t="e">
        <f>#REF!+";Hb!$Zg"</f>
        <v>#REF!</v>
      </c>
      <c r="IR49" t="e">
        <f>#REF!+";Hb!$Zh"</f>
        <v>#REF!</v>
      </c>
      <c r="IS49" t="e">
        <f>#REF!+";Hb!$Zi"</f>
        <v>#REF!</v>
      </c>
      <c r="IT49" t="e">
        <f>#REF!+";Hb!$Zj"</f>
        <v>#REF!</v>
      </c>
      <c r="IU49" t="e">
        <f>#REF!+";Hb!$Zk"</f>
        <v>#REF!</v>
      </c>
      <c r="IV49" t="e">
        <f>#REF!+";Hb!$Zl"</f>
        <v>#REF!</v>
      </c>
    </row>
    <row r="50" spans="6:256" x14ac:dyDescent="0.25">
      <c r="F50" t="e">
        <f>#REF!+";Hb!$Zm"</f>
        <v>#REF!</v>
      </c>
      <c r="G50" t="e">
        <f>#REF!+";Hb!$Zn"</f>
        <v>#REF!</v>
      </c>
      <c r="H50" t="e">
        <f>#REF!+";Hb!$Zo"</f>
        <v>#REF!</v>
      </c>
      <c r="I50" t="e">
        <f>#REF!+";Hb!$Zp"</f>
        <v>#REF!</v>
      </c>
      <c r="J50" t="e">
        <f>#REF!+";Hb!$Zq"</f>
        <v>#REF!</v>
      </c>
      <c r="K50" t="e">
        <f>#REF!+";Hb!$Zr"</f>
        <v>#REF!</v>
      </c>
      <c r="L50" t="e">
        <f>#REF!+";Hb!$Zs"</f>
        <v>#REF!</v>
      </c>
      <c r="M50" t="e">
        <f>#REF!+";Hb!$Zt"</f>
        <v>#REF!</v>
      </c>
      <c r="N50" t="e">
        <f>#REF!+";Hb!$Zu"</f>
        <v>#REF!</v>
      </c>
      <c r="O50" t="e">
        <f>#REF!+";Hb!$Zv"</f>
        <v>#REF!</v>
      </c>
      <c r="P50" t="e">
        <f>#REF!+";Hb!$Zw"</f>
        <v>#REF!</v>
      </c>
      <c r="Q50" t="e">
        <f>#REF!+";Hb!$Zx"</f>
        <v>#REF!</v>
      </c>
      <c r="R50" t="e">
        <f>#REF!+";Hb!$Zy"</f>
        <v>#REF!</v>
      </c>
      <c r="S50" t="e">
        <f>#REF!+";Hb!$Zz"</f>
        <v>#REF!</v>
      </c>
      <c r="T50" t="e">
        <f>#REF!+";Hb!$Z{"</f>
        <v>#REF!</v>
      </c>
      <c r="U50" t="e">
        <f>#REF!+";Hb!$Z|"</f>
        <v>#REF!</v>
      </c>
      <c r="V50" t="e">
        <f>#REF!+";Hb!$Z}"</f>
        <v>#REF!</v>
      </c>
      <c r="W50" t="e">
        <f>#REF!+";Hb!$Z~"</f>
        <v>#REF!</v>
      </c>
      <c r="X50" t="e">
        <f>#REF!+";Hb!$[#"</f>
        <v>#REF!</v>
      </c>
      <c r="Y50" t="e">
        <f>#REF!+";Hb!$[$"</f>
        <v>#REF!</v>
      </c>
      <c r="Z50" t="e">
        <f>#REF!+";Hb!$[%"</f>
        <v>#REF!</v>
      </c>
      <c r="AA50" t="e">
        <f>#REF!+";Hb!$[&amp;"</f>
        <v>#REF!</v>
      </c>
      <c r="AB50" t="e">
        <f>#REF!+";Hb!$['"</f>
        <v>#REF!</v>
      </c>
      <c r="AC50" t="e">
        <f>#REF!+";Hb!$[("</f>
        <v>#REF!</v>
      </c>
      <c r="AD50" t="e">
        <f>#REF!+";Hb!$[)"</f>
        <v>#REF!</v>
      </c>
      <c r="AE50" t="e">
        <f>#REF!+";Hb!$[."</f>
        <v>#REF!</v>
      </c>
      <c r="AF50" t="e">
        <f>#REF!+";Hb!$[/"</f>
        <v>#REF!</v>
      </c>
      <c r="AG50" t="e">
        <f>#REF!+";Hb!$[0"</f>
        <v>#REF!</v>
      </c>
      <c r="AH50" t="e">
        <f>#REF!+";Hb!$[1"</f>
        <v>#REF!</v>
      </c>
      <c r="AI50" t="e">
        <f>#REF!+";Hb!$[2"</f>
        <v>#REF!</v>
      </c>
      <c r="AJ50" t="e">
        <f>#REF!+";Hb!$[3"</f>
        <v>#REF!</v>
      </c>
      <c r="AK50" t="e">
        <f>#REF!+";Hb!$[4"</f>
        <v>#REF!</v>
      </c>
      <c r="AL50" t="e">
        <f>#REF!+";Hb!$[5"</f>
        <v>#REF!</v>
      </c>
      <c r="AM50" t="e">
        <f>#REF!+";Hb!$[6"</f>
        <v>#REF!</v>
      </c>
      <c r="AN50" t="e">
        <f>#REF!+";Hb!$[7"</f>
        <v>#REF!</v>
      </c>
      <c r="AO50" t="e">
        <f>#REF!+";Hb!$[8"</f>
        <v>#REF!</v>
      </c>
      <c r="AP50" t="e">
        <f>#REF!+";Hb!$[9"</f>
        <v>#REF!</v>
      </c>
      <c r="AQ50" t="e">
        <f>#REF!+";Hb!$[:"</f>
        <v>#REF!</v>
      </c>
      <c r="AR50" t="e">
        <f>#REF!+";Hb!$[;"</f>
        <v>#REF!</v>
      </c>
      <c r="AS50" t="e">
        <f>#REF!+";Hb!$[&lt;"</f>
        <v>#REF!</v>
      </c>
      <c r="AT50" t="e">
        <f>#REF!+";Hb!$[="</f>
        <v>#REF!</v>
      </c>
      <c r="AU50" t="e">
        <f>#REF!+";Hb!$[&gt;"</f>
        <v>#REF!</v>
      </c>
      <c r="AV50" t="e">
        <f>#REF!+";Hb!$[?"</f>
        <v>#REF!</v>
      </c>
      <c r="AW50" t="e">
        <f>#REF!+";Hb!$[@"</f>
        <v>#REF!</v>
      </c>
      <c r="AX50" t="e">
        <f>#REF!+";Hb!$[A"</f>
        <v>#REF!</v>
      </c>
      <c r="AY50" t="e">
        <f>#REF!+";Hb!$[B"</f>
        <v>#REF!</v>
      </c>
      <c r="AZ50" t="e">
        <f>#REF!+";Hb!$[C"</f>
        <v>#REF!</v>
      </c>
      <c r="BA50" t="e">
        <f>#REF!+";Hb!$[D"</f>
        <v>#REF!</v>
      </c>
      <c r="BB50" t="e">
        <f>#REF!+";Hb!$[E"</f>
        <v>#REF!</v>
      </c>
      <c r="BC50" t="e">
        <f>#REF!+";Hb!$[F"</f>
        <v>#REF!</v>
      </c>
      <c r="BD50" t="e">
        <f>#REF!+";Hb!$[G"</f>
        <v>#REF!</v>
      </c>
      <c r="BE50" t="e">
        <f>#REF!+";Hb!$[H"</f>
        <v>#REF!</v>
      </c>
      <c r="BF50" t="e">
        <f>#REF!+";Hb!$[I"</f>
        <v>#REF!</v>
      </c>
      <c r="BG50" t="e">
        <f>#REF!+";Hb!$[J"</f>
        <v>#REF!</v>
      </c>
      <c r="BH50" t="e">
        <f>#REF!+";Hb!$[K"</f>
        <v>#REF!</v>
      </c>
      <c r="BI50" t="e">
        <f>#REF!+";Hb!$[L"</f>
        <v>#REF!</v>
      </c>
      <c r="BJ50" t="e">
        <f>#REF!+";Hb!$[M"</f>
        <v>#REF!</v>
      </c>
      <c r="BK50" t="e">
        <f>#REF!+";Hb!$[N"</f>
        <v>#REF!</v>
      </c>
      <c r="BL50" t="e">
        <f>#REF!+";Hb!$[O"</f>
        <v>#REF!</v>
      </c>
      <c r="BM50" t="e">
        <f>#REF!+";Hb!$[P"</f>
        <v>#REF!</v>
      </c>
      <c r="BN50" t="e">
        <f>#REF!+";Hb!$[Q"</f>
        <v>#REF!</v>
      </c>
      <c r="BO50" t="e">
        <f>#REF!+";Hb!$[R"</f>
        <v>#REF!</v>
      </c>
      <c r="BP50" t="e">
        <f>#REF!+";Hb!$[S"</f>
        <v>#REF!</v>
      </c>
      <c r="BQ50" t="e">
        <f>#REF!+";Hb!$[T"</f>
        <v>#REF!</v>
      </c>
      <c r="BR50" t="e">
        <f>#REF!+";Hb!$[U"</f>
        <v>#REF!</v>
      </c>
      <c r="BS50" t="e">
        <f>#REF!+";Hb!$[V"</f>
        <v>#REF!</v>
      </c>
      <c r="BT50" t="e">
        <f>#REF!+";Hb!$[W"</f>
        <v>#REF!</v>
      </c>
      <c r="BU50" t="e">
        <f>#REF!+";Hb!$[X"</f>
        <v>#REF!</v>
      </c>
      <c r="BV50" t="e">
        <f>#REF!+";Hb!$[Y"</f>
        <v>#REF!</v>
      </c>
      <c r="BW50" t="e">
        <f>#REF!+";Hb!$[Z"</f>
        <v>#REF!</v>
      </c>
      <c r="BX50" t="e">
        <f>#REF!+";Hb!$[["</f>
        <v>#REF!</v>
      </c>
      <c r="BY50" t="e">
        <f>#REF!+";Hb!$[\"</f>
        <v>#REF!</v>
      </c>
      <c r="BZ50" t="e">
        <f>#REF!+";Hb!$[]"</f>
        <v>#REF!</v>
      </c>
      <c r="CA50" t="e">
        <f>#REF!+";Hb!$[^"</f>
        <v>#REF!</v>
      </c>
      <c r="CB50" t="e">
        <f>#REF!+";Hb!$[_"</f>
        <v>#REF!</v>
      </c>
      <c r="CC50" t="e">
        <f>#REF!+";Hb!$[`"</f>
        <v>#REF!</v>
      </c>
      <c r="CD50" t="e">
        <f>#REF!+";Hb!$[a"</f>
        <v>#REF!</v>
      </c>
      <c r="CE50" t="e">
        <f>#REF!+";Hb!$[b"</f>
        <v>#REF!</v>
      </c>
      <c r="CF50" t="e">
        <f>#REF!+";Hb!$[c"</f>
        <v>#REF!</v>
      </c>
      <c r="CG50" t="e">
        <f>#REF!+";Hb!$[d"</f>
        <v>#REF!</v>
      </c>
      <c r="CH50" t="e">
        <f>#REF!+";Hb!$[e"</f>
        <v>#REF!</v>
      </c>
      <c r="CI50" t="e">
        <f>#REF!+";Hb!$[f"</f>
        <v>#REF!</v>
      </c>
      <c r="CJ50" t="e">
        <f>#REF!+";Hb!$[g"</f>
        <v>#REF!</v>
      </c>
      <c r="CK50" t="e">
        <f>#REF!+";Hb!$[h"</f>
        <v>#REF!</v>
      </c>
      <c r="CL50" t="e">
        <f>#REF!+";Hb!$[i"</f>
        <v>#REF!</v>
      </c>
      <c r="CM50" t="e">
        <f>#REF!+";Hb!$[j"</f>
        <v>#REF!</v>
      </c>
      <c r="CN50" t="e">
        <f>#REF!+";Hb!$[k"</f>
        <v>#REF!</v>
      </c>
      <c r="CO50" t="e">
        <f>#REF!+";Hb!$[l"</f>
        <v>#REF!</v>
      </c>
      <c r="CP50" t="e">
        <f>#REF!+";Hb!$[m"</f>
        <v>#REF!</v>
      </c>
      <c r="CQ50" t="e">
        <f>#REF!+";Hb!$[n"</f>
        <v>#REF!</v>
      </c>
      <c r="CR50" t="e">
        <f>#REF!+";Hb!$[o"</f>
        <v>#REF!</v>
      </c>
      <c r="CS50" t="e">
        <f>#REF!+";Hb!$[p"</f>
        <v>#REF!</v>
      </c>
      <c r="CT50" t="e">
        <f>#REF!+";Hb!$[q"</f>
        <v>#REF!</v>
      </c>
      <c r="CU50" t="e">
        <f>#REF!+";Hb!$[r"</f>
        <v>#REF!</v>
      </c>
      <c r="CV50" t="e">
        <f>#REF!+";Hb!$[s"</f>
        <v>#REF!</v>
      </c>
      <c r="CW50" t="e">
        <f>#REF!+";Hb!$[t"</f>
        <v>#REF!</v>
      </c>
      <c r="CX50" t="e">
        <f>#REF!+";Hb!$[u"</f>
        <v>#REF!</v>
      </c>
      <c r="CY50" t="e">
        <f>#REF!+";Hb!$[v"</f>
        <v>#REF!</v>
      </c>
      <c r="CZ50" t="e">
        <f>#REF!+";Hb!$[w"</f>
        <v>#REF!</v>
      </c>
      <c r="DA50" t="e">
        <f>#REF!+";Hb!$[x"</f>
        <v>#REF!</v>
      </c>
      <c r="DB50" t="e">
        <f>#REF!+";Hb!$[y"</f>
        <v>#REF!</v>
      </c>
      <c r="DC50" t="e">
        <f>#REF!+";Hb!$[z"</f>
        <v>#REF!</v>
      </c>
      <c r="DD50" t="e">
        <f>#REF!+";Hb!$[{"</f>
        <v>#REF!</v>
      </c>
      <c r="DE50" t="e">
        <f>#REF!+";Hb!$[|"</f>
        <v>#REF!</v>
      </c>
      <c r="DF50" t="e">
        <f>#REF!+";Hb!$[}"</f>
        <v>#REF!</v>
      </c>
      <c r="DG50" t="e">
        <f>#REF!+";Hb!$[~"</f>
        <v>#REF!</v>
      </c>
      <c r="DH50" t="e">
        <f>#REF!+";Hb!$\#"</f>
        <v>#REF!</v>
      </c>
      <c r="DI50" t="e">
        <f>#REF!+";Hb!$\$"</f>
        <v>#REF!</v>
      </c>
      <c r="DJ50" t="e">
        <f>#REF!+";Hb!$\%"</f>
        <v>#REF!</v>
      </c>
      <c r="DK50" t="e">
        <f>#REF!+";Hb!$\&amp;"</f>
        <v>#REF!</v>
      </c>
      <c r="DL50" t="e">
        <f>#REF!+";Hb!$\'"</f>
        <v>#REF!</v>
      </c>
      <c r="DM50" t="e">
        <f>#REF!+";Hb!$\("</f>
        <v>#REF!</v>
      </c>
      <c r="DN50" t="e">
        <f>#REF!+";Hb!$\)"</f>
        <v>#REF!</v>
      </c>
      <c r="DO50" t="e">
        <f>#REF!+";Hb!$\."</f>
        <v>#REF!</v>
      </c>
      <c r="DP50" t="e">
        <f>#REF!+";Hb!$\/"</f>
        <v>#REF!</v>
      </c>
      <c r="DQ50" t="e">
        <f>#REF!+";Hb!$\0"</f>
        <v>#REF!</v>
      </c>
      <c r="DR50" t="e">
        <f>#REF!+";Hb!$\1"</f>
        <v>#REF!</v>
      </c>
      <c r="DS50" t="e">
        <f>#REF!+";Hb!$\2"</f>
        <v>#REF!</v>
      </c>
      <c r="DT50" t="e">
        <f>#REF!+";Hb!$\3"</f>
        <v>#REF!</v>
      </c>
      <c r="DU50" t="e">
        <f>#REF!+";Hb!$\4"</f>
        <v>#REF!</v>
      </c>
      <c r="DV50" t="e">
        <f>#REF!+";Hb!$\5"</f>
        <v>#REF!</v>
      </c>
      <c r="DW50" t="e">
        <f>#REF!+";Hb!$\6"</f>
        <v>#REF!</v>
      </c>
      <c r="DX50" t="e">
        <f>#REF!+";Hb!$\7"</f>
        <v>#REF!</v>
      </c>
      <c r="DY50" t="e">
        <f>#REF!+";Hb!$\8"</f>
        <v>#REF!</v>
      </c>
      <c r="DZ50" t="e">
        <f>#REF!+";Hb!$\9"</f>
        <v>#REF!</v>
      </c>
      <c r="EA50" t="e">
        <f>#REF!+";Hb!$\:"</f>
        <v>#REF!</v>
      </c>
      <c r="EB50" t="e">
        <f>#REF!+";Hb!$\;"</f>
        <v>#REF!</v>
      </c>
      <c r="EC50" t="e">
        <f>#REF!+";Hb!$\&lt;"</f>
        <v>#REF!</v>
      </c>
      <c r="ED50" t="e">
        <f>#REF!+";Hb!$\="</f>
        <v>#REF!</v>
      </c>
      <c r="EE50" t="e">
        <f>#REF!+";Hb!$\&gt;"</f>
        <v>#REF!</v>
      </c>
      <c r="EF50" t="e">
        <f>#REF!+";Hb!$\?"</f>
        <v>#REF!</v>
      </c>
      <c r="EG50" t="e">
        <f>#REF!+";Hb!$\@"</f>
        <v>#REF!</v>
      </c>
      <c r="EH50" t="e">
        <f>#REF!+";Hb!$\A"</f>
        <v>#REF!</v>
      </c>
      <c r="EI50" t="e">
        <f>#REF!+";Hb!$\B"</f>
        <v>#REF!</v>
      </c>
      <c r="EJ50" t="e">
        <f>#REF!+";Hb!$\C"</f>
        <v>#REF!</v>
      </c>
      <c r="EK50" t="e">
        <f>#REF!+";Hb!$\D"</f>
        <v>#REF!</v>
      </c>
      <c r="EL50" t="e">
        <f>#REF!+";Hb!$\E"</f>
        <v>#REF!</v>
      </c>
      <c r="EM50" t="e">
        <f>#REF!+";Hb!$\F"</f>
        <v>#REF!</v>
      </c>
      <c r="EN50" t="e">
        <f>#REF!+";Hb!$\G"</f>
        <v>#REF!</v>
      </c>
      <c r="EO50" t="e">
        <f>#REF!+";Hb!$\H"</f>
        <v>#REF!</v>
      </c>
      <c r="EP50" t="e">
        <f>#REF!+";Hb!$\I"</f>
        <v>#REF!</v>
      </c>
      <c r="EQ50" t="e">
        <f>#REF!+";Hb!$\J"</f>
        <v>#REF!</v>
      </c>
      <c r="ER50" t="e">
        <f>#REF!+";Hb!$\K"</f>
        <v>#REF!</v>
      </c>
      <c r="ES50" t="e">
        <f>#REF!+";Hb!$\L"</f>
        <v>#REF!</v>
      </c>
      <c r="ET50" t="e">
        <f>#REF!+";Hb!$\M"</f>
        <v>#REF!</v>
      </c>
      <c r="EU50" t="e">
        <f>#REF!+";Hb!$\N"</f>
        <v>#REF!</v>
      </c>
      <c r="EV50" t="e">
        <f>#REF!+";Hb!$\O"</f>
        <v>#REF!</v>
      </c>
      <c r="EW50" t="e">
        <f>#REF!+";Hb!$\P"</f>
        <v>#REF!</v>
      </c>
      <c r="EX50" t="e">
        <f>#REF!+";Hb!$\Q"</f>
        <v>#REF!</v>
      </c>
      <c r="EY50" t="e">
        <f>#REF!+";Hb!$\R"</f>
        <v>#REF!</v>
      </c>
      <c r="EZ50" t="e">
        <f>#REF!+";Hb!$\S"</f>
        <v>#REF!</v>
      </c>
      <c r="FA50" t="e">
        <f>#REF!+";Hb!$\T"</f>
        <v>#REF!</v>
      </c>
      <c r="FB50" t="e">
        <f>#REF!+";Hb!$\U"</f>
        <v>#REF!</v>
      </c>
      <c r="FC50" t="e">
        <f>#REF!+";Hb!$\V"</f>
        <v>#REF!</v>
      </c>
      <c r="FD50" t="e">
        <f>#REF!+";Hb!$\W"</f>
        <v>#REF!</v>
      </c>
      <c r="FE50" t="e">
        <f>#REF!+";Hb!$\X"</f>
        <v>#REF!</v>
      </c>
      <c r="FF50" t="e">
        <f>#REF!+";Hb!$\Y"</f>
        <v>#REF!</v>
      </c>
      <c r="FG50" t="e">
        <f>#REF!+";Hb!$\Z"</f>
        <v>#REF!</v>
      </c>
      <c r="FH50" t="e">
        <f>#REF!+";Hb!$\["</f>
        <v>#REF!</v>
      </c>
      <c r="FI50" t="e">
        <f>#REF!+";Hb!$\\"</f>
        <v>#REF!</v>
      </c>
      <c r="FJ50" t="e">
        <f>#REF!+";Hb!$\]"</f>
        <v>#REF!</v>
      </c>
      <c r="FK50" t="e">
        <f>#REF!+";Hb!$\^"</f>
        <v>#REF!</v>
      </c>
      <c r="FL50" t="e">
        <f>#REF!+";Hb!$\_"</f>
        <v>#REF!</v>
      </c>
      <c r="FM50" t="e">
        <f>#REF!+";Hb!$\`"</f>
        <v>#REF!</v>
      </c>
      <c r="FN50" t="e">
        <f>#REF!+";Hb!$\a"</f>
        <v>#REF!</v>
      </c>
      <c r="FO50" t="e">
        <f>#REF!+";Hb!$\b"</f>
        <v>#REF!</v>
      </c>
      <c r="FP50" t="e">
        <f>#REF!+";Hb!$\c"</f>
        <v>#REF!</v>
      </c>
      <c r="FQ50" t="e">
        <f>#REF!+";Hb!$\d"</f>
        <v>#REF!</v>
      </c>
      <c r="FR50" t="e">
        <f>#REF!+";Hb!$\e"</f>
        <v>#REF!</v>
      </c>
      <c r="FS50" t="e">
        <f>#REF!+";Hb!$\f"</f>
        <v>#REF!</v>
      </c>
      <c r="FT50" t="e">
        <f>#REF!+";Hb!$\g"</f>
        <v>#REF!</v>
      </c>
      <c r="FU50" t="e">
        <f>#REF!+";Hb!$\h"</f>
        <v>#REF!</v>
      </c>
      <c r="FV50" t="e">
        <f>#REF!+";Hb!$\i"</f>
        <v>#REF!</v>
      </c>
      <c r="FW50" t="e">
        <f>#REF!+";Hb!$\j"</f>
        <v>#REF!</v>
      </c>
      <c r="FX50" t="e">
        <f>#REF!+";Hb!$\k"</f>
        <v>#REF!</v>
      </c>
      <c r="FY50" t="e">
        <f>#REF!+";Hb!$\l"</f>
        <v>#REF!</v>
      </c>
      <c r="FZ50" t="e">
        <f>#REF!+";Hb!$\m"</f>
        <v>#REF!</v>
      </c>
      <c r="GA50" t="e">
        <f>#REF!+";Hb!$\n"</f>
        <v>#REF!</v>
      </c>
      <c r="GB50" t="e">
        <f>#REF!+";Hb!$\o"</f>
        <v>#REF!</v>
      </c>
      <c r="GC50" t="e">
        <f>#REF!+";Hb!$\p"</f>
        <v>#REF!</v>
      </c>
      <c r="GD50" t="e">
        <f>#REF!+";Hb!$\q"</f>
        <v>#REF!</v>
      </c>
      <c r="GE50" t="e">
        <f>#REF!+";Hb!$\r"</f>
        <v>#REF!</v>
      </c>
      <c r="GF50" t="e">
        <f>#REF!+";Hb!$\s"</f>
        <v>#REF!</v>
      </c>
      <c r="GG50" t="e">
        <f>#REF!+";Hb!$\t"</f>
        <v>#REF!</v>
      </c>
      <c r="GH50" t="e">
        <f>#REF!+";Hb!$\u"</f>
        <v>#REF!</v>
      </c>
      <c r="GI50" t="e">
        <f>#REF!+";Hb!$\v"</f>
        <v>#REF!</v>
      </c>
      <c r="GJ50" t="e">
        <f>#REF!+";Hb!$\w"</f>
        <v>#REF!</v>
      </c>
      <c r="GK50" t="e">
        <f>#REF!+";Hb!$\x"</f>
        <v>#REF!</v>
      </c>
      <c r="GL50" t="e">
        <f>#REF!+";Hb!$\y"</f>
        <v>#REF!</v>
      </c>
      <c r="GM50" t="e">
        <f>#REF!+";Hb!$\z"</f>
        <v>#REF!</v>
      </c>
      <c r="GN50" t="e">
        <f>#REF!+";Hb!$\{"</f>
        <v>#REF!</v>
      </c>
      <c r="GO50" t="e">
        <f>#REF!+";Hb!$\|"</f>
        <v>#REF!</v>
      </c>
      <c r="GP50" t="e">
        <f>#REF!+";Hb!$\}"</f>
        <v>#REF!</v>
      </c>
      <c r="GQ50" t="e">
        <f>#REF!+";Hb!$\~"</f>
        <v>#REF!</v>
      </c>
      <c r="GR50" t="e">
        <f>#REF!+";Hb!$]#"</f>
        <v>#REF!</v>
      </c>
      <c r="GS50" t="e">
        <f>#REF!+";Hb!$]$"</f>
        <v>#REF!</v>
      </c>
      <c r="GT50" t="e">
        <f>#REF!+";Hb!$]%"</f>
        <v>#REF!</v>
      </c>
      <c r="GU50" t="e">
        <f>#REF!+";Hb!$]&amp;"</f>
        <v>#REF!</v>
      </c>
      <c r="GV50" t="e">
        <f>#REF!+";Hb!$]'"</f>
        <v>#REF!</v>
      </c>
      <c r="GW50" t="e">
        <f>#REF!+";Hb!$]("</f>
        <v>#REF!</v>
      </c>
      <c r="GX50" t="e">
        <f>#REF!+";Hb!$])"</f>
        <v>#REF!</v>
      </c>
      <c r="GY50" t="e">
        <f>#REF!+";Hb!$]."</f>
        <v>#REF!</v>
      </c>
      <c r="GZ50" t="e">
        <f>#REF!+";Hb!$]/"</f>
        <v>#REF!</v>
      </c>
      <c r="HA50" t="e">
        <f>#REF!+";Hb!$]0"</f>
        <v>#REF!</v>
      </c>
      <c r="HB50" t="e">
        <f>#REF!+";Hb!$]1"</f>
        <v>#REF!</v>
      </c>
      <c r="HC50" t="e">
        <f>#REF!+";Hb!$]2"</f>
        <v>#REF!</v>
      </c>
      <c r="HD50" t="e">
        <f>#REF!+";Hb!$]3"</f>
        <v>#REF!</v>
      </c>
      <c r="HE50" t="e">
        <f>#REF!+";Hb!$]4"</f>
        <v>#REF!</v>
      </c>
      <c r="HF50" t="e">
        <f>#REF!+";Hb!$]5"</f>
        <v>#REF!</v>
      </c>
      <c r="HG50" t="e">
        <f>#REF!+";Hb!$]6"</f>
        <v>#REF!</v>
      </c>
      <c r="HH50" t="e">
        <f>#REF!+";Hb!$]7"</f>
        <v>#REF!</v>
      </c>
      <c r="HI50" t="e">
        <f>#REF!+";Hb!$]8"</f>
        <v>#REF!</v>
      </c>
      <c r="HJ50" t="e">
        <f>#REF!+";Hb!$]9"</f>
        <v>#REF!</v>
      </c>
      <c r="HK50" t="e">
        <f>#REF!+";Hb!$]:"</f>
        <v>#REF!</v>
      </c>
      <c r="HL50" t="e">
        <f>#REF!+";Hb!$];"</f>
        <v>#REF!</v>
      </c>
      <c r="HM50" t="e">
        <f>#REF!+";Hb!$]&lt;"</f>
        <v>#REF!</v>
      </c>
      <c r="HN50" t="e">
        <f>#REF!+";Hb!$]="</f>
        <v>#REF!</v>
      </c>
      <c r="HO50" t="e">
        <f>#REF!+";Hb!$]&gt;"</f>
        <v>#REF!</v>
      </c>
      <c r="HP50" t="e">
        <f>#REF!+";Hb!$]?"</f>
        <v>#REF!</v>
      </c>
      <c r="HQ50" t="e">
        <f>#REF!+";Hb!$]@"</f>
        <v>#REF!</v>
      </c>
      <c r="HR50" t="e">
        <f>#REF!+";Hb!$]A"</f>
        <v>#REF!</v>
      </c>
      <c r="HS50" t="e">
        <f>#REF!+";Hb!$]B"</f>
        <v>#REF!</v>
      </c>
      <c r="HT50" t="e">
        <f>#REF!+";Hb!$]C"</f>
        <v>#REF!</v>
      </c>
      <c r="HU50" t="e">
        <f>#REF!+";Hb!$]D"</f>
        <v>#REF!</v>
      </c>
      <c r="HV50" t="e">
        <f>#REF!+";Hb!$]E"</f>
        <v>#REF!</v>
      </c>
      <c r="HW50" t="e">
        <f>#REF!+";Hb!$]F"</f>
        <v>#REF!</v>
      </c>
      <c r="HX50" t="e">
        <f>#REF!+";Hb!$]G"</f>
        <v>#REF!</v>
      </c>
      <c r="HY50" t="e">
        <f>#REF!+";Hb!$]H"</f>
        <v>#REF!</v>
      </c>
      <c r="HZ50" t="e">
        <f>#REF!+";Hb!$]I"</f>
        <v>#REF!</v>
      </c>
      <c r="IA50" t="e">
        <f>#REF!+";Hb!$]J"</f>
        <v>#REF!</v>
      </c>
      <c r="IB50" t="e">
        <f>#REF!+";Hb!$]K"</f>
        <v>#REF!</v>
      </c>
      <c r="IC50" t="e">
        <f>#REF!+";Hb!$]L"</f>
        <v>#REF!</v>
      </c>
      <c r="ID50" t="e">
        <f>#REF!+";Hb!$]M"</f>
        <v>#REF!</v>
      </c>
      <c r="IE50" t="e">
        <f>#REF!+";Hb!$]N"</f>
        <v>#REF!</v>
      </c>
      <c r="IF50" t="e">
        <f>#REF!+";Hb!$]O"</f>
        <v>#REF!</v>
      </c>
      <c r="IG50" t="e">
        <f>#REF!+";Hb!$]P"</f>
        <v>#REF!</v>
      </c>
      <c r="IH50" t="e">
        <f>#REF!+";Hb!$]Q"</f>
        <v>#REF!</v>
      </c>
      <c r="II50" t="e">
        <f>#REF!+";Hb!$]R"</f>
        <v>#REF!</v>
      </c>
      <c r="IJ50" t="e">
        <f>#REF!+";Hb!$]S"</f>
        <v>#REF!</v>
      </c>
      <c r="IK50" t="e">
        <f>#REF!+";Hb!$]T"</f>
        <v>#REF!</v>
      </c>
      <c r="IL50" t="e">
        <f>#REF!+";Hb!$]U"</f>
        <v>#REF!</v>
      </c>
      <c r="IM50" t="e">
        <f>#REF!+";Hb!$]V"</f>
        <v>#REF!</v>
      </c>
      <c r="IN50" t="e">
        <f>#REF!+";Hb!$]W"</f>
        <v>#REF!</v>
      </c>
      <c r="IO50" t="e">
        <f>#REF!+";Hb!$]X"</f>
        <v>#REF!</v>
      </c>
      <c r="IP50" t="e">
        <f>#REF!+";Hb!$]Y"</f>
        <v>#REF!</v>
      </c>
      <c r="IQ50" t="e">
        <f>#REF!+";Hb!$]Z"</f>
        <v>#REF!</v>
      </c>
      <c r="IR50" t="e">
        <f>#REF!+";Hb!$]["</f>
        <v>#REF!</v>
      </c>
      <c r="IS50" t="e">
        <f>#REF!+";Hb!$]\"</f>
        <v>#REF!</v>
      </c>
      <c r="IT50" t="e">
        <f>#REF!+";Hb!$]]"</f>
        <v>#REF!</v>
      </c>
      <c r="IU50" t="e">
        <f>#REF!+";Hb!$]^"</f>
        <v>#REF!</v>
      </c>
      <c r="IV50" t="e">
        <f>#REF!+";Hb!$]_"</f>
        <v>#REF!</v>
      </c>
    </row>
    <row r="51" spans="6:256" x14ac:dyDescent="0.25">
      <c r="F51" t="e">
        <f>#REF!+";Hb!$]`"</f>
        <v>#REF!</v>
      </c>
      <c r="G51" t="e">
        <f>#REF!+";Hb!$]a"</f>
        <v>#REF!</v>
      </c>
      <c r="H51" t="e">
        <f>#REF!+";Hb!$]b"</f>
        <v>#REF!</v>
      </c>
      <c r="I51" t="e">
        <f>#REF!+";Hb!$]c"</f>
        <v>#REF!</v>
      </c>
      <c r="J51" t="e">
        <f>#REF!+";Hb!$]d"</f>
        <v>#REF!</v>
      </c>
      <c r="K51" t="e">
        <f>#REF!+";Hb!$]e"</f>
        <v>#REF!</v>
      </c>
      <c r="L51" t="e">
        <f>#REF!+";Hb!$]f"</f>
        <v>#REF!</v>
      </c>
      <c r="M51" t="e">
        <f>#REF!+";Hb!$]g"</f>
        <v>#REF!</v>
      </c>
      <c r="N51" t="e">
        <f>#REF!+";Hb!$]h"</f>
        <v>#REF!</v>
      </c>
      <c r="O51" t="e">
        <f>#REF!+";Hb!$]i"</f>
        <v>#REF!</v>
      </c>
      <c r="P51" t="e">
        <f>#REF!+";Hb!$]j"</f>
        <v>#REF!</v>
      </c>
      <c r="Q51" t="e">
        <f>#REF!+";Hb!$]k"</f>
        <v>#REF!</v>
      </c>
      <c r="R51" t="e">
        <f>#REF!+";Hb!$]l"</f>
        <v>#REF!</v>
      </c>
      <c r="S51" t="e">
        <f>#REF!+";Hb!$]m"</f>
        <v>#REF!</v>
      </c>
      <c r="T51" t="e">
        <f>#REF!+";Hb!$]n"</f>
        <v>#REF!</v>
      </c>
      <c r="U51" t="e">
        <f>#REF!+";Hb!$]o"</f>
        <v>#REF!</v>
      </c>
      <c r="V51" t="e">
        <f>#REF!+";Hb!$]p"</f>
        <v>#REF!</v>
      </c>
      <c r="W51" t="e">
        <f>#REF!+";Hb!$]q"</f>
        <v>#REF!</v>
      </c>
      <c r="X51" t="e">
        <f>#REF!+";Hb!$]r"</f>
        <v>#REF!</v>
      </c>
      <c r="Y51" t="e">
        <f>#REF!+";Hb!$]s"</f>
        <v>#REF!</v>
      </c>
      <c r="Z51" t="e">
        <f>#REF!+";Hb!$]t"</f>
        <v>#REF!</v>
      </c>
      <c r="AA51" t="e">
        <f>#REF!+";Hb!$]u"</f>
        <v>#REF!</v>
      </c>
      <c r="AB51" t="e">
        <f>#REF!+";Hb!$]v"</f>
        <v>#REF!</v>
      </c>
      <c r="AC51" t="e">
        <f>#REF!+";Hb!$]w"</f>
        <v>#REF!</v>
      </c>
      <c r="AD51" t="e">
        <f>#REF!+";Hb!$]x"</f>
        <v>#REF!</v>
      </c>
      <c r="AE51" t="e">
        <f>#REF!+";Hb!$]y"</f>
        <v>#REF!</v>
      </c>
      <c r="AF51" t="e">
        <f>#REF!+";Hb!$]z"</f>
        <v>#REF!</v>
      </c>
      <c r="AG51" t="e">
        <f>#REF!+";Hb!$]{"</f>
        <v>#REF!</v>
      </c>
      <c r="AH51" t="e">
        <f>#REF!+";Hb!$]|"</f>
        <v>#REF!</v>
      </c>
      <c r="AI51" t="e">
        <f>#REF!+";Hb!$]}"</f>
        <v>#REF!</v>
      </c>
      <c r="AJ51" t="e">
        <f>#REF!+";Hb!$]~"</f>
        <v>#REF!</v>
      </c>
      <c r="AK51" t="e">
        <f>#REF!+";Hb!$^#"</f>
        <v>#REF!</v>
      </c>
      <c r="AL51" t="e">
        <f>#REF!+";Hb!$^$"</f>
        <v>#REF!</v>
      </c>
      <c r="AM51" t="e">
        <f>#REF!+";Hb!$^%"</f>
        <v>#REF!</v>
      </c>
      <c r="AN51" t="e">
        <f>#REF!+";Hb!$^&amp;"</f>
        <v>#REF!</v>
      </c>
      <c r="AO51" t="e">
        <f>#REF!+";Hb!$^'"</f>
        <v>#REF!</v>
      </c>
      <c r="AP51" t="e">
        <f>#REF!+";Hb!$^("</f>
        <v>#REF!</v>
      </c>
      <c r="AQ51" t="e">
        <f>#REF!+";Hb!$^)"</f>
        <v>#REF!</v>
      </c>
      <c r="AR51" t="e">
        <f>#REF!+";Hb!$^."</f>
        <v>#REF!</v>
      </c>
      <c r="AS51" t="e">
        <f>#REF!+";Hb!$^/"</f>
        <v>#REF!</v>
      </c>
      <c r="AT51" t="e">
        <f>#REF!+";Hb!$^0"</f>
        <v>#REF!</v>
      </c>
      <c r="AU51" t="e">
        <f>#REF!+";Hb!$^1"</f>
        <v>#REF!</v>
      </c>
      <c r="AV51" t="e">
        <f>#REF!+";Hb!$^2"</f>
        <v>#REF!</v>
      </c>
      <c r="AW51" t="e">
        <f>#REF!+";Hb!$^3"</f>
        <v>#REF!</v>
      </c>
      <c r="AX51" t="e">
        <f>#REF!+";Hb!$^4"</f>
        <v>#REF!</v>
      </c>
      <c r="AY51" t="e">
        <f>#REF!+";Hb!$^5"</f>
        <v>#REF!</v>
      </c>
      <c r="AZ51" t="e">
        <f>#REF!+";Hb!$^6"</f>
        <v>#REF!</v>
      </c>
      <c r="BA51" t="e">
        <f>#REF!+";Hb!$^7"</f>
        <v>#REF!</v>
      </c>
      <c r="BB51" t="e">
        <f>#REF!+";Hb!$^8"</f>
        <v>#REF!</v>
      </c>
      <c r="BC51" t="e">
        <f>#REF!+";Hb!$^9"</f>
        <v>#REF!</v>
      </c>
      <c r="BD51" t="e">
        <f>#REF!+";Hb!$^:"</f>
        <v>#REF!</v>
      </c>
      <c r="BE51" t="e">
        <f>#REF!+";Hb!$^;"</f>
        <v>#REF!</v>
      </c>
      <c r="BF51" t="e">
        <f>#REF!+";Hb!$^&lt;"</f>
        <v>#REF!</v>
      </c>
      <c r="BG51" t="e">
        <f>#REF!+";Hb!$^="</f>
        <v>#REF!</v>
      </c>
      <c r="BH51" t="e">
        <f>#REF!+";Hb!$^&gt;"</f>
        <v>#REF!</v>
      </c>
      <c r="BI51" t="e">
        <f>#REF!+";Hb!$^?"</f>
        <v>#REF!</v>
      </c>
      <c r="BJ51" t="e">
        <f>#REF!+";Hb!$^@"</f>
        <v>#REF!</v>
      </c>
      <c r="BK51" t="e">
        <f>#REF!+";Hb!$^A"</f>
        <v>#REF!</v>
      </c>
      <c r="BL51" t="e">
        <f>#REF!+";Hb!$^B"</f>
        <v>#REF!</v>
      </c>
      <c r="BM51" t="e">
        <f>#REF!+";Hb!$^C"</f>
        <v>#REF!</v>
      </c>
      <c r="BN51" t="e">
        <f>#REF!+";Hb!$^D"</f>
        <v>#REF!</v>
      </c>
      <c r="BO51" t="e">
        <f>#REF!+";Hb!$^E"</f>
        <v>#REF!</v>
      </c>
      <c r="BP51" t="e">
        <f>#REF!+";Hb!$^F"</f>
        <v>#REF!</v>
      </c>
      <c r="BQ51" t="e">
        <f>#REF!+";Hb!$^G"</f>
        <v>#REF!</v>
      </c>
      <c r="BR51" t="e">
        <f>#REF!+";Hb!$^H"</f>
        <v>#REF!</v>
      </c>
      <c r="BS51" t="e">
        <f>#REF!+";Hb!$^I"</f>
        <v>#REF!</v>
      </c>
      <c r="BT51" t="e">
        <f>#REF!+";Hb!$^J"</f>
        <v>#REF!</v>
      </c>
      <c r="BU51" t="e">
        <f>#REF!+";Hb!$^K"</f>
        <v>#REF!</v>
      </c>
      <c r="BV51" t="e">
        <f>#REF!+";Hb!$^L"</f>
        <v>#REF!</v>
      </c>
      <c r="BW51" t="e">
        <f>#REF!+";Hb!$^M"</f>
        <v>#REF!</v>
      </c>
      <c r="BX51" t="e">
        <f>#REF!+";Hb!$^N"</f>
        <v>#REF!</v>
      </c>
      <c r="BY51" t="e">
        <f>#REF!+";Hb!$^O"</f>
        <v>#REF!</v>
      </c>
      <c r="BZ51" t="e">
        <f>#REF!+";Hb!$^P"</f>
        <v>#REF!</v>
      </c>
      <c r="CA51" t="e">
        <f>#REF!+";Hb!$^Q"</f>
        <v>#REF!</v>
      </c>
      <c r="CB51" t="e">
        <f>#REF!+";Hb!$^R"</f>
        <v>#REF!</v>
      </c>
      <c r="CC51" t="e">
        <f>#REF!+";Hb!$^S"</f>
        <v>#REF!</v>
      </c>
      <c r="CD51" t="e">
        <f>#REF!+";Hb!$^T"</f>
        <v>#REF!</v>
      </c>
      <c r="CE51" t="e">
        <f>#REF!+";Hb!$^U"</f>
        <v>#REF!</v>
      </c>
      <c r="CF51" t="e">
        <f>#REF!+";Hb!$^V"</f>
        <v>#REF!</v>
      </c>
      <c r="CG51" t="e">
        <f>#REF!+";Hb!$^W"</f>
        <v>#REF!</v>
      </c>
      <c r="CH51" t="e">
        <f>#REF!+";Hb!$^X"</f>
        <v>#REF!</v>
      </c>
      <c r="CI51" t="e">
        <f>#REF!+";Hb!$^Y"</f>
        <v>#REF!</v>
      </c>
      <c r="CJ51" t="e">
        <f>#REF!+";Hb!$^Z"</f>
        <v>#REF!</v>
      </c>
      <c r="CK51" t="e">
        <f>#REF!+";Hb!$^["</f>
        <v>#REF!</v>
      </c>
      <c r="CL51" t="e">
        <f>#REF!+";Hb!$^\"</f>
        <v>#REF!</v>
      </c>
      <c r="CM51" t="e">
        <f>#REF!+";Hb!$^]"</f>
        <v>#REF!</v>
      </c>
      <c r="CN51" t="e">
        <f>#REF!+";Hb!$^^"</f>
        <v>#REF!</v>
      </c>
      <c r="CO51" t="e">
        <f>#REF!+";Hb!$^_"</f>
        <v>#REF!</v>
      </c>
      <c r="CP51" t="e">
        <f>#REF!+";Hb!$^`"</f>
        <v>#REF!</v>
      </c>
      <c r="CQ51" t="e">
        <f>#REF!+";Hb!$^a"</f>
        <v>#REF!</v>
      </c>
      <c r="CR51" t="e">
        <f>#REF!+";Hb!$^b"</f>
        <v>#REF!</v>
      </c>
      <c r="CS51" t="e">
        <f>#REF!+";Hb!$^c"</f>
        <v>#REF!</v>
      </c>
      <c r="CT51" t="e">
        <f>#REF!+";Hb!$^d"</f>
        <v>#REF!</v>
      </c>
      <c r="CU51" t="e">
        <f>#REF!+";Hb!$^e"</f>
        <v>#REF!</v>
      </c>
      <c r="CV51" t="e">
        <f>#REF!+";Hb!$^f"</f>
        <v>#REF!</v>
      </c>
      <c r="CW51" t="e">
        <f>#REF!+";Hb!$^g"</f>
        <v>#REF!</v>
      </c>
      <c r="CX51" t="e">
        <f>#REF!+";Hb!$^h"</f>
        <v>#REF!</v>
      </c>
      <c r="CY51" t="e">
        <f>#REF!+";Hb!$^i"</f>
        <v>#REF!</v>
      </c>
      <c r="CZ51" t="e">
        <f>#REF!+";Hb!$^j"</f>
        <v>#REF!</v>
      </c>
      <c r="DA51" t="e">
        <f>#REF!+";Hb!$^k"</f>
        <v>#REF!</v>
      </c>
      <c r="DB51" t="e">
        <f>#REF!+";Hb!$^l"</f>
        <v>#REF!</v>
      </c>
      <c r="DC51" t="e">
        <f>#REF!+";Hb!$^m"</f>
        <v>#REF!</v>
      </c>
      <c r="DD51" t="e">
        <f>#REF!+";Hb!$^n"</f>
        <v>#REF!</v>
      </c>
      <c r="DE51" t="e">
        <f>#REF!+";Hb!$^o"</f>
        <v>#REF!</v>
      </c>
      <c r="DF51" t="e">
        <f>#REF!+";Hb!$^p"</f>
        <v>#REF!</v>
      </c>
      <c r="DG51" t="e">
        <f>#REF!+";Hb!$^q"</f>
        <v>#REF!</v>
      </c>
      <c r="DH51" t="e">
        <f>#REF!+";Hb!$^r"</f>
        <v>#REF!</v>
      </c>
      <c r="DI51" t="e">
        <f>#REF!+";Hb!$^s"</f>
        <v>#REF!</v>
      </c>
      <c r="DJ51" t="e">
        <f>#REF!+";Hb!$^t"</f>
        <v>#REF!</v>
      </c>
      <c r="DK51" t="e">
        <f>#REF!+";Hb!$^u"</f>
        <v>#REF!</v>
      </c>
      <c r="DL51" t="e">
        <f>#REF!+";Hb!$^v"</f>
        <v>#REF!</v>
      </c>
      <c r="DM51" t="e">
        <f>#REF!+";Hb!$^w"</f>
        <v>#REF!</v>
      </c>
      <c r="DN51" t="e">
        <f>#REF!+";Hb!$^x"</f>
        <v>#REF!</v>
      </c>
      <c r="DO51" t="e">
        <f>#REF!+";Hb!$^y"</f>
        <v>#REF!</v>
      </c>
      <c r="DP51" t="e">
        <f>#REF!+";Hb!$^z"</f>
        <v>#REF!</v>
      </c>
      <c r="DQ51" t="e">
        <f>#REF!+";Hb!$^{"</f>
        <v>#REF!</v>
      </c>
      <c r="DR51" t="e">
        <f>#REF!+";Hb!$^|"</f>
        <v>#REF!</v>
      </c>
      <c r="DS51" t="e">
        <f>#REF!+";Hb!$^}"</f>
        <v>#REF!</v>
      </c>
      <c r="DT51" t="e">
        <f>#REF!+";Hb!$^~"</f>
        <v>#REF!</v>
      </c>
      <c r="DU51" t="e">
        <f>#REF!+";Hb!$_#"</f>
        <v>#REF!</v>
      </c>
      <c r="DV51" t="e">
        <f>#REF!+";Hb!$_$"</f>
        <v>#REF!</v>
      </c>
      <c r="DW51" t="e">
        <f>#REF!+";Hb!$_%"</f>
        <v>#REF!</v>
      </c>
      <c r="DX51" t="e">
        <f>#REF!+";Hb!$_&amp;"</f>
        <v>#REF!</v>
      </c>
      <c r="DY51" t="e">
        <f>#REF!+";Hb!$_'"</f>
        <v>#REF!</v>
      </c>
      <c r="DZ51" t="e">
        <f>#REF!+";Hb!$_("</f>
        <v>#REF!</v>
      </c>
      <c r="EA51" t="e">
        <f>#REF!+";Hb!$_)"</f>
        <v>#REF!</v>
      </c>
      <c r="EB51" t="e">
        <f>#REF!+";Hb!$_."</f>
        <v>#REF!</v>
      </c>
      <c r="EC51" t="e">
        <f>#REF!+";Hb!$_/"</f>
        <v>#REF!</v>
      </c>
      <c r="ED51" t="e">
        <f>#REF!+";Hb!$_0"</f>
        <v>#REF!</v>
      </c>
      <c r="EE51" t="e">
        <f>#REF!+";Hb!$_1"</f>
        <v>#REF!</v>
      </c>
      <c r="EF51" t="e">
        <f>#REF!+";Hb!$_2"</f>
        <v>#REF!</v>
      </c>
      <c r="EG51" t="e">
        <f>#REF!+";Hb!$_3"</f>
        <v>#REF!</v>
      </c>
      <c r="EH51" t="e">
        <f>#REF!+";Hb!$_4"</f>
        <v>#REF!</v>
      </c>
      <c r="EI51" t="e">
        <f>#REF!+";Hb!$_5"</f>
        <v>#REF!</v>
      </c>
      <c r="EJ51" t="e">
        <f>#REF!+";Hb!$_6"</f>
        <v>#REF!</v>
      </c>
      <c r="EK51" t="e">
        <f>#REF!+";Hb!$_7"</f>
        <v>#REF!</v>
      </c>
      <c r="EL51" t="e">
        <f>#REF!+";Hb!$_8"</f>
        <v>#REF!</v>
      </c>
      <c r="EM51" t="e">
        <f>#REF!+";Hb!$_9"</f>
        <v>#REF!</v>
      </c>
      <c r="EN51" t="e">
        <f>#REF!+";Hb!$_:"</f>
        <v>#REF!</v>
      </c>
      <c r="EO51" t="e">
        <f>#REF!+";Hb!$_;"</f>
        <v>#REF!</v>
      </c>
      <c r="EP51" t="e">
        <f>#REF!+";Hb!$_&lt;"</f>
        <v>#REF!</v>
      </c>
      <c r="EQ51" t="e">
        <f>#REF!+";Hb!$_="</f>
        <v>#REF!</v>
      </c>
      <c r="ER51" t="e">
        <f>#REF!+";Hb!$_&gt;"</f>
        <v>#REF!</v>
      </c>
      <c r="ES51" t="e">
        <f>#REF!+";Hb!$_?"</f>
        <v>#REF!</v>
      </c>
      <c r="ET51" t="e">
        <f>#REF!+";Hb!$_@"</f>
        <v>#REF!</v>
      </c>
      <c r="EU51" t="e">
        <f>#REF!+";Hb!$_A"</f>
        <v>#REF!</v>
      </c>
      <c r="EV51" t="e">
        <f>#REF!+";Hb!$_B"</f>
        <v>#REF!</v>
      </c>
      <c r="EW51" t="e">
        <f>#REF!+";Hb!$_C"</f>
        <v>#REF!</v>
      </c>
      <c r="EX51" t="e">
        <f>#REF!+";Hb!$_D"</f>
        <v>#REF!</v>
      </c>
      <c r="EY51" t="e">
        <f>#REF!+";Hb!$_E"</f>
        <v>#REF!</v>
      </c>
      <c r="EZ51" t="e">
        <f>#REF!+";Hb!$_F"</f>
        <v>#REF!</v>
      </c>
      <c r="FA51" t="e">
        <f>#REF!+";Hb!$_G"</f>
        <v>#REF!</v>
      </c>
      <c r="FB51" t="e">
        <f>#REF!+";Hb!$_H"</f>
        <v>#REF!</v>
      </c>
      <c r="FC51" t="e">
        <f>#REF!+";Hb!$_I"</f>
        <v>#REF!</v>
      </c>
      <c r="FD51" t="e">
        <f>#REF!+";Hb!$_J"</f>
        <v>#REF!</v>
      </c>
      <c r="FE51" t="e">
        <f>#REF!+";Hb!$_K"</f>
        <v>#REF!</v>
      </c>
      <c r="FF51" t="e">
        <f>#REF!+";Hb!$_L"</f>
        <v>#REF!</v>
      </c>
      <c r="FG51" t="e">
        <f>#REF!+";Hb!$_M"</f>
        <v>#REF!</v>
      </c>
      <c r="FH51" t="e">
        <f>#REF!+";Hb!$_N"</f>
        <v>#REF!</v>
      </c>
      <c r="FI51" t="e">
        <f>#REF!+";Hb!$_O"</f>
        <v>#REF!</v>
      </c>
      <c r="FJ51" t="e">
        <f>#REF!+";Hb!$_P"</f>
        <v>#REF!</v>
      </c>
      <c r="FK51" t="e">
        <f>#REF!+";Hb!$_Q"</f>
        <v>#REF!</v>
      </c>
      <c r="FL51" t="e">
        <f>#REF!+";Hb!$_R"</f>
        <v>#REF!</v>
      </c>
      <c r="FM51" t="e">
        <f>#REF!+";Hb!$_S"</f>
        <v>#REF!</v>
      </c>
      <c r="FN51" t="e">
        <f>#REF!+";Hb!$_T"</f>
        <v>#REF!</v>
      </c>
      <c r="FO51" t="e">
        <f>#REF!+";Hb!$_U"</f>
        <v>#REF!</v>
      </c>
      <c r="FP51" t="e">
        <f>#REF!+";Hb!$_V"</f>
        <v>#REF!</v>
      </c>
      <c r="FQ51" t="e">
        <f>#REF!+";Hb!$_W"</f>
        <v>#REF!</v>
      </c>
      <c r="FR51" t="e">
        <f>#REF!+";Hb!$_X"</f>
        <v>#REF!</v>
      </c>
      <c r="FS51" t="e">
        <f>#REF!+";Hb!$_Y"</f>
        <v>#REF!</v>
      </c>
      <c r="FT51" t="e">
        <f>#REF!+";Hb!$_Z"</f>
        <v>#REF!</v>
      </c>
      <c r="FU51" t="e">
        <f>#REF!+";Hb!$_["</f>
        <v>#REF!</v>
      </c>
      <c r="FV51" t="e">
        <f>#REF!+";Hb!$_\"</f>
        <v>#REF!</v>
      </c>
      <c r="FW51" t="e">
        <f>#REF!+";Hb!$_]"</f>
        <v>#REF!</v>
      </c>
      <c r="FX51" t="e">
        <f>#REF!+";Hb!$_^"</f>
        <v>#REF!</v>
      </c>
      <c r="FY51" t="e">
        <f>#REF!+";Hb!$__"</f>
        <v>#REF!</v>
      </c>
      <c r="FZ51" t="e">
        <f>#REF!+";Hb!$_`"</f>
        <v>#REF!</v>
      </c>
      <c r="GA51" t="e">
        <f>#REF!+";Hb!$_a"</f>
        <v>#REF!</v>
      </c>
      <c r="GB51" t="e">
        <f>#REF!+";Hb!$_b"</f>
        <v>#REF!</v>
      </c>
      <c r="GC51" t="e">
        <f>#REF!+";Hb!$_c"</f>
        <v>#REF!</v>
      </c>
      <c r="GD51" t="e">
        <f>#REF!+";Hb!$_d"</f>
        <v>#REF!</v>
      </c>
      <c r="GE51" t="e">
        <f>#REF!+";Hb!$_e"</f>
        <v>#REF!</v>
      </c>
      <c r="GF51" t="e">
        <f>#REF!+";Hb!$_f"</f>
        <v>#REF!</v>
      </c>
      <c r="GG51" t="e">
        <f>#REF!+";Hb!$_g"</f>
        <v>#REF!</v>
      </c>
      <c r="GH51" t="e">
        <f>#REF!+";Hb!$_h"</f>
        <v>#REF!</v>
      </c>
      <c r="GI51" t="e">
        <f>#REF!+";Hb!$_i"</f>
        <v>#REF!</v>
      </c>
      <c r="GJ51" t="e">
        <f>#REF!+";Hb!$_j"</f>
        <v>#REF!</v>
      </c>
      <c r="GK51" t="e">
        <f>#REF!+";Hb!$_k"</f>
        <v>#REF!</v>
      </c>
      <c r="GL51" t="e">
        <f>#REF!+";Hb!$_l"</f>
        <v>#REF!</v>
      </c>
      <c r="GM51" t="e">
        <f>#REF!+";Hb!$_m"</f>
        <v>#REF!</v>
      </c>
      <c r="GN51" t="e">
        <f>#REF!+";Hb!$_n"</f>
        <v>#REF!</v>
      </c>
      <c r="GO51" t="e">
        <f>#REF!+";Hb!$_o"</f>
        <v>#REF!</v>
      </c>
      <c r="GP51" t="e">
        <f>#REF!+";Hb!$_p"</f>
        <v>#REF!</v>
      </c>
      <c r="GQ51" t="e">
        <f>#REF!+";Hb!$_q"</f>
        <v>#REF!</v>
      </c>
      <c r="GR51" t="e">
        <f>#REF!+";Hb!$_r"</f>
        <v>#REF!</v>
      </c>
      <c r="GS51" t="e">
        <f>#REF!+";Hb!$_s"</f>
        <v>#REF!</v>
      </c>
      <c r="GT51" t="e">
        <f>#REF!+";Hb!$_t"</f>
        <v>#REF!</v>
      </c>
      <c r="GU51" t="e">
        <f>#REF!+";Hb!$_u"</f>
        <v>#REF!</v>
      </c>
      <c r="GV51" t="e">
        <f>#REF!+";Hb!$_v"</f>
        <v>#REF!</v>
      </c>
      <c r="GW51" t="e">
        <f>#REF!+";Hb!$_w"</f>
        <v>#REF!</v>
      </c>
      <c r="GX51" t="e">
        <f>#REF!+";Hb!$_x"</f>
        <v>#REF!</v>
      </c>
      <c r="GY51" t="e">
        <f>#REF!+";Hb!$_y"</f>
        <v>#REF!</v>
      </c>
      <c r="GZ51" t="e">
        <f>#REF!+";Hb!$_z"</f>
        <v>#REF!</v>
      </c>
      <c r="HA51" t="e">
        <f>#REF!+";Hb!$_{"</f>
        <v>#REF!</v>
      </c>
      <c r="HB51" t="e">
        <f>#REF!+";Hb!$_|"</f>
        <v>#REF!</v>
      </c>
      <c r="HC51" t="e">
        <f>#REF!+";Hb!$_}"</f>
        <v>#REF!</v>
      </c>
      <c r="HD51" t="e">
        <f>#REF!+";Hb!$_~"</f>
        <v>#REF!</v>
      </c>
      <c r="HE51" t="e">
        <f>#REF!+";Hb!$`#"</f>
        <v>#REF!</v>
      </c>
      <c r="HF51" t="e">
        <f>#REF!+";Hb!$`$"</f>
        <v>#REF!</v>
      </c>
      <c r="HG51" t="e">
        <f>#REF!+";Hb!$`%"</f>
        <v>#REF!</v>
      </c>
      <c r="HH51" t="e">
        <f>#REF!+";Hb!$`&amp;"</f>
        <v>#REF!</v>
      </c>
      <c r="HI51" t="e">
        <f>#REF!+";Hb!$`'"</f>
        <v>#REF!</v>
      </c>
      <c r="HJ51" t="e">
        <f>#REF!+";Hb!$`("</f>
        <v>#REF!</v>
      </c>
      <c r="HK51" t="e">
        <f>#REF!+";Hb!$`)"</f>
        <v>#REF!</v>
      </c>
      <c r="HL51" t="e">
        <f>#REF!+";Hb!$`."</f>
        <v>#REF!</v>
      </c>
      <c r="HM51" t="e">
        <f>#REF!+";Hb!$`/"</f>
        <v>#REF!</v>
      </c>
      <c r="HN51" t="e">
        <f>#REF!+";Hb!$`0"</f>
        <v>#REF!</v>
      </c>
      <c r="HO51" t="e">
        <f>#REF!+";Hb!$`1"</f>
        <v>#REF!</v>
      </c>
      <c r="HP51" t="e">
        <f>#REF!+";Hb!$`2"</f>
        <v>#REF!</v>
      </c>
      <c r="HQ51" t="e">
        <f>#REF!+";Hb!$`3"</f>
        <v>#REF!</v>
      </c>
      <c r="HR51" t="e">
        <f>#REF!+";Hb!$`4"</f>
        <v>#REF!</v>
      </c>
      <c r="HS51" t="e">
        <f>#REF!+";Hb!$`5"</f>
        <v>#REF!</v>
      </c>
      <c r="HT51" t="e">
        <f>#REF!+";Hb!$`6"</f>
        <v>#REF!</v>
      </c>
      <c r="HU51" t="e">
        <f>#REF!+";Hb!$`7"</f>
        <v>#REF!</v>
      </c>
      <c r="HV51" t="e">
        <f>#REF!+";Hb!$`8"</f>
        <v>#REF!</v>
      </c>
      <c r="HW51" t="e">
        <f>#REF!+";Hb!$`9"</f>
        <v>#REF!</v>
      </c>
      <c r="HX51" t="e">
        <f>#REF!+";Hb!$`:"</f>
        <v>#REF!</v>
      </c>
      <c r="HY51" t="e">
        <f>#REF!+";Hb!$`;"</f>
        <v>#REF!</v>
      </c>
      <c r="HZ51" t="e">
        <f>#REF!+";Hb!$`&lt;"</f>
        <v>#REF!</v>
      </c>
      <c r="IA51" t="e">
        <f>#REF!+";Hb!$`="</f>
        <v>#REF!</v>
      </c>
      <c r="IB51" t="e">
        <f>#REF!+";Hb!$`&gt;"</f>
        <v>#REF!</v>
      </c>
      <c r="IC51" t="e">
        <f>#REF!+";Hb!$`?"</f>
        <v>#REF!</v>
      </c>
      <c r="ID51" t="e">
        <f>#REF!+";Hb!$`@"</f>
        <v>#REF!</v>
      </c>
      <c r="IE51" t="e">
        <f>#REF!+";Hb!$`A"</f>
        <v>#REF!</v>
      </c>
      <c r="IF51" t="e">
        <f>#REF!+";Hb!$`B"</f>
        <v>#REF!</v>
      </c>
      <c r="IG51" t="e">
        <f>#REF!+";Hb!$`C"</f>
        <v>#REF!</v>
      </c>
      <c r="IH51" t="e">
        <f>#REF!+";Hb!$`D"</f>
        <v>#REF!</v>
      </c>
      <c r="II51" t="e">
        <f>#REF!+";Hb!$`E"</f>
        <v>#REF!</v>
      </c>
      <c r="IJ51" t="e">
        <f>#REF!+";Hb!$`F"</f>
        <v>#REF!</v>
      </c>
      <c r="IK51" t="e">
        <f>#REF!+";Hb!$`G"</f>
        <v>#REF!</v>
      </c>
      <c r="IL51" t="e">
        <f>#REF!+";Hb!$`H"</f>
        <v>#REF!</v>
      </c>
      <c r="IM51" t="e">
        <f>#REF!+";Hb!$`I"</f>
        <v>#REF!</v>
      </c>
      <c r="IN51" t="e">
        <f>#REF!+";Hb!$`J"</f>
        <v>#REF!</v>
      </c>
      <c r="IO51" t="e">
        <f>#REF!+";Hb!$`K"</f>
        <v>#REF!</v>
      </c>
      <c r="IP51" t="e">
        <f>#REF!+";Hb!$`L"</f>
        <v>#REF!</v>
      </c>
      <c r="IQ51" t="e">
        <f>#REF!+";Hb!$`M"</f>
        <v>#REF!</v>
      </c>
      <c r="IR51" t="e">
        <f>#REF!+";Hb!$`N"</f>
        <v>#REF!</v>
      </c>
      <c r="IS51" t="e">
        <f>#REF!+";Hb!$`O"</f>
        <v>#REF!</v>
      </c>
      <c r="IT51" t="e">
        <f>#REF!+";Hb!$`P"</f>
        <v>#REF!</v>
      </c>
      <c r="IU51" t="e">
        <f>#REF!+";Hb!$`Q"</f>
        <v>#REF!</v>
      </c>
      <c r="IV51" t="e">
        <f>#REF!+";Hb!$`R"</f>
        <v>#REF!</v>
      </c>
    </row>
    <row r="52" spans="6:256" x14ac:dyDescent="0.25">
      <c r="F52" t="e">
        <f>#REF!+";Hb!$`S"</f>
        <v>#REF!</v>
      </c>
      <c r="G52" t="e">
        <f>#REF!+";Hb!$`T"</f>
        <v>#REF!</v>
      </c>
      <c r="H52" t="e">
        <f>#REF!+";Hb!$`U"</f>
        <v>#REF!</v>
      </c>
      <c r="I52" t="e">
        <f>#REF!+";Hb!$`V"</f>
        <v>#REF!</v>
      </c>
      <c r="J52" t="e">
        <f>#REF!+";Hb!$`W"</f>
        <v>#REF!</v>
      </c>
      <c r="K52" t="e">
        <f>#REF!+";Hb!$`X"</f>
        <v>#REF!</v>
      </c>
      <c r="L52" t="e">
        <f>#REF!+";Hb!$`Y"</f>
        <v>#REF!</v>
      </c>
      <c r="M52" t="e">
        <f>#REF!+";Hb!$`Z"</f>
        <v>#REF!</v>
      </c>
      <c r="N52" t="e">
        <f>#REF!+";Hb!$`["</f>
        <v>#REF!</v>
      </c>
      <c r="O52" t="e">
        <f>#REF!+";Hb!$`\"</f>
        <v>#REF!</v>
      </c>
      <c r="P52" t="e">
        <f>#REF!+";Hb!$`]"</f>
        <v>#REF!</v>
      </c>
      <c r="Q52" t="e">
        <f>#REF!+";Hb!$`^"</f>
        <v>#REF!</v>
      </c>
      <c r="R52" t="e">
        <f>#REF!+";Hb!$`_"</f>
        <v>#REF!</v>
      </c>
      <c r="S52" t="e">
        <f>#REF!+";Hb!$``"</f>
        <v>#REF!</v>
      </c>
      <c r="T52" t="e">
        <f>#REF!+";Hb!$`a"</f>
        <v>#REF!</v>
      </c>
      <c r="U52" t="e">
        <f>#REF!+";Hb!$`b"</f>
        <v>#REF!</v>
      </c>
      <c r="V52" t="e">
        <f>#REF!+";Hb!$`c"</f>
        <v>#REF!</v>
      </c>
      <c r="W52" t="e">
        <f>#REF!+";Hb!$`d"</f>
        <v>#REF!</v>
      </c>
      <c r="X52" t="e">
        <f>#REF!+";Hb!$`e"</f>
        <v>#REF!</v>
      </c>
      <c r="Y52" t="e">
        <f>#REF!+";Hb!$`f"</f>
        <v>#REF!</v>
      </c>
      <c r="Z52" t="e">
        <f>#REF!+";Hb!$`g"</f>
        <v>#REF!</v>
      </c>
      <c r="AA52" t="e">
        <f>#REF!+";Hb!$`h"</f>
        <v>#REF!</v>
      </c>
      <c r="AB52" t="e">
        <f>#REF!+";Hb!$`i"</f>
        <v>#REF!</v>
      </c>
      <c r="AC52" t="e">
        <f>#REF!+";Hb!$`j"</f>
        <v>#REF!</v>
      </c>
      <c r="AD52" t="e">
        <f>#REF!+";Hb!$`k"</f>
        <v>#REF!</v>
      </c>
      <c r="AE52" t="e">
        <f>#REF!+";Hb!$`l"</f>
        <v>#REF!</v>
      </c>
      <c r="AF52" t="e">
        <f>#REF!+";Hb!$`m"</f>
        <v>#REF!</v>
      </c>
      <c r="AG52" t="e">
        <f>#REF!+";Hb!$`n"</f>
        <v>#REF!</v>
      </c>
      <c r="AH52" t="e">
        <f>#REF!+";Hb!$`o"</f>
        <v>#REF!</v>
      </c>
      <c r="AI52" t="e">
        <f>#REF!+";Hb!$`p"</f>
        <v>#REF!</v>
      </c>
      <c r="AJ52" t="e">
        <f>#REF!+";Hb!$`q"</f>
        <v>#REF!</v>
      </c>
      <c r="AK52" t="e">
        <f>#REF!+";Hb!$`r"</f>
        <v>#REF!</v>
      </c>
      <c r="AL52" t="e">
        <f>#REF!+";Hb!$`s"</f>
        <v>#REF!</v>
      </c>
      <c r="AM52" t="e">
        <f>#REF!+";Hb!$`t"</f>
        <v>#REF!</v>
      </c>
      <c r="AN52" t="e">
        <f>#REF!+";Hb!$`u"</f>
        <v>#REF!</v>
      </c>
      <c r="AO52" t="e">
        <f>#REF!+";Hb!$`v"</f>
        <v>#REF!</v>
      </c>
      <c r="AP52" t="e">
        <f>#REF!+";Hb!$`w"</f>
        <v>#REF!</v>
      </c>
      <c r="AQ52" t="e">
        <f>#REF!+";Hb!$`x"</f>
        <v>#REF!</v>
      </c>
      <c r="AR52" t="e">
        <f>#REF!+";Hb!$`y"</f>
        <v>#REF!</v>
      </c>
      <c r="AS52" t="e">
        <f>#REF!+";Hb!$`z"</f>
        <v>#REF!</v>
      </c>
      <c r="AT52" t="e">
        <f>#REF!+";Hb!$`{"</f>
        <v>#REF!</v>
      </c>
      <c r="AU52" t="e">
        <f>#REF!+";Hb!$`|"</f>
        <v>#REF!</v>
      </c>
      <c r="AV52" t="e">
        <f>#REF!+";Hb!$`}"</f>
        <v>#REF!</v>
      </c>
      <c r="AW52" t="e">
        <f>#REF!+";Hb!$`~"</f>
        <v>#REF!</v>
      </c>
      <c r="AX52" t="e">
        <f>#REF!+";Hb!$a#"</f>
        <v>#REF!</v>
      </c>
      <c r="AY52" t="e">
        <f>#REF!+";Hb!$a$"</f>
        <v>#REF!</v>
      </c>
      <c r="AZ52" t="e">
        <f>#REF!+";Hb!$a%"</f>
        <v>#REF!</v>
      </c>
      <c r="BA52" t="e">
        <f>#REF!+";Hb!$a&amp;"</f>
        <v>#REF!</v>
      </c>
      <c r="BB52" t="e">
        <f>#REF!+";Hb!$a'"</f>
        <v>#REF!</v>
      </c>
      <c r="BC52" t="e">
        <f>#REF!+";Hb!$a("</f>
        <v>#REF!</v>
      </c>
      <c r="BD52" t="e">
        <f>#REF!+";Hb!$a)"</f>
        <v>#REF!</v>
      </c>
      <c r="BE52" t="e">
        <f>#REF!+";Hb!$a."</f>
        <v>#REF!</v>
      </c>
      <c r="BF52" t="e">
        <f>#REF!+";Hb!$a/"</f>
        <v>#REF!</v>
      </c>
      <c r="BG52" t="e">
        <f>#REF!+";Hb!$a0"</f>
        <v>#REF!</v>
      </c>
      <c r="BH52" t="e">
        <f>#REF!+";Hb!$a1"</f>
        <v>#REF!</v>
      </c>
      <c r="BI52" t="e">
        <f>#REF!+";Hb!$a2"</f>
        <v>#REF!</v>
      </c>
      <c r="BJ52" t="e">
        <f>#REF!+";Hb!$a3"</f>
        <v>#REF!</v>
      </c>
      <c r="BK52" t="e">
        <f>#REF!+";Hb!$a4"</f>
        <v>#REF!</v>
      </c>
      <c r="BL52" t="e">
        <f>#REF!+";Hb!$a5"</f>
        <v>#REF!</v>
      </c>
      <c r="BM52" t="e">
        <f>#REF!+";Hb!$a6"</f>
        <v>#REF!</v>
      </c>
      <c r="BN52" t="e">
        <f>#REF!+";Hb!$a7"</f>
        <v>#REF!</v>
      </c>
      <c r="BO52" t="e">
        <f>#REF!+";Hb!$a8"</f>
        <v>#REF!</v>
      </c>
      <c r="BP52" t="e">
        <f>#REF!+";Hb!$a9"</f>
        <v>#REF!</v>
      </c>
      <c r="BQ52" t="e">
        <f>#REF!+";Hb!$a:"</f>
        <v>#REF!</v>
      </c>
      <c r="BR52" t="e">
        <f>#REF!+";Hb!$a;"</f>
        <v>#REF!</v>
      </c>
      <c r="BS52" t="e">
        <f>#REF!+";Hb!$a&lt;"</f>
        <v>#REF!</v>
      </c>
      <c r="BT52" t="e">
        <f>#REF!+";Hb!$a="</f>
        <v>#REF!</v>
      </c>
      <c r="BU52" t="e">
        <f>#REF!+";Hb!$a&gt;"</f>
        <v>#REF!</v>
      </c>
      <c r="BV52" t="e">
        <f>#REF!+";Hb!$a?"</f>
        <v>#REF!</v>
      </c>
      <c r="BW52" t="e">
        <f>#REF!+";Hb!$a@"</f>
        <v>#REF!</v>
      </c>
      <c r="BX52" t="e">
        <f>#REF!+";Hb!$aA"</f>
        <v>#REF!</v>
      </c>
      <c r="BY52" t="e">
        <f>#REF!+";Hb!$aB"</f>
        <v>#REF!</v>
      </c>
      <c r="BZ52" t="e">
        <f>#REF!+";Hb!$aC"</f>
        <v>#REF!</v>
      </c>
      <c r="CA52" t="e">
        <f>#REF!+";Hb!$aD"</f>
        <v>#REF!</v>
      </c>
      <c r="CB52" t="e">
        <f>#REF!+";Hb!$aE"</f>
        <v>#REF!</v>
      </c>
      <c r="CC52" t="e">
        <f>#REF!+";Hb!$aF"</f>
        <v>#REF!</v>
      </c>
      <c r="CD52" t="e">
        <f>#REF!+";Hb!$aG"</f>
        <v>#REF!</v>
      </c>
      <c r="CE52" t="e">
        <f>#REF!+";Hb!$aH"</f>
        <v>#REF!</v>
      </c>
      <c r="CF52" t="e">
        <f>#REF!+";Hb!$aI"</f>
        <v>#REF!</v>
      </c>
      <c r="CG52" t="e">
        <f>#REF!+";Hb!$aJ"</f>
        <v>#REF!</v>
      </c>
      <c r="CH52" t="e">
        <f>#REF!+";Hb!$aK"</f>
        <v>#REF!</v>
      </c>
      <c r="CI52" t="e">
        <f>#REF!+";Hb!$aL"</f>
        <v>#REF!</v>
      </c>
      <c r="CJ52" t="e">
        <f>#REF!+";Hb!$aM"</f>
        <v>#REF!</v>
      </c>
      <c r="CK52" t="e">
        <f>#REF!+";Hb!$aN"</f>
        <v>#REF!</v>
      </c>
      <c r="CL52" t="e">
        <f>#REF!+";Hb!$aO"</f>
        <v>#REF!</v>
      </c>
      <c r="CM52" t="e">
        <f>#REF!+";Hb!$aP"</f>
        <v>#REF!</v>
      </c>
      <c r="CN52" t="e">
        <f>#REF!+";Hb!$aQ"</f>
        <v>#REF!</v>
      </c>
      <c r="CO52" t="e">
        <f>#REF!+";Hb!$aR"</f>
        <v>#REF!</v>
      </c>
      <c r="CP52" t="e">
        <f>#REF!+";Hb!$aS"</f>
        <v>#REF!</v>
      </c>
      <c r="CQ52" t="e">
        <f>#REF!+";Hb!$aT"</f>
        <v>#REF!</v>
      </c>
      <c r="CR52" t="e">
        <f>#REF!+";Hb!$aU"</f>
        <v>#REF!</v>
      </c>
      <c r="CS52" t="e">
        <f>#REF!+";Hb!$aV"</f>
        <v>#REF!</v>
      </c>
      <c r="CT52" t="e">
        <f>#REF!+";Hb!$aW"</f>
        <v>#REF!</v>
      </c>
      <c r="CU52" t="e">
        <f>#REF!+";Hb!$aX"</f>
        <v>#REF!</v>
      </c>
      <c r="CV52" t="e">
        <f>#REF!+";Hb!$aY"</f>
        <v>#REF!</v>
      </c>
      <c r="CW52" t="e">
        <f>#REF!+";Hb!$aZ"</f>
        <v>#REF!</v>
      </c>
      <c r="CX52" t="e">
        <f>#REF!+";Hb!$a["</f>
        <v>#REF!</v>
      </c>
      <c r="CY52" t="e">
        <f>#REF!+";Hb!$a\"</f>
        <v>#REF!</v>
      </c>
      <c r="CZ52" t="e">
        <f>#REF!+";Hb!$a]"</f>
        <v>#REF!</v>
      </c>
      <c r="DA52" t="e">
        <f>#REF!+";Hb!$a^"</f>
        <v>#REF!</v>
      </c>
      <c r="DB52" t="e">
        <f>#REF!+";Hb!$a_"</f>
        <v>#REF!</v>
      </c>
      <c r="DC52" t="e">
        <f>#REF!+";Hb!$a`"</f>
        <v>#REF!</v>
      </c>
      <c r="DD52" t="e">
        <f>#REF!+";Hb!$aa"</f>
        <v>#REF!</v>
      </c>
      <c r="DE52" t="e">
        <f>#REF!+";Hb!$ab"</f>
        <v>#REF!</v>
      </c>
      <c r="DF52" t="e">
        <f>#REF!+";Hb!$ac"</f>
        <v>#REF!</v>
      </c>
      <c r="DG52" t="e">
        <f>#REF!+";Hb!$ad"</f>
        <v>#REF!</v>
      </c>
      <c r="DH52" t="e">
        <f>#REF!+";Hb!$ae"</f>
        <v>#REF!</v>
      </c>
      <c r="DI52" t="e">
        <f>#REF!+";Hb!$af"</f>
        <v>#REF!</v>
      </c>
      <c r="DJ52" t="e">
        <f>#REF!+";Hb!$ag"</f>
        <v>#REF!</v>
      </c>
      <c r="DK52" t="e">
        <f>#REF!+";Hb!$ah"</f>
        <v>#REF!</v>
      </c>
      <c r="DL52" t="e">
        <f>#REF!+";Hb!$ai"</f>
        <v>#REF!</v>
      </c>
      <c r="DM52" t="e">
        <f>#REF!+";Hb!$aj"</f>
        <v>#REF!</v>
      </c>
      <c r="DN52" t="e">
        <f>#REF!+";Hb!$ak"</f>
        <v>#REF!</v>
      </c>
      <c r="DO52" t="e">
        <f>#REF!+";Hb!$al"</f>
        <v>#REF!</v>
      </c>
      <c r="DP52" t="e">
        <f>#REF!+";Hb!$am"</f>
        <v>#REF!</v>
      </c>
      <c r="DQ52" t="e">
        <f>#REF!+";Hb!$an"</f>
        <v>#REF!</v>
      </c>
      <c r="DR52" t="e">
        <f>#REF!+";Hb!$ao"</f>
        <v>#REF!</v>
      </c>
      <c r="DS52" t="e">
        <f>#REF!+";Hb!$ap"</f>
        <v>#REF!</v>
      </c>
      <c r="DT52" t="e">
        <f>#REF!+";Hb!$aq"</f>
        <v>#REF!</v>
      </c>
      <c r="DU52" t="e">
        <f>#REF!+";Hb!$ar"</f>
        <v>#REF!</v>
      </c>
      <c r="DV52" t="e">
        <f>#REF!+";Hb!$as"</f>
        <v>#REF!</v>
      </c>
      <c r="DW52" t="e">
        <f>#REF!+";Hb!$at"</f>
        <v>#REF!</v>
      </c>
      <c r="DX52" t="e">
        <f>#REF!+";Hb!$au"</f>
        <v>#REF!</v>
      </c>
      <c r="DY52" t="e">
        <f>#REF!+";Hb!$av"</f>
        <v>#REF!</v>
      </c>
      <c r="DZ52" t="e">
        <f>#REF!+";Hb!$aw"</f>
        <v>#REF!</v>
      </c>
      <c r="EA52" t="e">
        <f>#REF!+";Hb!$ax"</f>
        <v>#REF!</v>
      </c>
      <c r="EB52" t="e">
        <f>#REF!+";Hb!$ay"</f>
        <v>#REF!</v>
      </c>
      <c r="EC52" t="e">
        <f>#REF!+";Hb!$az"</f>
        <v>#REF!</v>
      </c>
      <c r="ED52" t="e">
        <f>#REF!+";Hb!$a{"</f>
        <v>#REF!</v>
      </c>
      <c r="EE52" t="e">
        <f>#REF!+";Hb!$a|"</f>
        <v>#REF!</v>
      </c>
      <c r="EF52" t="e">
        <f>#REF!+";Hb!$a}"</f>
        <v>#REF!</v>
      </c>
      <c r="EG52" t="e">
        <f>#REF!+";Hb!$a~"</f>
        <v>#REF!</v>
      </c>
      <c r="EH52" t="e">
        <f>#REF!+";Hb!$b#"</f>
        <v>#REF!</v>
      </c>
      <c r="EI52" t="e">
        <f>#REF!+";Hb!$b$"</f>
        <v>#REF!</v>
      </c>
      <c r="EJ52" t="e">
        <f>#REF!+";Hb!$b%"</f>
        <v>#REF!</v>
      </c>
      <c r="EK52" t="e">
        <f>#REF!+";Hb!$b&amp;"</f>
        <v>#REF!</v>
      </c>
      <c r="EL52" t="e">
        <f>#REF!+";Hb!$b'"</f>
        <v>#REF!</v>
      </c>
      <c r="EM52" t="e">
        <f>#REF!+";Hb!$b("</f>
        <v>#REF!</v>
      </c>
      <c r="EN52" t="e">
        <f>#REF!+";Hb!$b)"</f>
        <v>#REF!</v>
      </c>
      <c r="EO52" t="e">
        <f>#REF!+";Hb!$b."</f>
        <v>#REF!</v>
      </c>
      <c r="EP52" t="e">
        <f>#REF!+";Hb!$b/"</f>
        <v>#REF!</v>
      </c>
      <c r="EQ52" t="e">
        <f>#REF!+";Hb!$b0"</f>
        <v>#REF!</v>
      </c>
      <c r="ER52" t="e">
        <f>#REF!+";Hb!$b1"</f>
        <v>#REF!</v>
      </c>
      <c r="ES52" t="e">
        <f>#REF!+";Hb!$b2"</f>
        <v>#REF!</v>
      </c>
      <c r="ET52" t="e">
        <f>#REF!+";Hb!$b3"</f>
        <v>#REF!</v>
      </c>
      <c r="EU52" t="e">
        <f>#REF!+";Hb!$b4"</f>
        <v>#REF!</v>
      </c>
      <c r="EV52" t="e">
        <f>#REF!+";Hb!$b5"</f>
        <v>#REF!</v>
      </c>
      <c r="EW52" t="e">
        <f>#REF!+";Hb!$b6"</f>
        <v>#REF!</v>
      </c>
      <c r="EX52" t="e">
        <f>#REF!+";Hb!$b7"</f>
        <v>#REF!</v>
      </c>
      <c r="EY52" t="e">
        <f>#REF!+";Hb!$b8"</f>
        <v>#REF!</v>
      </c>
      <c r="EZ52" t="e">
        <f>#REF!+";Hb!$b9"</f>
        <v>#REF!</v>
      </c>
      <c r="FA52" t="e">
        <f>#REF!+";Hb!$b:"</f>
        <v>#REF!</v>
      </c>
      <c r="FB52" t="e">
        <f>#REF!+";Hb!$b;"</f>
        <v>#REF!</v>
      </c>
      <c r="FC52" t="e">
        <f>#REF!+";Hb!$b&lt;"</f>
        <v>#REF!</v>
      </c>
      <c r="FD52" t="e">
        <f>#REF!+";Hb!$b="</f>
        <v>#REF!</v>
      </c>
      <c r="FE52" t="e">
        <f>#REF!+";Hb!$b&gt;"</f>
        <v>#REF!</v>
      </c>
      <c r="FF52" t="e">
        <f>#REF!+";Hb!$b?"</f>
        <v>#REF!</v>
      </c>
      <c r="FG52" t="e">
        <f>#REF!+";Hb!$b@"</f>
        <v>#REF!</v>
      </c>
      <c r="FH52" t="e">
        <f>#REF!+";Hb!$bA"</f>
        <v>#REF!</v>
      </c>
      <c r="FI52" t="e">
        <f>#REF!+";Hb!$bB"</f>
        <v>#REF!</v>
      </c>
      <c r="FJ52" t="e">
        <f>#REF!+";Hb!$bC"</f>
        <v>#REF!</v>
      </c>
      <c r="FK52" t="e">
        <f>#REF!+";Hb!$bD"</f>
        <v>#REF!</v>
      </c>
      <c r="FL52" t="e">
        <f>#REF!+";Hb!$bE"</f>
        <v>#REF!</v>
      </c>
      <c r="FM52" t="e">
        <f>#REF!+";Hb!$bF"</f>
        <v>#REF!</v>
      </c>
      <c r="FN52" t="e">
        <f>#REF!+";Hb!$bG"</f>
        <v>#REF!</v>
      </c>
      <c r="FO52" t="e">
        <f>#REF!+";Hb!$bH"</f>
        <v>#REF!</v>
      </c>
      <c r="FP52" t="e">
        <f>#REF!+";Hb!$bI"</f>
        <v>#REF!</v>
      </c>
      <c r="FQ52" t="e">
        <f>#REF!+";Hb!$bJ"</f>
        <v>#REF!</v>
      </c>
      <c r="FR52" t="e">
        <f>#REF!+";Hb!$bK"</f>
        <v>#REF!</v>
      </c>
      <c r="FS52" t="e">
        <f>#REF!+";Hb!$bL"</f>
        <v>#REF!</v>
      </c>
      <c r="FT52" t="e">
        <f>#REF!+";Hb!$bM"</f>
        <v>#REF!</v>
      </c>
      <c r="FU52" t="e">
        <f>#REF!+";Hb!$bN"</f>
        <v>#REF!</v>
      </c>
      <c r="FV52" t="e">
        <f>#REF!+";Hb!$bO"</f>
        <v>#REF!</v>
      </c>
      <c r="FW52" t="e">
        <f>#REF!+";Hb!$bP"</f>
        <v>#REF!</v>
      </c>
      <c r="FX52" t="e">
        <f>#REF!+";Hb!$bQ"</f>
        <v>#REF!</v>
      </c>
      <c r="FY52" t="e">
        <f>#REF!+";Hb!$bR"</f>
        <v>#REF!</v>
      </c>
      <c r="FZ52" t="e">
        <f>#REF!+";Hb!$bS"</f>
        <v>#REF!</v>
      </c>
      <c r="GA52" t="e">
        <f>#REF!+";Hb!$bT"</f>
        <v>#REF!</v>
      </c>
      <c r="GB52" t="e">
        <f>#REF!+";Hb!$bU"</f>
        <v>#REF!</v>
      </c>
      <c r="GC52" t="e">
        <f>#REF!+";Hb!$bV"</f>
        <v>#REF!</v>
      </c>
      <c r="GD52" t="e">
        <f>#REF!+";Hb!$bW"</f>
        <v>#REF!</v>
      </c>
      <c r="GE52" t="e">
        <f>#REF!+";Hb!$bX"</f>
        <v>#REF!</v>
      </c>
      <c r="GF52" t="e">
        <f>#REF!+";Hb!$bY"</f>
        <v>#REF!</v>
      </c>
      <c r="GG52" t="e">
        <f>#REF!+";Hb!$bZ"</f>
        <v>#REF!</v>
      </c>
      <c r="GH52" t="e">
        <f>#REF!+";Hb!$b["</f>
        <v>#REF!</v>
      </c>
      <c r="GI52" t="e">
        <f>#REF!+";Hb!$b\"</f>
        <v>#REF!</v>
      </c>
      <c r="GJ52" t="e">
        <f>#REF!+";Hb!$b]"</f>
        <v>#REF!</v>
      </c>
      <c r="GK52" t="e">
        <f>#REF!+";Hb!$b^"</f>
        <v>#REF!</v>
      </c>
      <c r="GL52" t="e">
        <f>#REF!+";Hb!$b_"</f>
        <v>#REF!</v>
      </c>
      <c r="GM52" t="e">
        <f>#REF!+";Hb!$b`"</f>
        <v>#REF!</v>
      </c>
      <c r="GN52" t="e">
        <f>#REF!+";Hb!$ba"</f>
        <v>#REF!</v>
      </c>
      <c r="GO52" t="e">
        <f>#REF!+";Hb!$bb"</f>
        <v>#REF!</v>
      </c>
      <c r="GP52" t="e">
        <f>#REF!+";Hb!$bc"</f>
        <v>#REF!</v>
      </c>
      <c r="GQ52" t="e">
        <f>#REF!+";Hb!$bd"</f>
        <v>#REF!</v>
      </c>
      <c r="GR52" t="e">
        <f>#REF!+";Hb!$be"</f>
        <v>#REF!</v>
      </c>
      <c r="GS52" t="e">
        <f>#REF!+";Hb!$bf"</f>
        <v>#REF!</v>
      </c>
      <c r="GT52" t="e">
        <f>#REF!+";Hb!$bg"</f>
        <v>#REF!</v>
      </c>
      <c r="GU52" t="e">
        <f>#REF!+";Hb!$bh"</f>
        <v>#REF!</v>
      </c>
      <c r="GV52" t="e">
        <f>#REF!+";Hb!$bi"</f>
        <v>#REF!</v>
      </c>
      <c r="GW52" t="e">
        <f>#REF!+";Hb!$bj"</f>
        <v>#REF!</v>
      </c>
      <c r="GX52" t="e">
        <f>#REF!+";Hb!$bk"</f>
        <v>#REF!</v>
      </c>
      <c r="GY52" t="e">
        <f>#REF!+";Hb!$bl"</f>
        <v>#REF!</v>
      </c>
      <c r="GZ52" t="e">
        <f>#REF!+";Hb!$bm"</f>
        <v>#REF!</v>
      </c>
      <c r="HA52" t="e">
        <f>#REF!+";Hb!$bn"</f>
        <v>#REF!</v>
      </c>
      <c r="HB52" t="e">
        <f>#REF!+";Hb!$bo"</f>
        <v>#REF!</v>
      </c>
      <c r="HC52" t="e">
        <f>#REF!+";Hb!$bp"</f>
        <v>#REF!</v>
      </c>
      <c r="HD52" t="e">
        <f>#REF!+";Hb!$bq"</f>
        <v>#REF!</v>
      </c>
      <c r="HE52" t="e">
        <f>#REF!+";Hb!$br"</f>
        <v>#REF!</v>
      </c>
      <c r="HF52" t="e">
        <f>#REF!+";Hb!$bs"</f>
        <v>#REF!</v>
      </c>
      <c r="HG52" t="e">
        <f>#REF!+";Hb!$bt"</f>
        <v>#REF!</v>
      </c>
      <c r="HH52" t="e">
        <f>#REF!+";Hb!$bu"</f>
        <v>#REF!</v>
      </c>
      <c r="HI52" t="e">
        <f>#REF!+";Hb!$bv"</f>
        <v>#REF!</v>
      </c>
      <c r="HJ52" t="e">
        <f>#REF!+";Hb!$bw"</f>
        <v>#REF!</v>
      </c>
      <c r="HK52" t="e">
        <f>#REF!+";Hb!$bx"</f>
        <v>#REF!</v>
      </c>
      <c r="HL52" t="e">
        <f>#REF!+";Hb!$by"</f>
        <v>#REF!</v>
      </c>
      <c r="HM52" t="e">
        <f>#REF!+";Hb!$bz"</f>
        <v>#REF!</v>
      </c>
      <c r="HN52" t="e">
        <f>#REF!+";Hb!$b{"</f>
        <v>#REF!</v>
      </c>
      <c r="HO52" t="e">
        <f>#REF!+";Hb!$b|"</f>
        <v>#REF!</v>
      </c>
      <c r="HP52" t="e">
        <f>#REF!+";Hb!$b}"</f>
        <v>#REF!</v>
      </c>
      <c r="HQ52" t="e">
        <f>#REF!+";Hb!$b~"</f>
        <v>#REF!</v>
      </c>
      <c r="HR52" t="e">
        <f>#REF!+";Hb!$c#"</f>
        <v>#REF!</v>
      </c>
      <c r="HS52" t="e">
        <f>#REF!+";Hb!$c$"</f>
        <v>#REF!</v>
      </c>
      <c r="HT52" t="e">
        <f>#REF!+";Hb!$c%"</f>
        <v>#REF!</v>
      </c>
      <c r="HU52" t="e">
        <f>#REF!+";Hb!$c&amp;"</f>
        <v>#REF!</v>
      </c>
      <c r="HV52" t="e">
        <f>#REF!+";Hb!$c'"</f>
        <v>#REF!</v>
      </c>
      <c r="HW52" t="e">
        <f>#REF!+";Hb!$c("</f>
        <v>#REF!</v>
      </c>
      <c r="HX52" t="e">
        <f>#REF!+";Hb!$c)"</f>
        <v>#REF!</v>
      </c>
      <c r="HY52" t="e">
        <f>#REF!+";Hb!$c."</f>
        <v>#REF!</v>
      </c>
      <c r="HZ52" t="e">
        <f>#REF!+";Hb!$c/"</f>
        <v>#REF!</v>
      </c>
      <c r="IA52" t="e">
        <f>#REF!+";Hb!$c0"</f>
        <v>#REF!</v>
      </c>
      <c r="IB52" t="e">
        <f>#REF!+";Hb!$c1"</f>
        <v>#REF!</v>
      </c>
      <c r="IC52" t="e">
        <f>#REF!+";Hb!$c2"</f>
        <v>#REF!</v>
      </c>
      <c r="ID52" t="e">
        <f>#REF!+";Hb!$c3"</f>
        <v>#REF!</v>
      </c>
      <c r="IE52" t="e">
        <f>#REF!+";Hb!$c4"</f>
        <v>#REF!</v>
      </c>
      <c r="IF52" t="e">
        <f>#REF!+";Hb!$c5"</f>
        <v>#REF!</v>
      </c>
      <c r="IG52" t="e">
        <f>#REF!+";Hb!$c6"</f>
        <v>#REF!</v>
      </c>
      <c r="IH52" t="e">
        <f>#REF!+";Hb!$c7"</f>
        <v>#REF!</v>
      </c>
      <c r="II52" t="e">
        <f>#REF!+";Hb!$c8"</f>
        <v>#REF!</v>
      </c>
      <c r="IJ52" t="e">
        <f>#REF!+";Hb!$c9"</f>
        <v>#REF!</v>
      </c>
      <c r="IK52" t="e">
        <f>#REF!+";Hb!$c:"</f>
        <v>#REF!</v>
      </c>
      <c r="IL52" t="e">
        <f>#REF!+";Hb!$c;"</f>
        <v>#REF!</v>
      </c>
      <c r="IM52" t="e">
        <f>#REF!+";Hb!$c&lt;"</f>
        <v>#REF!</v>
      </c>
      <c r="IN52" t="e">
        <f>#REF!+";Hb!$c="</f>
        <v>#REF!</v>
      </c>
      <c r="IO52" t="e">
        <f>#REF!+";Hb!$c&gt;"</f>
        <v>#REF!</v>
      </c>
      <c r="IP52" t="e">
        <f>#REF!+";Hb!$c?"</f>
        <v>#REF!</v>
      </c>
      <c r="IQ52" t="e">
        <f>#REF!+";Hb!$c@"</f>
        <v>#REF!</v>
      </c>
      <c r="IR52" t="e">
        <f>#REF!+";Hb!$cA"</f>
        <v>#REF!</v>
      </c>
      <c r="IS52" t="e">
        <f>#REF!+";Hb!$cB"</f>
        <v>#REF!</v>
      </c>
      <c r="IT52" t="e">
        <f>#REF!+";Hb!$cC"</f>
        <v>#REF!</v>
      </c>
      <c r="IU52" t="e">
        <f>#REF!+";Hb!$cD"</f>
        <v>#REF!</v>
      </c>
      <c r="IV52" t="e">
        <f>#REF!+";Hb!$cE"</f>
        <v>#REF!</v>
      </c>
    </row>
    <row r="53" spans="6:256" x14ac:dyDescent="0.25">
      <c r="F53" t="e">
        <f>#REF!+";Hb!$cF"</f>
        <v>#REF!</v>
      </c>
      <c r="G53" t="e">
        <f>#REF!+";Hb!$cG"</f>
        <v>#REF!</v>
      </c>
      <c r="H53" t="e">
        <f>#REF!+";Hb!$cH"</f>
        <v>#REF!</v>
      </c>
      <c r="I53" t="e">
        <f>#REF!+";Hb!$cI"</f>
        <v>#REF!</v>
      </c>
      <c r="J53" t="e">
        <f>#REF!+";Hb!$cJ"</f>
        <v>#REF!</v>
      </c>
      <c r="K53" t="e">
        <f>#REF!+";Hb!$cK"</f>
        <v>#REF!</v>
      </c>
      <c r="L53" t="e">
        <f>#REF!+";Hb!$cL"</f>
        <v>#REF!</v>
      </c>
      <c r="M53" t="e">
        <f>#REF!+";Hb!$cM"</f>
        <v>#REF!</v>
      </c>
      <c r="N53" t="e">
        <f>#REF!+";Hb!$cN"</f>
        <v>#REF!</v>
      </c>
      <c r="O53" t="e">
        <f>#REF!+";Hb!$cO"</f>
        <v>#REF!</v>
      </c>
      <c r="P53" t="e">
        <f>#REF!+";Hb!$cP"</f>
        <v>#REF!</v>
      </c>
      <c r="Q53" t="e">
        <f>#REF!+";Hb!$cQ"</f>
        <v>#REF!</v>
      </c>
      <c r="R53" t="e">
        <f>#REF!+";Hb!$cR"</f>
        <v>#REF!</v>
      </c>
      <c r="S53" t="e">
        <f>#REF!+";Hb!$cS"</f>
        <v>#REF!</v>
      </c>
      <c r="T53" t="e">
        <f>#REF!+";Hb!$cT"</f>
        <v>#REF!</v>
      </c>
      <c r="U53" t="e">
        <f>#REF!+";Hb!$cU"</f>
        <v>#REF!</v>
      </c>
      <c r="V53" t="e">
        <f>#REF!+";Hb!$cV"</f>
        <v>#REF!</v>
      </c>
      <c r="W53" t="e">
        <f>#REF!+";Hb!$cW"</f>
        <v>#REF!</v>
      </c>
      <c r="X53" t="e">
        <f>#REF!+";Hb!$cX"</f>
        <v>#REF!</v>
      </c>
      <c r="Y53" t="e">
        <f>#REF!+";Hb!$cY"</f>
        <v>#REF!</v>
      </c>
      <c r="Z53" t="e">
        <f>#REF!+";Hb!$cZ"</f>
        <v>#REF!</v>
      </c>
      <c r="AA53" t="e">
        <f>#REF!+";Hb!$c["</f>
        <v>#REF!</v>
      </c>
      <c r="AB53" t="e">
        <f>#REF!+";Hb!$c\"</f>
        <v>#REF!</v>
      </c>
      <c r="AC53" t="e">
        <f>#REF!+";Hb!$c]"</f>
        <v>#REF!</v>
      </c>
      <c r="AD53" t="e">
        <f>#REF!+";Hb!$c^"</f>
        <v>#REF!</v>
      </c>
      <c r="AE53" t="e">
        <f>#REF!+";Hb!$c_"</f>
        <v>#REF!</v>
      </c>
      <c r="AF53" t="e">
        <f>#REF!+";Hb!$c`"</f>
        <v>#REF!</v>
      </c>
      <c r="AG53" t="e">
        <f>#REF!+";Hb!$ca"</f>
        <v>#REF!</v>
      </c>
      <c r="AH53" t="e">
        <f>#REF!+";Hb!$cb"</f>
        <v>#REF!</v>
      </c>
      <c r="AI53" t="e">
        <f>#REF!+";Hb!$cc"</f>
        <v>#REF!</v>
      </c>
      <c r="AJ53" t="e">
        <f>#REF!+";Hb!$cd"</f>
        <v>#REF!</v>
      </c>
      <c r="AK53" t="e">
        <f>#REF!+";Hb!$ce"</f>
        <v>#REF!</v>
      </c>
      <c r="AL53" t="e">
        <f>#REF!+";Hb!$cf"</f>
        <v>#REF!</v>
      </c>
      <c r="AM53" t="e">
        <f>#REF!+";Hb!$cg"</f>
        <v>#REF!</v>
      </c>
      <c r="AN53" t="e">
        <f>#REF!+";Hb!$ch"</f>
        <v>#REF!</v>
      </c>
      <c r="AO53" t="e">
        <f>#REF!+";Hb!$ci"</f>
        <v>#REF!</v>
      </c>
      <c r="AP53" t="e">
        <f>#REF!+";Hb!$cj"</f>
        <v>#REF!</v>
      </c>
      <c r="AQ53" t="e">
        <f>#REF!+";Hb!$ck"</f>
        <v>#REF!</v>
      </c>
      <c r="AR53" t="e">
        <f>#REF!+";Hb!$cl"</f>
        <v>#REF!</v>
      </c>
      <c r="AS53" t="e">
        <f>#REF!+";Hb!$cm"</f>
        <v>#REF!</v>
      </c>
      <c r="AT53" t="e">
        <f>#REF!+";Hb!$cn"</f>
        <v>#REF!</v>
      </c>
      <c r="AU53" t="e">
        <f>#REF!+";Hb!$co"</f>
        <v>#REF!</v>
      </c>
      <c r="AV53" t="e">
        <f>#REF!+";Hb!$cp"</f>
        <v>#REF!</v>
      </c>
      <c r="AW53" t="e">
        <f>#REF!+";Hb!$cq"</f>
        <v>#REF!</v>
      </c>
      <c r="AX53" t="e">
        <f>#REF!+";Hb!$cr"</f>
        <v>#REF!</v>
      </c>
      <c r="AY53" t="e">
        <f>#REF!+";Hb!$cs"</f>
        <v>#REF!</v>
      </c>
      <c r="AZ53" t="e">
        <f>#REF!+";Hb!$ct"</f>
        <v>#REF!</v>
      </c>
      <c r="BA53" t="e">
        <f>#REF!+";Hb!$cu"</f>
        <v>#REF!</v>
      </c>
      <c r="BB53" t="e">
        <f>#REF!+";Hb!$cv"</f>
        <v>#REF!</v>
      </c>
      <c r="BC53" t="e">
        <f>#REF!+";Hb!$cw"</f>
        <v>#REF!</v>
      </c>
      <c r="BD53" t="e">
        <f>#REF!+";Hb!$cx"</f>
        <v>#REF!</v>
      </c>
      <c r="BE53" t="e">
        <f>#REF!+";Hb!$cy"</f>
        <v>#REF!</v>
      </c>
      <c r="BF53" t="e">
        <f>#REF!+";Hb!$cz"</f>
        <v>#REF!</v>
      </c>
      <c r="BG53" t="e">
        <f>#REF!+";Hb!$c{"</f>
        <v>#REF!</v>
      </c>
      <c r="BH53" t="e">
        <f>#REF!+";Hb!$c|"</f>
        <v>#REF!</v>
      </c>
      <c r="BI53" t="e">
        <f>#REF!+";Hb!$c}"</f>
        <v>#REF!</v>
      </c>
      <c r="BJ53" t="e">
        <f>#REF!+";Hb!$c~"</f>
        <v>#REF!</v>
      </c>
      <c r="BK53" t="e">
        <f>#REF!+";Hb!$d#"</f>
        <v>#REF!</v>
      </c>
      <c r="BL53" t="e">
        <f>#REF!+";Hb!$d$"</f>
        <v>#REF!</v>
      </c>
      <c r="BM53" t="e">
        <f>#REF!+";Hb!$d%"</f>
        <v>#REF!</v>
      </c>
      <c r="BN53" t="e">
        <f>#REF!+";Hb!$d&amp;"</f>
        <v>#REF!</v>
      </c>
      <c r="BO53" t="e">
        <f>#REF!+";Hb!$d'"</f>
        <v>#REF!</v>
      </c>
      <c r="BP53" t="e">
        <f>#REF!+";Hb!$d("</f>
        <v>#REF!</v>
      </c>
      <c r="BQ53" t="e">
        <f>#REF!+";Hb!$d)"</f>
        <v>#REF!</v>
      </c>
      <c r="BR53" t="e">
        <f>#REF!+";Hb!$d."</f>
        <v>#REF!</v>
      </c>
      <c r="BS53" t="e">
        <f>#REF!+";Hb!$d/"</f>
        <v>#REF!</v>
      </c>
      <c r="BT53" t="e">
        <f>#REF!+";Hb!$d0"</f>
        <v>#REF!</v>
      </c>
      <c r="BU53" t="e">
        <f>#REF!+";Hb!$d1"</f>
        <v>#REF!</v>
      </c>
      <c r="BV53" t="e">
        <f>#REF!+";Hb!$d2"</f>
        <v>#REF!</v>
      </c>
      <c r="BW53" t="e">
        <f>#REF!+";Hb!$d3"</f>
        <v>#REF!</v>
      </c>
      <c r="BX53" t="e">
        <f>#REF!+";Hb!$d4"</f>
        <v>#REF!</v>
      </c>
      <c r="BY53" t="e">
        <f>#REF!+";Hb!$d5"</f>
        <v>#REF!</v>
      </c>
      <c r="BZ53" t="e">
        <f>#REF!+";Hb!$d6"</f>
        <v>#REF!</v>
      </c>
      <c r="CA53" t="e">
        <f>#REF!+";Hb!$d7"</f>
        <v>#REF!</v>
      </c>
      <c r="CB53" t="e">
        <f>#REF!+";Hb!$d8"</f>
        <v>#REF!</v>
      </c>
      <c r="CC53" t="e">
        <f>#REF!+";Hb!$d9"</f>
        <v>#REF!</v>
      </c>
      <c r="CD53" t="e">
        <f>#REF!+";Hb!$d:"</f>
        <v>#REF!</v>
      </c>
      <c r="CE53" t="e">
        <f>#REF!+";Hb!$d;"</f>
        <v>#REF!</v>
      </c>
      <c r="CF53" t="e">
        <f>#REF!+";Hb!$d&lt;"</f>
        <v>#REF!</v>
      </c>
      <c r="CG53" t="e">
        <f>#REF!+";Hb!$d="</f>
        <v>#REF!</v>
      </c>
      <c r="CH53" t="e">
        <f>#REF!+";Hb!$d&gt;"</f>
        <v>#REF!</v>
      </c>
      <c r="CI53" t="e">
        <f>#REF!+";Hb!$d?"</f>
        <v>#REF!</v>
      </c>
      <c r="CJ53" t="e">
        <f>#REF!+";Hb!$d@"</f>
        <v>#REF!</v>
      </c>
      <c r="CK53" t="e">
        <f>#REF!+";Hb!$dA"</f>
        <v>#REF!</v>
      </c>
      <c r="CL53" t="e">
        <f>#REF!+";Hb!$dB"</f>
        <v>#REF!</v>
      </c>
      <c r="CM53" t="e">
        <f>#REF!+";Hb!$dC"</f>
        <v>#REF!</v>
      </c>
      <c r="CN53" t="e">
        <f>#REF!+";Hb!$dD"</f>
        <v>#REF!</v>
      </c>
      <c r="CO53" t="e">
        <f>#REF!+";Hb!$dE"</f>
        <v>#REF!</v>
      </c>
      <c r="CP53" t="e">
        <f>#REF!+";Hb!$dF"</f>
        <v>#REF!</v>
      </c>
      <c r="CQ53" t="e">
        <f>#REF!+";Hb!$dG"</f>
        <v>#REF!</v>
      </c>
      <c r="CR53" t="e">
        <f>#REF!+";Hb!$dH"</f>
        <v>#REF!</v>
      </c>
      <c r="CS53" t="e">
        <f>#REF!+";Hb!$dI"</f>
        <v>#REF!</v>
      </c>
      <c r="CT53" t="e">
        <f>#REF!+";Hb!$dJ"</f>
        <v>#REF!</v>
      </c>
      <c r="CU53" t="e">
        <f>#REF!+";Hb!$dK"</f>
        <v>#REF!</v>
      </c>
      <c r="CV53" t="e">
        <f>#REF!+";Hb!$dL"</f>
        <v>#REF!</v>
      </c>
      <c r="CW53" t="e">
        <f>#REF!+";Hb!$dM"</f>
        <v>#REF!</v>
      </c>
      <c r="CX53" t="e">
        <f>#REF!+";Hb!$dN"</f>
        <v>#REF!</v>
      </c>
      <c r="CY53" t="e">
        <f>#REF!+";Hb!$dO"</f>
        <v>#REF!</v>
      </c>
      <c r="CZ53" t="e">
        <f>#REF!+";Hb!$dP"</f>
        <v>#REF!</v>
      </c>
      <c r="DA53" t="e">
        <f>#REF!+";Hb!$dQ"</f>
        <v>#REF!</v>
      </c>
      <c r="DB53" t="e">
        <f>#REF!+";Hb!$dR"</f>
        <v>#REF!</v>
      </c>
      <c r="DC53" t="e">
        <f>#REF!+";Hb!$dS"</f>
        <v>#REF!</v>
      </c>
      <c r="DD53" t="e">
        <f>#REF!+";Hb!$dT"</f>
        <v>#REF!</v>
      </c>
      <c r="DE53" t="e">
        <f>#REF!+";Hb!$dU"</f>
        <v>#REF!</v>
      </c>
      <c r="DF53" t="e">
        <f>#REF!+";Hb!$dV"</f>
        <v>#REF!</v>
      </c>
      <c r="DG53" t="e">
        <f>#REF!+";Hb!$dW"</f>
        <v>#REF!</v>
      </c>
      <c r="DH53" t="e">
        <f>#REF!+";Hb!$dX"</f>
        <v>#REF!</v>
      </c>
      <c r="DI53" t="e">
        <f>#REF!+";Hb!$dY"</f>
        <v>#REF!</v>
      </c>
      <c r="DJ53" t="e">
        <f>#REF!+";Hb!$dZ"</f>
        <v>#REF!</v>
      </c>
      <c r="DK53" t="e">
        <f>#REF!+";Hb!$d["</f>
        <v>#REF!</v>
      </c>
      <c r="DL53" t="e">
        <f>#REF!+";Hb!$d\"</f>
        <v>#REF!</v>
      </c>
      <c r="DM53" t="e">
        <f>#REF!+";Hb!$d]"</f>
        <v>#REF!</v>
      </c>
      <c r="DN53" t="e">
        <f>#REF!+";Hb!$d^"</f>
        <v>#REF!</v>
      </c>
      <c r="DO53" t="e">
        <f>#REF!+";Hb!$d_"</f>
        <v>#REF!</v>
      </c>
      <c r="DP53" t="e">
        <f>#REF!+";Hb!$d`"</f>
        <v>#REF!</v>
      </c>
      <c r="DQ53" t="e">
        <f>#REF!+";Hb!$da"</f>
        <v>#REF!</v>
      </c>
      <c r="DR53" t="e">
        <f>#REF!+";Hb!$db"</f>
        <v>#REF!</v>
      </c>
      <c r="DS53" t="e">
        <f>#REF!+";Hb!$dc"</f>
        <v>#REF!</v>
      </c>
      <c r="DT53" t="e">
        <f>#REF!+";Hb!$dd"</f>
        <v>#REF!</v>
      </c>
      <c r="DU53" t="e">
        <f>#REF!+";Hb!$de"</f>
        <v>#REF!</v>
      </c>
      <c r="DV53" t="e">
        <f>#REF!+";Hb!$df"</f>
        <v>#REF!</v>
      </c>
      <c r="DW53" t="e">
        <f>#REF!+";Hb!$dg"</f>
        <v>#REF!</v>
      </c>
      <c r="DX53" t="e">
        <f>#REF!+";Hb!$dh"</f>
        <v>#REF!</v>
      </c>
      <c r="DY53" t="e">
        <f>#REF!+";Hb!$di"</f>
        <v>#REF!</v>
      </c>
      <c r="DZ53" t="e">
        <f>#REF!+";Hb!$dj"</f>
        <v>#REF!</v>
      </c>
      <c r="EA53" t="e">
        <f>#REF!+";Hb!$dk"</f>
        <v>#REF!</v>
      </c>
      <c r="EB53" t="e">
        <f>#REF!+";Hb!$dl"</f>
        <v>#REF!</v>
      </c>
      <c r="EC53" t="e">
        <f>#REF!+";Hb!$dm"</f>
        <v>#REF!</v>
      </c>
      <c r="ED53" t="e">
        <f>#REF!+";Hb!$dn"</f>
        <v>#REF!</v>
      </c>
      <c r="EE53" t="e">
        <f>#REF!+";Hb!$do"</f>
        <v>#REF!</v>
      </c>
      <c r="EF53" t="e">
        <f>#REF!+";Hb!$dp"</f>
        <v>#REF!</v>
      </c>
      <c r="EG53" t="e">
        <f>#REF!+";Hb!$dq"</f>
        <v>#REF!</v>
      </c>
      <c r="EH53" t="e">
        <f>#REF!+";Hb!$dr"</f>
        <v>#REF!</v>
      </c>
      <c r="EI53" t="e">
        <f>#REF!+";Hb!$ds"</f>
        <v>#REF!</v>
      </c>
      <c r="EJ53" t="e">
        <f>#REF!+";Hb!$dt"</f>
        <v>#REF!</v>
      </c>
      <c r="EK53" t="e">
        <f>#REF!+";Hb!$du"</f>
        <v>#REF!</v>
      </c>
      <c r="EL53" t="e">
        <f>#REF!+";Hb!$dv"</f>
        <v>#REF!</v>
      </c>
      <c r="EM53" t="e">
        <f>#REF!+";Hb!$dw"</f>
        <v>#REF!</v>
      </c>
      <c r="EN53" t="e">
        <f>#REF!+";Hb!$dx"</f>
        <v>#REF!</v>
      </c>
      <c r="EO53" t="e">
        <f>#REF!+";Hb!$dy"</f>
        <v>#REF!</v>
      </c>
      <c r="EP53" t="e">
        <f>#REF!+";Hb!$dz"</f>
        <v>#REF!</v>
      </c>
      <c r="EQ53" t="e">
        <f>#REF!+";Hb!$d{"</f>
        <v>#REF!</v>
      </c>
      <c r="ER53" t="e">
        <f>#REF!+";Hb!$d|"</f>
        <v>#REF!</v>
      </c>
      <c r="ES53" t="e">
        <f>#REF!+";Hb!$d}"</f>
        <v>#REF!</v>
      </c>
      <c r="ET53" t="e">
        <f>#REF!+";Hb!$d~"</f>
        <v>#REF!</v>
      </c>
      <c r="EU53" t="e">
        <f>#REF!+";Hb!$e#"</f>
        <v>#REF!</v>
      </c>
      <c r="EV53" t="e">
        <f>#REF!+";Hb!$e$"</f>
        <v>#REF!</v>
      </c>
      <c r="EW53" t="e">
        <f>#REF!+";Hb!$e%"</f>
        <v>#REF!</v>
      </c>
      <c r="EX53" t="e">
        <f>#REF!+";Hb!$e&amp;"</f>
        <v>#REF!</v>
      </c>
      <c r="EY53" t="e">
        <f>#REF!+";Hb!$e'"</f>
        <v>#REF!</v>
      </c>
      <c r="EZ53" t="e">
        <f>#REF!+";Hb!$e("</f>
        <v>#REF!</v>
      </c>
      <c r="FA53" t="e">
        <f>#REF!+";Hb!$e)"</f>
        <v>#REF!</v>
      </c>
      <c r="FB53" t="e">
        <f>#REF!+";Hb!$e."</f>
        <v>#REF!</v>
      </c>
      <c r="FC53" t="e">
        <f>#REF!+";Hb!$e/"</f>
        <v>#REF!</v>
      </c>
      <c r="FD53" t="e">
        <f>#REF!+";Hb!$e0"</f>
        <v>#REF!</v>
      </c>
      <c r="FE53" t="e">
        <f>#REF!+";Hb!$e1"</f>
        <v>#REF!</v>
      </c>
      <c r="FF53" t="e">
        <f>#REF!+";Hb!$e2"</f>
        <v>#REF!</v>
      </c>
      <c r="FG53" t="e">
        <f>#REF!+";Hb!$e3"</f>
        <v>#REF!</v>
      </c>
      <c r="FH53" t="e">
        <f>#REF!+";Hb!$e4"</f>
        <v>#REF!</v>
      </c>
      <c r="FI53" t="e">
        <f>#REF!+";Hb!$e5"</f>
        <v>#REF!</v>
      </c>
      <c r="FJ53" t="e">
        <f>#REF!+";Hb!$e6"</f>
        <v>#REF!</v>
      </c>
      <c r="FK53" t="e">
        <f>#REF!+";Hb!$e7"</f>
        <v>#REF!</v>
      </c>
      <c r="FL53" t="e">
        <f>#REF!+";Hb!$e8"</f>
        <v>#REF!</v>
      </c>
      <c r="FM53" t="e">
        <f>#REF!+";Hb!$e9"</f>
        <v>#REF!</v>
      </c>
      <c r="FN53" t="e">
        <f>#REF!+";Hb!$e:"</f>
        <v>#REF!</v>
      </c>
      <c r="FO53" t="e">
        <f>#REF!+";Hb!$e;"</f>
        <v>#REF!</v>
      </c>
      <c r="FP53" t="e">
        <f>#REF!+";Hb!$e&lt;"</f>
        <v>#REF!</v>
      </c>
      <c r="FQ53" t="e">
        <f>#REF!+";Hb!$e="</f>
        <v>#REF!</v>
      </c>
      <c r="FR53" t="e">
        <f>#REF!+";Hb!$e&gt;"</f>
        <v>#REF!</v>
      </c>
      <c r="FS53" t="e">
        <f>#REF!+";Hb!$e?"</f>
        <v>#REF!</v>
      </c>
      <c r="FT53" t="e">
        <f>#REF!+";Hb!$e@"</f>
        <v>#REF!</v>
      </c>
      <c r="FU53" t="e">
        <f>#REF!+";Hb!$eA"</f>
        <v>#REF!</v>
      </c>
      <c r="FV53" t="e">
        <f>#REF!+";Hb!$eB"</f>
        <v>#REF!</v>
      </c>
      <c r="FW53" t="e">
        <f>#REF!+";Hb!$eC"</f>
        <v>#REF!</v>
      </c>
      <c r="FX53" t="e">
        <f>#REF!+";Hb!$eD"</f>
        <v>#REF!</v>
      </c>
      <c r="FY53" t="e">
        <f>#REF!+";Hb!$eE"</f>
        <v>#REF!</v>
      </c>
      <c r="FZ53" t="e">
        <f>#REF!+";Hb!$eF"</f>
        <v>#REF!</v>
      </c>
      <c r="GA53" t="e">
        <f>#REF!+";Hb!$eG"</f>
        <v>#REF!</v>
      </c>
      <c r="GB53" t="e">
        <f>#REF!+";Hb!$eH"</f>
        <v>#REF!</v>
      </c>
      <c r="GC53" t="e">
        <f>#REF!+";Hb!$eI"</f>
        <v>#REF!</v>
      </c>
      <c r="GD53" t="e">
        <f>#REF!+";Hb!$eJ"</f>
        <v>#REF!</v>
      </c>
      <c r="GE53" t="e">
        <f>#REF!+";Hb!$eK"</f>
        <v>#REF!</v>
      </c>
      <c r="GF53" t="e">
        <f>#REF!+";Hb!$eL"</f>
        <v>#REF!</v>
      </c>
      <c r="GG53" t="e">
        <f>#REF!+";Hb!$eM"</f>
        <v>#REF!</v>
      </c>
      <c r="GH53" t="e">
        <f>#REF!+";Hb!$eN"</f>
        <v>#REF!</v>
      </c>
      <c r="GI53" t="e">
        <f>#REF!+";Hb!$eO"</f>
        <v>#REF!</v>
      </c>
      <c r="GJ53" t="e">
        <f>#REF!+";Hb!$eP"</f>
        <v>#REF!</v>
      </c>
      <c r="GK53" t="e">
        <f>#REF!+";Hb!$eQ"</f>
        <v>#REF!</v>
      </c>
      <c r="GL53" t="e">
        <f>#REF!+";Hb!$eR"</f>
        <v>#REF!</v>
      </c>
      <c r="GM53" t="e">
        <f>#REF!+";Hb!$eS"</f>
        <v>#REF!</v>
      </c>
      <c r="GN53" t="e">
        <f>#REF!+";Hb!$eT"</f>
        <v>#REF!</v>
      </c>
      <c r="GO53" t="e">
        <f>#REF!+";Hb!$eU"</f>
        <v>#REF!</v>
      </c>
      <c r="GP53" t="e">
        <f>#REF!+";Hb!$eV"</f>
        <v>#REF!</v>
      </c>
      <c r="GQ53" t="e">
        <f>#REF!+";Hb!$eW"</f>
        <v>#REF!</v>
      </c>
      <c r="GR53" t="e">
        <f>#REF!+";Hb!$eX"</f>
        <v>#REF!</v>
      </c>
      <c r="GS53" t="e">
        <f>#REF!+";Hb!$eY"</f>
        <v>#REF!</v>
      </c>
      <c r="GT53" t="e">
        <f>#REF!+";Hb!$eZ"</f>
        <v>#REF!</v>
      </c>
      <c r="GU53" t="e">
        <f>#REF!+";Hb!$e["</f>
        <v>#REF!</v>
      </c>
      <c r="GV53" t="e">
        <f>#REF!+";Hb!$e\"</f>
        <v>#REF!</v>
      </c>
      <c r="GW53" t="e">
        <f>#REF!+";Hb!$e]"</f>
        <v>#REF!</v>
      </c>
      <c r="GX53" t="e">
        <f>#REF!+";Hb!$e^"</f>
        <v>#REF!</v>
      </c>
      <c r="GY53" t="e">
        <f>#REF!+";Hb!$e_"</f>
        <v>#REF!</v>
      </c>
      <c r="GZ53" t="e">
        <f>#REF!+";Hb!$e`"</f>
        <v>#REF!</v>
      </c>
      <c r="HA53" t="e">
        <f>#REF!+";Hb!$ea"</f>
        <v>#REF!</v>
      </c>
      <c r="HB53" t="e">
        <f>#REF!+";Hb!$eb"</f>
        <v>#REF!</v>
      </c>
      <c r="HC53" t="e">
        <f>#REF!+";Hb!$ec"</f>
        <v>#REF!</v>
      </c>
      <c r="HD53" t="e">
        <f>#REF!+";Hb!$ed"</f>
        <v>#REF!</v>
      </c>
      <c r="HE53" t="e">
        <f>#REF!+";Hb!$ee"</f>
        <v>#REF!</v>
      </c>
      <c r="HF53" t="e">
        <f>#REF!+";Hb!$ef"</f>
        <v>#REF!</v>
      </c>
      <c r="HG53" t="e">
        <f>#REF!+";Hb!$eg"</f>
        <v>#REF!</v>
      </c>
      <c r="HH53" t="e">
        <f>#REF!+";Hb!$eh"</f>
        <v>#REF!</v>
      </c>
      <c r="HI53" t="e">
        <f>#REF!+";Hb!$ei"</f>
        <v>#REF!</v>
      </c>
      <c r="HJ53" t="e">
        <f>#REF!+";Hb!$ej"</f>
        <v>#REF!</v>
      </c>
      <c r="HK53" t="e">
        <f>#REF!+";Hb!$ek"</f>
        <v>#REF!</v>
      </c>
      <c r="HL53" t="e">
        <f>#REF!+";Hb!$el"</f>
        <v>#REF!</v>
      </c>
      <c r="HM53" t="e">
        <f>#REF!+";Hb!$em"</f>
        <v>#REF!</v>
      </c>
      <c r="HN53" t="e">
        <f>#REF!+";Hb!$en"</f>
        <v>#REF!</v>
      </c>
      <c r="HO53" t="e">
        <f>#REF!+";Hb!$eo"</f>
        <v>#REF!</v>
      </c>
      <c r="HP53" t="e">
        <f>#REF!+";Hb!$ep"</f>
        <v>#REF!</v>
      </c>
      <c r="HQ53" t="e">
        <f>#REF!+";Hb!$eq"</f>
        <v>#REF!</v>
      </c>
      <c r="HR53" t="e">
        <f>#REF!+";Hb!$er"</f>
        <v>#REF!</v>
      </c>
      <c r="HS53" t="e">
        <f>#REF!+";Hb!$es"</f>
        <v>#REF!</v>
      </c>
      <c r="HT53" t="e">
        <f>#REF!+";Hb!$et"</f>
        <v>#REF!</v>
      </c>
      <c r="HU53" t="e">
        <f>#REF!+";Hb!$eu"</f>
        <v>#REF!</v>
      </c>
      <c r="HV53" t="e">
        <f>#REF!+";Hb!$ev"</f>
        <v>#REF!</v>
      </c>
      <c r="HW53" t="e">
        <f>#REF!+";Hb!$ew"</f>
        <v>#REF!</v>
      </c>
      <c r="HX53" t="e">
        <f>#REF!+";Hb!$ex"</f>
        <v>#REF!</v>
      </c>
      <c r="HY53" t="e">
        <f>#REF!+";Hb!$ey"</f>
        <v>#REF!</v>
      </c>
      <c r="HZ53" t="e">
        <f>#REF!+";Hb!$ez"</f>
        <v>#REF!</v>
      </c>
      <c r="IA53" t="e">
        <f>#REF!+";Hb!$e{"</f>
        <v>#REF!</v>
      </c>
      <c r="IB53" t="e">
        <f>#REF!+";Hb!$e|"</f>
        <v>#REF!</v>
      </c>
      <c r="IC53" t="e">
        <f>#REF!+";Hb!$e}"</f>
        <v>#REF!</v>
      </c>
      <c r="ID53" t="e">
        <f>#REF!+";Hb!$e~"</f>
        <v>#REF!</v>
      </c>
      <c r="IE53" t="e">
        <f>#REF!+";Hb!$f#"</f>
        <v>#REF!</v>
      </c>
      <c r="IF53" t="e">
        <f>#REF!+";Hb!$f$"</f>
        <v>#REF!</v>
      </c>
      <c r="IG53" t="e">
        <f>#REF!+";Hb!$f%"</f>
        <v>#REF!</v>
      </c>
      <c r="IH53" t="e">
        <f>#REF!+";Hb!$f&amp;"</f>
        <v>#REF!</v>
      </c>
      <c r="II53" t="e">
        <f>#REF!+";Hb!$f'"</f>
        <v>#REF!</v>
      </c>
      <c r="IJ53" t="e">
        <f>#REF!+";Hb!$f("</f>
        <v>#REF!</v>
      </c>
      <c r="IK53" t="e">
        <f>#REF!+";Hb!$f)"</f>
        <v>#REF!</v>
      </c>
      <c r="IL53" t="e">
        <f>#REF!+";Hb!$f."</f>
        <v>#REF!</v>
      </c>
      <c r="IM53" t="e">
        <f>#REF!+";Hb!$f/"</f>
        <v>#REF!</v>
      </c>
      <c r="IN53" t="e">
        <f>#REF!+";Hb!$f0"</f>
        <v>#REF!</v>
      </c>
      <c r="IO53" t="e">
        <f>#REF!+";Hb!$f1"</f>
        <v>#REF!</v>
      </c>
      <c r="IP53" t="e">
        <f>#REF!+";Hb!$f2"</f>
        <v>#REF!</v>
      </c>
      <c r="IQ53" t="e">
        <f>#REF!+";Hb!$f3"</f>
        <v>#REF!</v>
      </c>
      <c r="IR53" t="e">
        <f>#REF!+";Hb!$f4"</f>
        <v>#REF!</v>
      </c>
      <c r="IS53" t="e">
        <f>#REF!+";Hb!$f5"</f>
        <v>#REF!</v>
      </c>
      <c r="IT53" t="e">
        <f>#REF!+";Hb!$f6"</f>
        <v>#REF!</v>
      </c>
      <c r="IU53" t="e">
        <f>#REF!+";Hb!$f7"</f>
        <v>#REF!</v>
      </c>
      <c r="IV53" t="e">
        <f>#REF!+";Hb!$f8"</f>
        <v>#REF!</v>
      </c>
    </row>
    <row r="54" spans="6:256" x14ac:dyDescent="0.25">
      <c r="F54" t="e">
        <f>#REF!+";Hb!$f9"</f>
        <v>#REF!</v>
      </c>
      <c r="G54" t="e">
        <f>#REF!+";Hb!$f:"</f>
        <v>#REF!</v>
      </c>
      <c r="H54" t="e">
        <f>#REF!+";Hb!$f;"</f>
        <v>#REF!</v>
      </c>
      <c r="I54" t="e">
        <f>#REF!+";Hb!$f&lt;"</f>
        <v>#REF!</v>
      </c>
      <c r="J54" t="e">
        <f>#REF!+";Hb!$f="</f>
        <v>#REF!</v>
      </c>
      <c r="K54" t="e">
        <f>#REF!+";Hb!$f&gt;"</f>
        <v>#REF!</v>
      </c>
      <c r="L54" t="e">
        <f>#REF!+";Hb!$f?"</f>
        <v>#REF!</v>
      </c>
      <c r="M54" t="e">
        <f>#REF!+";Hb!$f@"</f>
        <v>#REF!</v>
      </c>
      <c r="N54" t="e">
        <f>#REF!+";Hb!$fA"</f>
        <v>#REF!</v>
      </c>
      <c r="O54" t="e">
        <f>#REF!+";Hb!$fB"</f>
        <v>#REF!</v>
      </c>
      <c r="P54" t="e">
        <f>#REF!+";Hb!$fC"</f>
        <v>#REF!</v>
      </c>
      <c r="Q54" t="e">
        <f>#REF!+";Hb!$fD"</f>
        <v>#REF!</v>
      </c>
      <c r="R54" t="e">
        <f>#REF!+";Hb!$fE"</f>
        <v>#REF!</v>
      </c>
      <c r="S54" t="e">
        <f>#REF!+";Hb!$fF"</f>
        <v>#REF!</v>
      </c>
      <c r="T54" t="e">
        <f>#REF!+";Hb!$fG"</f>
        <v>#REF!</v>
      </c>
      <c r="U54" t="e">
        <f>#REF!+";Hb!$fH"</f>
        <v>#REF!</v>
      </c>
      <c r="V54" t="e">
        <f>#REF!+";Hb!$fI"</f>
        <v>#REF!</v>
      </c>
      <c r="W54" t="e">
        <f>#REF!+";Hb!$fJ"</f>
        <v>#REF!</v>
      </c>
      <c r="X54" t="e">
        <f>#REF!+";Hb!$fK"</f>
        <v>#REF!</v>
      </c>
      <c r="Y54" t="e">
        <f>#REF!+";Hb!$fL"</f>
        <v>#REF!</v>
      </c>
      <c r="Z54" t="e">
        <f>#REF!+";Hb!$fM"</f>
        <v>#REF!</v>
      </c>
      <c r="AA54" t="e">
        <f>#REF!+";Hb!$fN"</f>
        <v>#REF!</v>
      </c>
      <c r="AB54" t="e">
        <f>#REF!+";Hb!$fO"</f>
        <v>#REF!</v>
      </c>
      <c r="AC54" t="e">
        <f>#REF!+";Hb!$fP"</f>
        <v>#REF!</v>
      </c>
      <c r="AD54" t="e">
        <f>#REF!+";Hb!$fQ"</f>
        <v>#REF!</v>
      </c>
      <c r="AE54" t="e">
        <f>#REF!+";Hb!$fR"</f>
        <v>#REF!</v>
      </c>
      <c r="AF54" t="e">
        <f>#REF!+";Hb!$fS"</f>
        <v>#REF!</v>
      </c>
      <c r="AG54" t="e">
        <f>#REF!+";Hb!$fT"</f>
        <v>#REF!</v>
      </c>
      <c r="AH54" t="e">
        <f>#REF!+";Hb!$fU"</f>
        <v>#REF!</v>
      </c>
      <c r="AI54" t="e">
        <f>#REF!+";Hb!$fV"</f>
        <v>#REF!</v>
      </c>
      <c r="AJ54" t="e">
        <f>#REF!+";Hb!$fW"</f>
        <v>#REF!</v>
      </c>
      <c r="AK54" t="e">
        <f>#REF!+";Hb!$fX"</f>
        <v>#REF!</v>
      </c>
      <c r="AL54" t="e">
        <f>#REF!+";Hb!$fY"</f>
        <v>#REF!</v>
      </c>
      <c r="AM54" t="e">
        <f>#REF!+";Hb!$fZ"</f>
        <v>#REF!</v>
      </c>
      <c r="AN54" t="e">
        <f>#REF!+";Hb!$f["</f>
        <v>#REF!</v>
      </c>
      <c r="AO54" t="e">
        <f>#REF!+";Hb!$f\"</f>
        <v>#REF!</v>
      </c>
      <c r="AP54" t="e">
        <f>#REF!+";Hb!$f]"</f>
        <v>#REF!</v>
      </c>
      <c r="AQ54" t="e">
        <f>#REF!+";Hb!$f^"</f>
        <v>#REF!</v>
      </c>
      <c r="AR54" t="e">
        <f>#REF!+";Hb!$f_"</f>
        <v>#REF!</v>
      </c>
      <c r="AS54" t="e">
        <f>#REF!+";Hb!$f`"</f>
        <v>#REF!</v>
      </c>
      <c r="AT54" t="e">
        <f>#REF!+";Hb!$fa"</f>
        <v>#REF!</v>
      </c>
      <c r="AU54" t="e">
        <f>#REF!+";Hb!$fb"</f>
        <v>#REF!</v>
      </c>
      <c r="AV54" t="e">
        <f>#REF!+";Hb!$fc"</f>
        <v>#REF!</v>
      </c>
      <c r="AW54" t="e">
        <f>#REF!+";Hb!$fd"</f>
        <v>#REF!</v>
      </c>
      <c r="AX54" t="e">
        <f>#REF!+";Hb!$fe"</f>
        <v>#REF!</v>
      </c>
      <c r="AY54" t="e">
        <f>#REF!+";Hb!$ff"</f>
        <v>#REF!</v>
      </c>
      <c r="AZ54" t="e">
        <f>#REF!+";Hb!$fg"</f>
        <v>#REF!</v>
      </c>
      <c r="BA54" t="e">
        <f>#REF!+";Hb!$fh"</f>
        <v>#REF!</v>
      </c>
      <c r="BB54" t="e">
        <f>#REF!+";Hb!$fi"</f>
        <v>#REF!</v>
      </c>
      <c r="BC54" t="e">
        <f>#REF!+";Hb!$fj"</f>
        <v>#REF!</v>
      </c>
      <c r="BD54" t="e">
        <f>#REF!+";Hb!$fk"</f>
        <v>#REF!</v>
      </c>
      <c r="BE54" t="e">
        <f>#REF!+";Hb!$fl"</f>
        <v>#REF!</v>
      </c>
      <c r="BF54" t="e">
        <f>#REF!+";Hb!$fm"</f>
        <v>#REF!</v>
      </c>
      <c r="BG54" t="e">
        <f>#REF!+";Hb!$fn"</f>
        <v>#REF!</v>
      </c>
      <c r="BH54" t="e">
        <f>#REF!+";Hb!$fo"</f>
        <v>#REF!</v>
      </c>
      <c r="BI54" t="e">
        <f>#REF!+";Hb!$fp"</f>
        <v>#REF!</v>
      </c>
      <c r="BJ54" t="e">
        <f>#REF!+";Hb!$fq"</f>
        <v>#REF!</v>
      </c>
      <c r="BK54" t="e">
        <f>#REF!+";Hb!$fr"</f>
        <v>#REF!</v>
      </c>
      <c r="BL54" t="e">
        <f>#REF!+";Hb!$fs"</f>
        <v>#REF!</v>
      </c>
      <c r="BM54" t="e">
        <f>#REF!+";Hb!$ft"</f>
        <v>#REF!</v>
      </c>
      <c r="BN54" t="e">
        <f>#REF!+";Hb!$fu"</f>
        <v>#REF!</v>
      </c>
      <c r="BO54" t="e">
        <f>#REF!+";Hb!$fv"</f>
        <v>#REF!</v>
      </c>
      <c r="BP54" t="e">
        <f>#REF!+";Hb!$fw"</f>
        <v>#REF!</v>
      </c>
      <c r="BQ54" t="e">
        <f>#REF!+";Hb!$fx"</f>
        <v>#REF!</v>
      </c>
      <c r="BR54" t="e">
        <f>#REF!+";Hb!$fy"</f>
        <v>#REF!</v>
      </c>
      <c r="BS54" t="e">
        <f>#REF!+";Hb!$fz"</f>
        <v>#REF!</v>
      </c>
      <c r="BT54" t="e">
        <f>#REF!+";Hb!$f{"</f>
        <v>#REF!</v>
      </c>
      <c r="BU54" t="e">
        <f>#REF!+";Hb!$f|"</f>
        <v>#REF!</v>
      </c>
      <c r="BV54" t="e">
        <f>#REF!+";Hb!$f}"</f>
        <v>#REF!</v>
      </c>
      <c r="BW54" t="e">
        <f>#REF!+";Hb!$f~"</f>
        <v>#REF!</v>
      </c>
      <c r="BX54" t="e">
        <f>#REF!+";Hb!$g#"</f>
        <v>#REF!</v>
      </c>
      <c r="BY54" t="e">
        <f>#REF!+";Hb!$g$"</f>
        <v>#REF!</v>
      </c>
      <c r="BZ54" t="e">
        <f>#REF!+";Hb!$g%"</f>
        <v>#REF!</v>
      </c>
      <c r="CA54" t="e">
        <f>#REF!+";Hb!$g&amp;"</f>
        <v>#REF!</v>
      </c>
      <c r="CB54" t="e">
        <f>#REF!+";Hb!$g'"</f>
        <v>#REF!</v>
      </c>
      <c r="CC54" t="e">
        <f>#REF!+";Hb!$g("</f>
        <v>#REF!</v>
      </c>
      <c r="CD54" t="e">
        <f>#REF!+";Hb!$g)"</f>
        <v>#REF!</v>
      </c>
      <c r="CE54" t="e">
        <f>#REF!+";Hb!$g."</f>
        <v>#REF!</v>
      </c>
      <c r="CF54" t="e">
        <f>#REF!+";Hb!$g/"</f>
        <v>#REF!</v>
      </c>
      <c r="CG54" t="e">
        <f>#REF!+";Hb!$g0"</f>
        <v>#REF!</v>
      </c>
      <c r="CH54" t="e">
        <f>#REF!+";Hb!$g1"</f>
        <v>#REF!</v>
      </c>
      <c r="CI54" t="e">
        <f>#REF!+";Hb!$g2"</f>
        <v>#REF!</v>
      </c>
      <c r="CJ54" t="e">
        <f>#REF!+";Hb!$g3"</f>
        <v>#REF!</v>
      </c>
      <c r="CK54" t="e">
        <f>#REF!+";Hb!$g4"</f>
        <v>#REF!</v>
      </c>
      <c r="CL54" t="e">
        <f>#REF!+";Hb!$g5"</f>
        <v>#REF!</v>
      </c>
      <c r="CM54" t="e">
        <f>#REF!+";Hb!$g6"</f>
        <v>#REF!</v>
      </c>
      <c r="CN54" t="e">
        <f>#REF!+";Hb!$g7"</f>
        <v>#REF!</v>
      </c>
      <c r="CO54" t="e">
        <f>#REF!+";Hb!$g8"</f>
        <v>#REF!</v>
      </c>
      <c r="CP54" t="e">
        <f>#REF!+";Hb!$g9"</f>
        <v>#REF!</v>
      </c>
      <c r="CQ54" t="e">
        <f>#REF!+";Hb!$g:"</f>
        <v>#REF!</v>
      </c>
      <c r="CR54" t="e">
        <f>#REF!+";Hb!$g;"</f>
        <v>#REF!</v>
      </c>
      <c r="CS54" t="e">
        <f>#REF!+";Hb!$g&lt;"</f>
        <v>#REF!</v>
      </c>
      <c r="CT54" t="e">
        <f>#REF!+";Hb!$g="</f>
        <v>#REF!</v>
      </c>
      <c r="CU54" t="e">
        <f>#REF!+";Hb!$g&gt;"</f>
        <v>#REF!</v>
      </c>
      <c r="CV54" t="e">
        <f>#REF!+";Hb!$g?"</f>
        <v>#REF!</v>
      </c>
      <c r="CW54" t="e">
        <f>#REF!+";Hb!$g@"</f>
        <v>#REF!</v>
      </c>
      <c r="CX54" t="e">
        <f>#REF!+";Hb!$gA"</f>
        <v>#REF!</v>
      </c>
      <c r="CY54" t="e">
        <f>#REF!+";Hb!$gB"</f>
        <v>#REF!</v>
      </c>
      <c r="CZ54" t="e">
        <f>#REF!+";Hb!$gC"</f>
        <v>#REF!</v>
      </c>
      <c r="DA54" t="e">
        <f>#REF!+";Hb!$gD"</f>
        <v>#REF!</v>
      </c>
      <c r="DB54" t="e">
        <f>#REF!+";Hb!$gE"</f>
        <v>#REF!</v>
      </c>
      <c r="DC54" t="e">
        <f>#REF!+";Hb!$gF"</f>
        <v>#REF!</v>
      </c>
      <c r="DD54" t="e">
        <f>#REF!+";Hb!$gG"</f>
        <v>#REF!</v>
      </c>
      <c r="DE54" t="e">
        <f>#REF!+";Hb!$gH"</f>
        <v>#REF!</v>
      </c>
      <c r="DF54" t="e">
        <f>#REF!+";Hb!$gI"</f>
        <v>#REF!</v>
      </c>
      <c r="DG54" t="e">
        <f>#REF!+";Hb!$gJ"</f>
        <v>#REF!</v>
      </c>
      <c r="DH54" t="e">
        <f>#REF!+";Hb!$gK"</f>
        <v>#REF!</v>
      </c>
      <c r="DI54" t="e">
        <f>#REF!+";Hb!$gL"</f>
        <v>#REF!</v>
      </c>
      <c r="DJ54" t="e">
        <f>#REF!+";Hb!$gM"</f>
        <v>#REF!</v>
      </c>
      <c r="DK54" t="e">
        <f>#REF!+";Hb!$gN"</f>
        <v>#REF!</v>
      </c>
      <c r="DL54" t="e">
        <f>#REF!+";Hb!$gO"</f>
        <v>#REF!</v>
      </c>
      <c r="DM54" t="e">
        <f>#REF!+";Hb!$gP"</f>
        <v>#REF!</v>
      </c>
      <c r="DN54" t="e">
        <f>#REF!+";Hb!$gQ"</f>
        <v>#REF!</v>
      </c>
      <c r="DO54" t="e">
        <f>#REF!+";Hb!$gR"</f>
        <v>#REF!</v>
      </c>
      <c r="DP54" t="e">
        <f>#REF!+";Hb!$gS"</f>
        <v>#REF!</v>
      </c>
      <c r="DQ54" t="e">
        <f>#REF!+";Hb!$gT"</f>
        <v>#REF!</v>
      </c>
      <c r="DR54" t="e">
        <f>#REF!+";Hb!$gU"</f>
        <v>#REF!</v>
      </c>
      <c r="DS54" t="e">
        <f>#REF!+";Hb!$gV"</f>
        <v>#REF!</v>
      </c>
      <c r="DT54" t="e">
        <f>#REF!+";Hb!$gW"</f>
        <v>#REF!</v>
      </c>
      <c r="DU54" t="e">
        <f>#REF!+";Hb!$gX"</f>
        <v>#REF!</v>
      </c>
      <c r="DV54" t="e">
        <f>#REF!+";Hb!$gY"</f>
        <v>#REF!</v>
      </c>
      <c r="DW54" t="e">
        <f>#REF!+";Hb!$gZ"</f>
        <v>#REF!</v>
      </c>
      <c r="DX54" t="e">
        <f>#REF!+";Hb!$g["</f>
        <v>#REF!</v>
      </c>
      <c r="DY54" t="e">
        <f>#REF!+";Hb!$g\"</f>
        <v>#REF!</v>
      </c>
      <c r="DZ54" t="e">
        <f>#REF!+";Hb!$g]"</f>
        <v>#REF!</v>
      </c>
      <c r="EA54" t="e">
        <f>#REF!+";Hb!$g^"</f>
        <v>#REF!</v>
      </c>
      <c r="EB54" t="e">
        <f>#REF!+";Hb!$g_"</f>
        <v>#REF!</v>
      </c>
      <c r="EC54" t="e">
        <f>#REF!+";Hb!$g`"</f>
        <v>#REF!</v>
      </c>
      <c r="ED54" t="e">
        <f>#REF!+";Hb!$ga"</f>
        <v>#REF!</v>
      </c>
      <c r="EE54" t="e">
        <f>#REF!+";Hb!$gb"</f>
        <v>#REF!</v>
      </c>
      <c r="EF54" t="e">
        <f>#REF!+";Hb!$gc"</f>
        <v>#REF!</v>
      </c>
      <c r="EG54" t="e">
        <f>#REF!+";Hb!$gd"</f>
        <v>#REF!</v>
      </c>
      <c r="EH54" t="e">
        <f>#REF!+";Hb!$ge"</f>
        <v>#REF!</v>
      </c>
      <c r="EI54" t="e">
        <f>#REF!+";Hb!$gf"</f>
        <v>#REF!</v>
      </c>
      <c r="EJ54" t="e">
        <f>#REF!+";Hb!$gg"</f>
        <v>#REF!</v>
      </c>
      <c r="EK54" t="e">
        <f>#REF!+";Hb!$gh"</f>
        <v>#REF!</v>
      </c>
      <c r="EL54" t="e">
        <f>#REF!+";Hb!$gi"</f>
        <v>#REF!</v>
      </c>
      <c r="EM54" t="e">
        <f>#REF!+";Hb!$gj"</f>
        <v>#REF!</v>
      </c>
      <c r="EN54" t="e">
        <f>#REF!+";Hb!$gk"</f>
        <v>#REF!</v>
      </c>
      <c r="EO54" t="e">
        <f>#REF!+";Hb!$gl"</f>
        <v>#REF!</v>
      </c>
      <c r="EP54" t="e">
        <f>#REF!+";Hb!$gm"</f>
        <v>#REF!</v>
      </c>
      <c r="EQ54" t="e">
        <f>#REF!+";Hb!$gn"</f>
        <v>#REF!</v>
      </c>
      <c r="ER54" t="e">
        <f>#REF!+";Hb!$go"</f>
        <v>#REF!</v>
      </c>
      <c r="ES54" t="e">
        <f>#REF!+";Hb!$gp"</f>
        <v>#REF!</v>
      </c>
      <c r="ET54" t="e">
        <f>#REF!+";Hb!$gq"</f>
        <v>#REF!</v>
      </c>
      <c r="EU54" t="e">
        <f>#REF!+";Hb!$gr"</f>
        <v>#REF!</v>
      </c>
      <c r="EV54" t="e">
        <f>#REF!+";Hb!$gs"</f>
        <v>#REF!</v>
      </c>
      <c r="EW54" t="e">
        <f>#REF!+";Hb!$gt"</f>
        <v>#REF!</v>
      </c>
      <c r="EX54" t="e">
        <f>#REF!+";Hb!$gu"</f>
        <v>#REF!</v>
      </c>
      <c r="EY54" t="e">
        <f>#REF!+";Hb!$gv"</f>
        <v>#REF!</v>
      </c>
      <c r="EZ54" t="e">
        <f>#REF!+";Hb!$gw"</f>
        <v>#REF!</v>
      </c>
      <c r="FA54" t="e">
        <f>#REF!+";Hb!$gx"</f>
        <v>#REF!</v>
      </c>
      <c r="FB54" t="e">
        <f>#REF!+";Hb!$gy"</f>
        <v>#REF!</v>
      </c>
      <c r="FC54" t="e">
        <f>#REF!+";Hb!$gz"</f>
        <v>#REF!</v>
      </c>
      <c r="FD54" t="e">
        <f>#REF!+";Hb!$g{"</f>
        <v>#REF!</v>
      </c>
      <c r="FE54" t="e">
        <f>#REF!+";Hb!$g|"</f>
        <v>#REF!</v>
      </c>
      <c r="FF54" t="e">
        <f>#REF!+";Hb!$g}"</f>
        <v>#REF!</v>
      </c>
      <c r="FG54" t="e">
        <f>#REF!+";Hb!$g~"</f>
        <v>#REF!</v>
      </c>
      <c r="FH54" t="e">
        <f>#REF!+";Hb!$h#"</f>
        <v>#REF!</v>
      </c>
      <c r="FI54" t="e">
        <f>#REF!+";Hb!$h$"</f>
        <v>#REF!</v>
      </c>
      <c r="FJ54" t="e">
        <f>#REF!+";Hb!$h%"</f>
        <v>#REF!</v>
      </c>
      <c r="FK54" t="e">
        <f>#REF!+";Hb!$h&amp;"</f>
        <v>#REF!</v>
      </c>
      <c r="FL54" t="e">
        <f>#REF!+";Hb!$h'"</f>
        <v>#REF!</v>
      </c>
      <c r="FM54" t="e">
        <f>#REF!+";Hb!$h("</f>
        <v>#REF!</v>
      </c>
      <c r="FN54" t="e">
        <f>#REF!+";Hb!$h)"</f>
        <v>#REF!</v>
      </c>
      <c r="FO54" t="e">
        <f>#REF!+";Hb!$h."</f>
        <v>#REF!</v>
      </c>
      <c r="FP54" t="e">
        <f>#REF!+";Hb!$h/"</f>
        <v>#REF!</v>
      </c>
      <c r="FQ54" t="e">
        <f>#REF!+";Hb!$h0"</f>
        <v>#REF!</v>
      </c>
      <c r="FR54" t="e">
        <f>#REF!+";Hb!$h1"</f>
        <v>#REF!</v>
      </c>
      <c r="FS54" t="e">
        <f>#REF!+";Hb!$h2"</f>
        <v>#REF!</v>
      </c>
      <c r="FT54" t="e">
        <f>#REF!+";Hb!$h3"</f>
        <v>#REF!</v>
      </c>
      <c r="FU54" t="e">
        <f>#REF!+";Hb!$h4"</f>
        <v>#REF!</v>
      </c>
      <c r="FV54" t="e">
        <f>#REF!+";Hb!$h5"</f>
        <v>#REF!</v>
      </c>
      <c r="FW54" t="e">
        <f>#REF!+";Hb!$h6"</f>
        <v>#REF!</v>
      </c>
      <c r="FX54" t="e">
        <f>#REF!+";Hb!$h7"</f>
        <v>#REF!</v>
      </c>
      <c r="FY54" t="e">
        <f>#REF!+";Hb!$h8"</f>
        <v>#REF!</v>
      </c>
      <c r="FZ54" t="e">
        <f>#REF!+";Hb!$h9"</f>
        <v>#REF!</v>
      </c>
      <c r="GA54" t="e">
        <f>#REF!+";Hb!$h:"</f>
        <v>#REF!</v>
      </c>
      <c r="GB54" t="e">
        <f>#REF!+";Hb!$h;"</f>
        <v>#REF!</v>
      </c>
      <c r="GC54" t="e">
        <f>#REF!+";Hb!$h&lt;"</f>
        <v>#REF!</v>
      </c>
      <c r="GD54" t="e">
        <f>#REF!+";Hb!$h="</f>
        <v>#REF!</v>
      </c>
      <c r="GE54" t="e">
        <f>#REF!+";Hb!$h&gt;"</f>
        <v>#REF!</v>
      </c>
      <c r="GF54" t="e">
        <f>#REF!+";Hb!$h?"</f>
        <v>#REF!</v>
      </c>
      <c r="GG54" t="e">
        <f>#REF!+";Hb!$h@"</f>
        <v>#REF!</v>
      </c>
      <c r="GH54" t="e">
        <f>#REF!+";Hb!$hA"</f>
        <v>#REF!</v>
      </c>
      <c r="GI54" t="e">
        <f>#REF!+";Hb!$hB"</f>
        <v>#REF!</v>
      </c>
      <c r="GJ54" t="e">
        <f>#REF!+";Hb!$hC"</f>
        <v>#REF!</v>
      </c>
      <c r="GK54" t="e">
        <f>#REF!+";Hb!$hD"</f>
        <v>#REF!</v>
      </c>
      <c r="GL54" t="e">
        <f>#REF!+";Hb!$hE"</f>
        <v>#REF!</v>
      </c>
      <c r="GM54" t="e">
        <f>#REF!+";Hb!$hF"</f>
        <v>#REF!</v>
      </c>
      <c r="GN54" t="e">
        <f>#REF!+";Hb!$hG"</f>
        <v>#REF!</v>
      </c>
      <c r="GO54" t="e">
        <f>#REF!+";Hb!$hH"</f>
        <v>#REF!</v>
      </c>
      <c r="GP54" t="e">
        <f>#REF!+";Hb!$hI"</f>
        <v>#REF!</v>
      </c>
      <c r="GQ54" t="e">
        <f>#REF!+";Hb!$hJ"</f>
        <v>#REF!</v>
      </c>
      <c r="GR54" t="e">
        <f>#REF!+";Hb!$hK"</f>
        <v>#REF!</v>
      </c>
      <c r="GS54" t="e">
        <f>#REF!+";Hb!$hL"</f>
        <v>#REF!</v>
      </c>
      <c r="GT54" t="e">
        <f>#REF!+";Hb!$hM"</f>
        <v>#REF!</v>
      </c>
      <c r="GU54" t="e">
        <f>#REF!+";Hb!$hN"</f>
        <v>#REF!</v>
      </c>
      <c r="GV54" t="e">
        <f>#REF!+";Hb!$hO"</f>
        <v>#REF!</v>
      </c>
      <c r="GW54" t="e">
        <f>#REF!+";Hb!$hP"</f>
        <v>#REF!</v>
      </c>
      <c r="GX54" t="e">
        <f>#REF!+";Hb!$hQ"</f>
        <v>#REF!</v>
      </c>
      <c r="GY54" t="e">
        <f>#REF!+";Hb!$hR"</f>
        <v>#REF!</v>
      </c>
      <c r="GZ54" t="e">
        <f>#REF!+";Hb!$hS"</f>
        <v>#REF!</v>
      </c>
      <c r="HA54" t="e">
        <f>#REF!+";Hb!$hT"</f>
        <v>#REF!</v>
      </c>
      <c r="HB54" t="e">
        <f>#REF!+";Hb!$hU"</f>
        <v>#REF!</v>
      </c>
      <c r="HC54" t="e">
        <f>#REF!+";Hb!$hV"</f>
        <v>#REF!</v>
      </c>
      <c r="HD54" t="e">
        <f>#REF!+";Hb!$hW"</f>
        <v>#REF!</v>
      </c>
      <c r="HE54" t="e">
        <f>#REF!+";Hb!$hX"</f>
        <v>#REF!</v>
      </c>
      <c r="HF54" t="e">
        <f>#REF!+";Hb!$hY"</f>
        <v>#REF!</v>
      </c>
      <c r="HG54" t="e">
        <f>#REF!+";Hb!$hZ"</f>
        <v>#REF!</v>
      </c>
      <c r="HH54" t="e">
        <f>#REF!+";Hb!$h["</f>
        <v>#REF!</v>
      </c>
      <c r="HI54" t="e">
        <f>#REF!+";Hb!$h\"</f>
        <v>#REF!</v>
      </c>
      <c r="HJ54" t="e">
        <f>#REF!+";Hb!$h]"</f>
        <v>#REF!</v>
      </c>
      <c r="HK54" t="e">
        <f>#REF!+";Hb!$h^"</f>
        <v>#REF!</v>
      </c>
      <c r="HL54" t="e">
        <f>#REF!+";Hb!$h_"</f>
        <v>#REF!</v>
      </c>
      <c r="HM54" t="e">
        <f>#REF!+";Hb!$h`"</f>
        <v>#REF!</v>
      </c>
      <c r="HN54" t="e">
        <f>#REF!+";Hb!$ha"</f>
        <v>#REF!</v>
      </c>
      <c r="HO54" t="e">
        <f>#REF!+";Hb!$hb"</f>
        <v>#REF!</v>
      </c>
      <c r="HP54" t="e">
        <f>#REF!+";Hb!$hc"</f>
        <v>#REF!</v>
      </c>
      <c r="HQ54" t="e">
        <f>#REF!+";Hb!$hd"</f>
        <v>#REF!</v>
      </c>
      <c r="HR54" t="e">
        <f>#REF!+";Hb!$he"</f>
        <v>#REF!</v>
      </c>
      <c r="HS54" t="e">
        <f>#REF!+";Hb!$hf"</f>
        <v>#REF!</v>
      </c>
      <c r="HT54" t="e">
        <f>#REF!+";Hb!$hg"</f>
        <v>#REF!</v>
      </c>
      <c r="HU54" t="e">
        <f>#REF!+";Hb!$hh"</f>
        <v>#REF!</v>
      </c>
      <c r="HV54" t="e">
        <f>#REF!+";Hb!$hi"</f>
        <v>#REF!</v>
      </c>
      <c r="HW54" t="e">
        <f>#REF!+";Hb!$hj"</f>
        <v>#REF!</v>
      </c>
      <c r="HX54" t="e">
        <f>#REF!+";Hb!$hk"</f>
        <v>#REF!</v>
      </c>
      <c r="HY54" t="e">
        <f>#REF!+";Hb!$hl"</f>
        <v>#REF!</v>
      </c>
      <c r="HZ54" t="e">
        <f>#REF!+";Hb!$hm"</f>
        <v>#REF!</v>
      </c>
      <c r="IA54" t="e">
        <f>#REF!+";Hb!$hn"</f>
        <v>#REF!</v>
      </c>
      <c r="IB54" t="e">
        <f>#REF!+";Hb!$ho"</f>
        <v>#REF!</v>
      </c>
      <c r="IC54" t="e">
        <f>#REF!+";Hb!$hp"</f>
        <v>#REF!</v>
      </c>
      <c r="ID54" t="e">
        <f>#REF!+";Hb!$hq"</f>
        <v>#REF!</v>
      </c>
      <c r="IE54" t="e">
        <f>#REF!+";Hb!$hr"</f>
        <v>#REF!</v>
      </c>
      <c r="IF54" t="e">
        <f>#REF!+";Hb!$hs"</f>
        <v>#REF!</v>
      </c>
      <c r="IG54" t="e">
        <f>#REF!+";Hb!$ht"</f>
        <v>#REF!</v>
      </c>
      <c r="IH54" t="e">
        <f>#REF!+";Hb!$hu"</f>
        <v>#REF!</v>
      </c>
      <c r="II54" t="e">
        <f>#REF!+";Hb!$hv"</f>
        <v>#REF!</v>
      </c>
      <c r="IJ54" t="e">
        <f>#REF!+";Hb!$hw"</f>
        <v>#REF!</v>
      </c>
      <c r="IK54" t="e">
        <f>#REF!+";Hb!$hx"</f>
        <v>#REF!</v>
      </c>
      <c r="IL54" t="e">
        <f>#REF!+";Hb!$hy"</f>
        <v>#REF!</v>
      </c>
      <c r="IM54" t="e">
        <f>#REF!+";Hb!$hz"</f>
        <v>#REF!</v>
      </c>
      <c r="IN54" t="e">
        <f>#REF!+";Hb!$h{"</f>
        <v>#REF!</v>
      </c>
      <c r="IO54" t="e">
        <f>#REF!+";Hb!$h|"</f>
        <v>#REF!</v>
      </c>
      <c r="IP54" t="e">
        <f>#REF!+";Hb!$h}"</f>
        <v>#REF!</v>
      </c>
      <c r="IQ54" t="e">
        <f>#REF!+";Hb!$h~"</f>
        <v>#REF!</v>
      </c>
      <c r="IR54" t="e">
        <f>#REF!+";Hb!$i#"</f>
        <v>#REF!</v>
      </c>
      <c r="IS54" t="e">
        <f>#REF!+";Hb!$i$"</f>
        <v>#REF!</v>
      </c>
      <c r="IT54" t="e">
        <f>#REF!+";Hb!$i%"</f>
        <v>#REF!</v>
      </c>
      <c r="IU54" t="e">
        <f>#REF!+";Hb!$i&amp;"</f>
        <v>#REF!</v>
      </c>
      <c r="IV54" t="e">
        <f>#REF!+";Hb!$i'"</f>
        <v>#REF!</v>
      </c>
    </row>
    <row r="55" spans="6:256" x14ac:dyDescent="0.25">
      <c r="F55" t="e">
        <f>#REF!+";Hb!$i("</f>
        <v>#REF!</v>
      </c>
      <c r="G55" t="e">
        <f>#REF!+";Hb!$i)"</f>
        <v>#REF!</v>
      </c>
      <c r="H55" t="e">
        <f>#REF!+";Hb!$i."</f>
        <v>#REF!</v>
      </c>
      <c r="I55" t="e">
        <f>#REF!+";Hb!$i/"</f>
        <v>#REF!</v>
      </c>
      <c r="J55" t="e">
        <f>#REF!+";Hb!$i0"</f>
        <v>#REF!</v>
      </c>
      <c r="K55" t="e">
        <f>#REF!+";Hb!$i1"</f>
        <v>#REF!</v>
      </c>
      <c r="L55" t="e">
        <f>#REF!+";Hb!$i2"</f>
        <v>#REF!</v>
      </c>
      <c r="M55" t="e">
        <f>#REF!+";Hb!$i3"</f>
        <v>#REF!</v>
      </c>
      <c r="N55" t="e">
        <f>#REF!+";Hb!$i4"</f>
        <v>#REF!</v>
      </c>
      <c r="O55" t="e">
        <f>#REF!+";Hb!$i5"</f>
        <v>#REF!</v>
      </c>
      <c r="P55" t="e">
        <f>#REF!+";Hb!$i6"</f>
        <v>#REF!</v>
      </c>
      <c r="Q55" t="e">
        <f>#REF!+";Hb!$i7"</f>
        <v>#REF!</v>
      </c>
      <c r="R55" t="e">
        <f>#REF!+";Hb!$i8"</f>
        <v>#REF!</v>
      </c>
      <c r="S55" t="e">
        <f>#REF!+";Hb!$i9"</f>
        <v>#REF!</v>
      </c>
      <c r="T55" t="e">
        <f>#REF!+";Hb!$i:"</f>
        <v>#REF!</v>
      </c>
      <c r="U55" t="e">
        <f>#REF!+";Hb!$i;"</f>
        <v>#REF!</v>
      </c>
      <c r="V55" t="e">
        <f>#REF!+";Hb!$i&lt;"</f>
        <v>#REF!</v>
      </c>
      <c r="W55" t="e">
        <f>#REF!+";Hb!$i="</f>
        <v>#REF!</v>
      </c>
      <c r="X55" t="e">
        <f>#REF!+";Hb!$i&gt;"</f>
        <v>#REF!</v>
      </c>
      <c r="Y55" t="e">
        <f>#REF!+";Hb!$i?"</f>
        <v>#REF!</v>
      </c>
      <c r="Z55" t="e">
        <f>#REF!+";Hb!$i@"</f>
        <v>#REF!</v>
      </c>
      <c r="AA55" t="e">
        <f>#REF!+";Hb!$iA"</f>
        <v>#REF!</v>
      </c>
      <c r="AB55" t="e">
        <f>#REF!+";Hb!$iB"</f>
        <v>#REF!</v>
      </c>
      <c r="AC55" t="e">
        <f>#REF!+";Hb!$iC"</f>
        <v>#REF!</v>
      </c>
      <c r="AD55" t="e">
        <f>#REF!+";Hb!$iD"</f>
        <v>#REF!</v>
      </c>
      <c r="AE55" t="e">
        <f>#REF!+";Hb!$iE"</f>
        <v>#REF!</v>
      </c>
      <c r="AF55" t="e">
        <f>#REF!+";Hb!$iF"</f>
        <v>#REF!</v>
      </c>
      <c r="AG55" t="e">
        <f>#REF!+";Hb!$iG"</f>
        <v>#REF!</v>
      </c>
      <c r="AH55" t="e">
        <f>#REF!+";Hb!$iH"</f>
        <v>#REF!</v>
      </c>
      <c r="AI55" t="e">
        <f>#REF!+";Hb!$iI"</f>
        <v>#REF!</v>
      </c>
      <c r="AJ55" t="e">
        <f>#REF!+";Hb!$iJ"</f>
        <v>#REF!</v>
      </c>
      <c r="AK55" t="e">
        <f>#REF!+";Hb!$iK"</f>
        <v>#REF!</v>
      </c>
      <c r="AL55" t="e">
        <f>#REF!+";Hb!$iL"</f>
        <v>#REF!</v>
      </c>
      <c r="AM55" t="e">
        <f>#REF!+";Hb!$iM"</f>
        <v>#REF!</v>
      </c>
      <c r="AN55" t="e">
        <f>#REF!+";Hb!$iN"</f>
        <v>#REF!</v>
      </c>
      <c r="AO55" t="e">
        <f>#REF!+";Hb!$iO"</f>
        <v>#REF!</v>
      </c>
      <c r="AP55" t="e">
        <f>#REF!+";Hb!$iP"</f>
        <v>#REF!</v>
      </c>
      <c r="AQ55" t="e">
        <f>#REF!+";Hb!$iQ"</f>
        <v>#REF!</v>
      </c>
      <c r="AR55" t="e">
        <f>#REF!+";Hb!$iR"</f>
        <v>#REF!</v>
      </c>
      <c r="AS55" t="e">
        <f>#REF!+";Hb!$iS"</f>
        <v>#REF!</v>
      </c>
      <c r="AT55" t="e">
        <f>#REF!+";Hb!$iT"</f>
        <v>#REF!</v>
      </c>
      <c r="AU55" t="e">
        <f>#REF!+";Hb!$iU"</f>
        <v>#REF!</v>
      </c>
      <c r="AV55" t="e">
        <f>#REF!+";Hb!$iV"</f>
        <v>#REF!</v>
      </c>
      <c r="AW55" t="e">
        <f>#REF!+";Hb!$iW"</f>
        <v>#REF!</v>
      </c>
      <c r="AX55" t="e">
        <f>#REF!+";Hb!$iX"</f>
        <v>#REF!</v>
      </c>
      <c r="AY55" t="e">
        <f>#REF!+";Hb!$iY"</f>
        <v>#REF!</v>
      </c>
      <c r="AZ55" t="e">
        <f>#REF!+";Hb!$iZ"</f>
        <v>#REF!</v>
      </c>
      <c r="BA55" t="e">
        <f>#REF!+";Hb!$i["</f>
        <v>#REF!</v>
      </c>
      <c r="BB55" t="e">
        <f>#REF!+";Hb!$i\"</f>
        <v>#REF!</v>
      </c>
      <c r="BC55" t="e">
        <f>#REF!+";Hb!$i]"</f>
        <v>#REF!</v>
      </c>
      <c r="BD55" t="e">
        <f>#REF!+";Hb!$i^"</f>
        <v>#REF!</v>
      </c>
      <c r="BE55" t="e">
        <f>#REF!+";Hb!$i_"</f>
        <v>#REF!</v>
      </c>
      <c r="BF55" t="e">
        <f>#REF!+";Hb!$i`"</f>
        <v>#REF!</v>
      </c>
      <c r="BG55" t="e">
        <f>#REF!+";Hb!$ia"</f>
        <v>#REF!</v>
      </c>
      <c r="BH55" t="e">
        <f>#REF!+";Hb!$ib"</f>
        <v>#REF!</v>
      </c>
      <c r="BI55" t="e">
        <f>#REF!+";Hb!$ic"</f>
        <v>#REF!</v>
      </c>
      <c r="BJ55" t="e">
        <f>#REF!+";Hb!$id"</f>
        <v>#REF!</v>
      </c>
      <c r="BK55" t="e">
        <f>#REF!+";Hb!$ie"</f>
        <v>#REF!</v>
      </c>
      <c r="BL55" t="e">
        <f>#REF!+";Hb!$if"</f>
        <v>#REF!</v>
      </c>
      <c r="BM55" t="e">
        <f>#REF!+";Hb!$ig"</f>
        <v>#REF!</v>
      </c>
      <c r="BN55" t="e">
        <f>#REF!+";Hb!$ih"</f>
        <v>#REF!</v>
      </c>
      <c r="BO55" t="e">
        <f>#REF!+";Hb!$ii"</f>
        <v>#REF!</v>
      </c>
      <c r="BP55" t="e">
        <f>#REF!+";Hb!$ij"</f>
        <v>#REF!</v>
      </c>
      <c r="BQ55" t="e">
        <f>#REF!+";Hb!$ik"</f>
        <v>#REF!</v>
      </c>
      <c r="BR55" t="e">
        <f>#REF!+";Hb!$il"</f>
        <v>#REF!</v>
      </c>
      <c r="BS55" t="e">
        <f>#REF!+";Hb!$im"</f>
        <v>#REF!</v>
      </c>
      <c r="BT55" t="e">
        <f>#REF!+";Hb!$in"</f>
        <v>#REF!</v>
      </c>
      <c r="BU55" t="e">
        <f>#REF!+";Hb!$io"</f>
        <v>#REF!</v>
      </c>
      <c r="BV55" t="e">
        <f>#REF!+";Hb!$ip"</f>
        <v>#REF!</v>
      </c>
      <c r="BW55" t="e">
        <f>#REF!+";Hb!$iq"</f>
        <v>#REF!</v>
      </c>
      <c r="BX55" t="e">
        <f>#REF!+";Hb!$ir"</f>
        <v>#REF!</v>
      </c>
      <c r="BY55" t="e">
        <f>#REF!+";Hb!$is"</f>
        <v>#REF!</v>
      </c>
      <c r="BZ55" t="e">
        <f>#REF!+";Hb!$it"</f>
        <v>#REF!</v>
      </c>
      <c r="CA55" t="e">
        <f>#REF!+";Hb!$iu"</f>
        <v>#REF!</v>
      </c>
      <c r="CB55" t="e">
        <f>#REF!+";Hb!$iv"</f>
        <v>#REF!</v>
      </c>
      <c r="CC55" t="e">
        <f>#REF!+";Hb!$iw"</f>
        <v>#REF!</v>
      </c>
      <c r="CD55" t="e">
        <f>#REF!+";Hb!$ix"</f>
        <v>#REF!</v>
      </c>
      <c r="CE55" t="e">
        <f>#REF!+";Hb!$iy"</f>
        <v>#REF!</v>
      </c>
      <c r="CF55" t="e">
        <f>#REF!+";Hb!$iz"</f>
        <v>#REF!</v>
      </c>
      <c r="CG55" t="e">
        <f>#REF!+";Hb!$i{"</f>
        <v>#REF!</v>
      </c>
      <c r="CH55" t="e">
        <f>#REF!+";Hb!$i|"</f>
        <v>#REF!</v>
      </c>
      <c r="CI55" t="e">
        <f>#REF!+";Hb!$i}"</f>
        <v>#REF!</v>
      </c>
      <c r="CJ55" t="e">
        <f>#REF!+";Hb!$i~"</f>
        <v>#REF!</v>
      </c>
      <c r="CK55" t="e">
        <f>#REF!+";Hb!$j#"</f>
        <v>#REF!</v>
      </c>
      <c r="CL55" t="e">
        <f>#REF!+";Hb!$j$"</f>
        <v>#REF!</v>
      </c>
      <c r="CM55" t="e">
        <f>#REF!+";Hb!$j%"</f>
        <v>#REF!</v>
      </c>
      <c r="CN55" t="e">
        <f>#REF!+";Hb!$j&amp;"</f>
        <v>#REF!</v>
      </c>
      <c r="CO55" t="e">
        <f>#REF!+";Hb!$j'"</f>
        <v>#REF!</v>
      </c>
      <c r="CP55" t="e">
        <f>#REF!+";Hb!$j("</f>
        <v>#REF!</v>
      </c>
      <c r="CQ55" t="e">
        <f>#REF!+";Hb!$j)"</f>
        <v>#REF!</v>
      </c>
      <c r="CR55" t="e">
        <f>#REF!+";Hb!$j."</f>
        <v>#REF!</v>
      </c>
      <c r="CS55" t="e">
        <f>#REF!+";Hb!$j/"</f>
        <v>#REF!</v>
      </c>
      <c r="CT55" t="e">
        <f>#REF!+";Hb!$j0"</f>
        <v>#REF!</v>
      </c>
      <c r="CU55" t="e">
        <f>#REF!+";Hb!$j1"</f>
        <v>#REF!</v>
      </c>
      <c r="CV55" t="e">
        <f>#REF!+";Hb!$j2"</f>
        <v>#REF!</v>
      </c>
      <c r="CW55" t="e">
        <f>#REF!+";Hb!$j3"</f>
        <v>#REF!</v>
      </c>
      <c r="CX55" t="e">
        <f>#REF!+";Hb!$j4"</f>
        <v>#REF!</v>
      </c>
      <c r="CY55" t="e">
        <f>#REF!+";Hb!$j5"</f>
        <v>#REF!</v>
      </c>
      <c r="CZ55" t="e">
        <f>#REF!+";Hb!$j6"</f>
        <v>#REF!</v>
      </c>
      <c r="DA55" t="e">
        <f>#REF!+";Hb!$j7"</f>
        <v>#REF!</v>
      </c>
      <c r="DB55" t="e">
        <f>#REF!+";Hb!$j8"</f>
        <v>#REF!</v>
      </c>
      <c r="DC55" t="e">
        <f>#REF!+";Hb!$j9"</f>
        <v>#REF!</v>
      </c>
      <c r="DD55" t="e">
        <f>#REF!+";Hb!$j:"</f>
        <v>#REF!</v>
      </c>
      <c r="DE55" t="e">
        <f>#REF!+";Hb!$j;"</f>
        <v>#REF!</v>
      </c>
      <c r="DF55" t="e">
        <f>#REF!+";Hb!$j&lt;"</f>
        <v>#REF!</v>
      </c>
      <c r="DG55" t="e">
        <f>#REF!+";Hb!$j="</f>
        <v>#REF!</v>
      </c>
      <c r="DH55" t="e">
        <f>#REF!+";Hb!$j&gt;"</f>
        <v>#REF!</v>
      </c>
      <c r="DI55" t="e">
        <f>#REF!+";Hb!$j?"</f>
        <v>#REF!</v>
      </c>
      <c r="DJ55" t="e">
        <f>#REF!+";Hb!$j@"</f>
        <v>#REF!</v>
      </c>
      <c r="DK55" t="e">
        <f>#REF!+";Hb!$jA"</f>
        <v>#REF!</v>
      </c>
      <c r="DL55" t="e">
        <f>#REF!+";Hb!$jB"</f>
        <v>#REF!</v>
      </c>
      <c r="DM55" t="e">
        <f>#REF!+";Hb!$jC"</f>
        <v>#REF!</v>
      </c>
      <c r="DN55" t="e">
        <f>#REF!+";Hb!$jD"</f>
        <v>#REF!</v>
      </c>
      <c r="DO55" t="e">
        <f>#REF!+";Hb!$jE"</f>
        <v>#REF!</v>
      </c>
      <c r="DP55" t="e">
        <f>#REF!+";Hb!$jF"</f>
        <v>#REF!</v>
      </c>
      <c r="DQ55" t="e">
        <f>#REF!+";Hb!$jG"</f>
        <v>#REF!</v>
      </c>
      <c r="DR55" t="e">
        <f>#REF!+";Hb!$jH"</f>
        <v>#REF!</v>
      </c>
      <c r="DS55" t="e">
        <f>#REF!+";Hb!$jI"</f>
        <v>#REF!</v>
      </c>
      <c r="DT55" t="e">
        <f>#REF!+";Hb!$jJ"</f>
        <v>#REF!</v>
      </c>
      <c r="DU55" t="e">
        <f>#REF!+";Hb!$jK"</f>
        <v>#REF!</v>
      </c>
      <c r="DV55" t="e">
        <f>#REF!+";Hb!$jL"</f>
        <v>#REF!</v>
      </c>
      <c r="DW55" t="e">
        <f>#REF!+";Hb!$jM"</f>
        <v>#REF!</v>
      </c>
      <c r="DX55" t="e">
        <f>#REF!+";Hb!$jN"</f>
        <v>#REF!</v>
      </c>
      <c r="DY55" t="e">
        <f>#REF!+";Hb!$jO"</f>
        <v>#REF!</v>
      </c>
      <c r="DZ55" t="e">
        <f>#REF!+";Hb!$jP"</f>
        <v>#REF!</v>
      </c>
      <c r="EA55" t="e">
        <f>#REF!+";Hb!$jQ"</f>
        <v>#REF!</v>
      </c>
      <c r="EB55" t="e">
        <f>#REF!+";Hb!$jR"</f>
        <v>#REF!</v>
      </c>
      <c r="EC55" t="e">
        <f>#REF!+";Hb!$jS"</f>
        <v>#REF!</v>
      </c>
      <c r="ED55" t="e">
        <f>#REF!+";Hb!$jT"</f>
        <v>#REF!</v>
      </c>
      <c r="EE55" t="e">
        <f>#REF!+";Hb!$jU"</f>
        <v>#REF!</v>
      </c>
      <c r="EF55" t="e">
        <f>#REF!+";Hb!$jV"</f>
        <v>#REF!</v>
      </c>
      <c r="EG55" t="e">
        <f>#REF!+";Hb!$jW"</f>
        <v>#REF!</v>
      </c>
      <c r="EH55" t="e">
        <f>#REF!+";Hb!$jX"</f>
        <v>#REF!</v>
      </c>
      <c r="EI55" t="e">
        <f>#REF!+";Hb!$jY"</f>
        <v>#REF!</v>
      </c>
      <c r="EJ55" t="e">
        <f>#REF!+";Hb!$jZ"</f>
        <v>#REF!</v>
      </c>
      <c r="EK55" t="e">
        <f>#REF!+";Hb!$j["</f>
        <v>#REF!</v>
      </c>
      <c r="EL55" t="e">
        <f>#REF!+";Hb!$j\"</f>
        <v>#REF!</v>
      </c>
      <c r="EM55" t="e">
        <f>#REF!+";Hb!$j]"</f>
        <v>#REF!</v>
      </c>
      <c r="EN55" t="e">
        <f>#REF!+";Hb!$j^"</f>
        <v>#REF!</v>
      </c>
      <c r="EO55" t="e">
        <f>#REF!+";Hb!$j_"</f>
        <v>#REF!</v>
      </c>
      <c r="EP55" t="e">
        <f>#REF!+";Hb!$j`"</f>
        <v>#REF!</v>
      </c>
      <c r="EQ55" t="e">
        <f>#REF!+";Hb!$ja"</f>
        <v>#REF!</v>
      </c>
      <c r="ER55" t="e">
        <f>#REF!+";Hb!$jb"</f>
        <v>#REF!</v>
      </c>
      <c r="ES55" t="e">
        <f>#REF!+";Hb!$jc"</f>
        <v>#REF!</v>
      </c>
      <c r="ET55" t="e">
        <f>#REF!+";Hb!$jd"</f>
        <v>#REF!</v>
      </c>
      <c r="EU55" t="e">
        <f>#REF!+";Hb!$je"</f>
        <v>#REF!</v>
      </c>
      <c r="EV55" t="e">
        <f>#REF!+";Hb!$jf"</f>
        <v>#REF!</v>
      </c>
      <c r="EW55" t="e">
        <f>#REF!+";Hb!$jg"</f>
        <v>#REF!</v>
      </c>
      <c r="EX55" t="e">
        <f>#REF!+";Hb!$jh"</f>
        <v>#REF!</v>
      </c>
      <c r="EY55" t="e">
        <f>#REF!+";Hb!$ji"</f>
        <v>#REF!</v>
      </c>
      <c r="EZ55" t="e">
        <f>#REF!+";Hb!$jj"</f>
        <v>#REF!</v>
      </c>
      <c r="FA55" t="e">
        <f>#REF!+";Hb!$jk"</f>
        <v>#REF!</v>
      </c>
      <c r="FB55" t="e">
        <f>#REF!+";Hb!$jl"</f>
        <v>#REF!</v>
      </c>
      <c r="FC55" t="e">
        <f>#REF!+";Hb!$jm"</f>
        <v>#REF!</v>
      </c>
      <c r="FD55" t="e">
        <f>#REF!+";Hb!$jn"</f>
        <v>#REF!</v>
      </c>
      <c r="FE55" t="e">
        <f>#REF!+";Hb!$jo"</f>
        <v>#REF!</v>
      </c>
      <c r="FF55" t="e">
        <f>#REF!+";Hb!$jp"</f>
        <v>#REF!</v>
      </c>
      <c r="FG55" t="e">
        <f>#REF!+";Hb!$jq"</f>
        <v>#REF!</v>
      </c>
      <c r="FH55" t="e">
        <f>#REF!+";Hb!$jr"</f>
        <v>#REF!</v>
      </c>
      <c r="FI55" t="e">
        <f>#REF!+";Hb!$js"</f>
        <v>#REF!</v>
      </c>
      <c r="FJ55" t="e">
        <f>#REF!+";Hb!$jt"</f>
        <v>#REF!</v>
      </c>
      <c r="FK55" t="e">
        <f>#REF!+";Hb!$ju"</f>
        <v>#REF!</v>
      </c>
      <c r="FL55" t="e">
        <f>#REF!+";Hb!$jv"</f>
        <v>#REF!</v>
      </c>
      <c r="FM55" t="e">
        <f>#REF!+";Hb!$jw"</f>
        <v>#REF!</v>
      </c>
      <c r="FN55" t="e">
        <f>#REF!+";Hb!$jx"</f>
        <v>#REF!</v>
      </c>
      <c r="FO55" t="e">
        <f>#REF!+";Hb!$jy"</f>
        <v>#REF!</v>
      </c>
      <c r="FP55" t="e">
        <f>#REF!+";Hb!$jz"</f>
        <v>#REF!</v>
      </c>
      <c r="FQ55" t="e">
        <f>#REF!+";Hb!$j{"</f>
        <v>#REF!</v>
      </c>
      <c r="FR55" t="e">
        <f>#REF!+";Hb!$j|"</f>
        <v>#REF!</v>
      </c>
      <c r="FS55" t="e">
        <f>#REF!+";Hb!$j}"</f>
        <v>#REF!</v>
      </c>
      <c r="FT55" t="e">
        <f>#REF!+";Hb!$j~"</f>
        <v>#REF!</v>
      </c>
      <c r="FU55" t="e">
        <f>#REF!+";Hb!$k#"</f>
        <v>#REF!</v>
      </c>
      <c r="FV55" t="e">
        <f>#REF!+";Hb!$k$"</f>
        <v>#REF!</v>
      </c>
      <c r="FW55" t="e">
        <f>#REF!+";Hb!$k%"</f>
        <v>#REF!</v>
      </c>
      <c r="FX55" t="e">
        <f>#REF!+";Hb!$k&amp;"</f>
        <v>#REF!</v>
      </c>
      <c r="FY55" t="e">
        <f>#REF!+";Hb!$k'"</f>
        <v>#REF!</v>
      </c>
      <c r="FZ55" t="e">
        <f>#REF!+";Hb!$k("</f>
        <v>#REF!</v>
      </c>
      <c r="GA55" t="e">
        <f>#REF!+";Hb!$k)"</f>
        <v>#REF!</v>
      </c>
      <c r="GB55" t="e">
        <f>#REF!+";Hb!$k."</f>
        <v>#REF!</v>
      </c>
      <c r="GC55" t="e">
        <f>#REF!+";Hb!$k/"</f>
        <v>#REF!</v>
      </c>
      <c r="GD55" t="e">
        <f>#REF!+";Hb!$k0"</f>
        <v>#REF!</v>
      </c>
      <c r="GE55" t="e">
        <f>#REF!+";Hb!$k1"</f>
        <v>#REF!</v>
      </c>
      <c r="GF55" t="e">
        <f>#REF!+";Hb!$k2"</f>
        <v>#REF!</v>
      </c>
      <c r="GG55" t="e">
        <f>#REF!+";Hb!$k3"</f>
        <v>#REF!</v>
      </c>
      <c r="GH55" t="e">
        <f>#REF!+";Hb!$k4"</f>
        <v>#REF!</v>
      </c>
      <c r="GI55" t="e">
        <f>#REF!+";Hb!$k5"</f>
        <v>#REF!</v>
      </c>
      <c r="GJ55" t="e">
        <f>#REF!+";Hb!$k6"</f>
        <v>#REF!</v>
      </c>
      <c r="GK55" t="e">
        <f>#REF!+";Hb!$k7"</f>
        <v>#REF!</v>
      </c>
      <c r="GL55" t="e">
        <f>#REF!+";Hb!$k8"</f>
        <v>#REF!</v>
      </c>
      <c r="GM55" t="e">
        <f>#REF!+";Hb!$k9"</f>
        <v>#REF!</v>
      </c>
      <c r="GN55" t="e">
        <f>#REF!+";Hb!$k:"</f>
        <v>#REF!</v>
      </c>
      <c r="GO55" t="e">
        <f>#REF!+";Hb!$k;"</f>
        <v>#REF!</v>
      </c>
      <c r="GP55" t="e">
        <f>#REF!+";Hb!$k&lt;"</f>
        <v>#REF!</v>
      </c>
      <c r="GQ55" t="e">
        <f>#REF!+";Hb!$k="</f>
        <v>#REF!</v>
      </c>
      <c r="GR55" t="e">
        <f>#REF!+";Hb!$k&gt;"</f>
        <v>#REF!</v>
      </c>
      <c r="GS55" t="e">
        <f>#REF!+";Hb!$k?"</f>
        <v>#REF!</v>
      </c>
      <c r="GT55" t="e">
        <f>#REF!+";Hb!$k@"</f>
        <v>#REF!</v>
      </c>
      <c r="GU55" t="e">
        <f>#REF!+";Hb!$kA"</f>
        <v>#REF!</v>
      </c>
      <c r="GV55" t="e">
        <f>#REF!+";Hb!$kB"</f>
        <v>#REF!</v>
      </c>
      <c r="GW55" t="e">
        <f>#REF!+";Hb!$kC"</f>
        <v>#REF!</v>
      </c>
      <c r="GX55" t="e">
        <f>#REF!+";Hb!$kD"</f>
        <v>#REF!</v>
      </c>
      <c r="GY55" t="e">
        <f>#REF!+";Hb!$kE"</f>
        <v>#REF!</v>
      </c>
      <c r="GZ55" t="e">
        <f>#REF!+";Hb!$kF"</f>
        <v>#REF!</v>
      </c>
      <c r="HA55" t="e">
        <f>#REF!+";Hb!$kG"</f>
        <v>#REF!</v>
      </c>
      <c r="HB55" t="e">
        <f>#REF!+";Hb!$kH"</f>
        <v>#REF!</v>
      </c>
      <c r="HC55" t="e">
        <f>#REF!+";Hb!$kI"</f>
        <v>#REF!</v>
      </c>
      <c r="HD55" t="e">
        <f>#REF!+";Hb!$kJ"</f>
        <v>#REF!</v>
      </c>
      <c r="HE55" t="e">
        <f>#REF!+";Hb!$kK"</f>
        <v>#REF!</v>
      </c>
      <c r="HF55" t="e">
        <f>#REF!+";Hb!$kL"</f>
        <v>#REF!</v>
      </c>
      <c r="HG55" t="e">
        <f>#REF!+";Hb!$kM"</f>
        <v>#REF!</v>
      </c>
      <c r="HH55" t="e">
        <f>#REF!+";Hb!$kN"</f>
        <v>#REF!</v>
      </c>
      <c r="HI55" t="e">
        <f>#REF!+";Hb!$kO"</f>
        <v>#REF!</v>
      </c>
      <c r="HJ55" t="e">
        <f>#REF!+";Hb!$kP"</f>
        <v>#REF!</v>
      </c>
      <c r="HK55" t="e">
        <f>#REF!+";Hb!$kQ"</f>
        <v>#REF!</v>
      </c>
      <c r="HL55" t="e">
        <f>#REF!+";Hb!$kR"</f>
        <v>#REF!</v>
      </c>
      <c r="HM55" t="e">
        <f>#REF!+";Hb!$kS"</f>
        <v>#REF!</v>
      </c>
      <c r="HN55" t="e">
        <f>#REF!+";Hb!$kT"</f>
        <v>#REF!</v>
      </c>
      <c r="HO55" t="e">
        <f>#REF!+";Hb!$kU"</f>
        <v>#REF!</v>
      </c>
      <c r="HP55" t="e">
        <f>#REF!+";Hb!$kV"</f>
        <v>#REF!</v>
      </c>
      <c r="HQ55" t="e">
        <f>#REF!+";Hb!$kW"</f>
        <v>#REF!</v>
      </c>
      <c r="HR55" t="e">
        <f>#REF!+";Hb!$kX"</f>
        <v>#REF!</v>
      </c>
      <c r="HS55" t="e">
        <f>#REF!+";Hb!$kY"</f>
        <v>#REF!</v>
      </c>
      <c r="HT55" t="e">
        <f>#REF!+";Hb!$kZ"</f>
        <v>#REF!</v>
      </c>
      <c r="HU55" t="e">
        <f>#REF!+";Hb!$k["</f>
        <v>#REF!</v>
      </c>
      <c r="HV55" t="e">
        <f>#REF!+";Hb!$k\"</f>
        <v>#REF!</v>
      </c>
      <c r="HW55" t="e">
        <f>#REF!+";Hb!$k]"</f>
        <v>#REF!</v>
      </c>
      <c r="HX55" t="e">
        <f>#REF!+";Hb!$k^"</f>
        <v>#REF!</v>
      </c>
      <c r="HY55" t="e">
        <f>#REF!+";Hb!$k_"</f>
        <v>#REF!</v>
      </c>
      <c r="HZ55" t="e">
        <f>#REF!+";Hb!$k`"</f>
        <v>#REF!</v>
      </c>
      <c r="IA55" t="e">
        <f>#REF!+";Hb!$ka"</f>
        <v>#REF!</v>
      </c>
      <c r="IB55" t="e">
        <f>#REF!+";Hb!$kb"</f>
        <v>#REF!</v>
      </c>
      <c r="IC55" t="e">
        <f>#REF!+";Hb!$kc"</f>
        <v>#REF!</v>
      </c>
      <c r="ID55" t="e">
        <f>#REF!+";Hb!$kd"</f>
        <v>#REF!</v>
      </c>
      <c r="IE55" t="e">
        <f>#REF!+";Hb!$ke"</f>
        <v>#REF!</v>
      </c>
      <c r="IF55" t="e">
        <f>#REF!+";Hb!$kf"</f>
        <v>#REF!</v>
      </c>
      <c r="IG55" t="e">
        <f>#REF!+";Hb!$kg"</f>
        <v>#REF!</v>
      </c>
      <c r="IH55" t="e">
        <f>#REF!+";Hb!$kh"</f>
        <v>#REF!</v>
      </c>
      <c r="II55" t="e">
        <f>#REF!+";Hb!$ki"</f>
        <v>#REF!</v>
      </c>
      <c r="IJ55" t="e">
        <f>#REF!+";Hb!$kj"</f>
        <v>#REF!</v>
      </c>
      <c r="IK55" t="e">
        <f>#REF!+";Hb!$kk"</f>
        <v>#REF!</v>
      </c>
      <c r="IL55" t="e">
        <f>#REF!+";Hb!$kl"</f>
        <v>#REF!</v>
      </c>
      <c r="IM55" t="e">
        <f>#REF!+";Hb!$km"</f>
        <v>#REF!</v>
      </c>
      <c r="IN55" t="e">
        <f>#REF!+";Hb!$kn"</f>
        <v>#REF!</v>
      </c>
      <c r="IO55" t="e">
        <f>#REF!+";Hb!$ko"</f>
        <v>#REF!</v>
      </c>
      <c r="IP55" t="e">
        <f>#REF!+";Hb!$kp"</f>
        <v>#REF!</v>
      </c>
      <c r="IQ55" t="e">
        <f>#REF!+";Hb!$kq"</f>
        <v>#REF!</v>
      </c>
      <c r="IR55" t="e">
        <f>#REF!+";Hb!$kr"</f>
        <v>#REF!</v>
      </c>
      <c r="IS55" t="e">
        <f>#REF!+";Hb!$ks"</f>
        <v>#REF!</v>
      </c>
      <c r="IT55" t="e">
        <f>#REF!+";Hb!$kt"</f>
        <v>#REF!</v>
      </c>
      <c r="IU55" t="e">
        <f>#REF!+";Hb!$ku"</f>
        <v>#REF!</v>
      </c>
      <c r="IV55" t="e">
        <f>#REF!+";Hb!$kv"</f>
        <v>#REF!</v>
      </c>
    </row>
    <row r="56" spans="6:256" x14ac:dyDescent="0.25">
      <c r="F56" t="e">
        <f>#REF!+";Hb!$kw"</f>
        <v>#REF!</v>
      </c>
      <c r="G56" t="e">
        <f>#REF!+";Hb!$kx"</f>
        <v>#REF!</v>
      </c>
      <c r="H56" t="e">
        <f>#REF!+";Hb!$ky"</f>
        <v>#REF!</v>
      </c>
      <c r="I56" t="e">
        <f>#REF!+";Hb!$kz"</f>
        <v>#REF!</v>
      </c>
      <c r="J56" t="e">
        <f>#REF!+";Hb!$k{"</f>
        <v>#REF!</v>
      </c>
      <c r="K56" t="e">
        <f>#REF!+";Hb!$k|"</f>
        <v>#REF!</v>
      </c>
      <c r="L56" t="e">
        <f>#REF!+";Hb!$k}"</f>
        <v>#REF!</v>
      </c>
      <c r="M56" t="e">
        <f>#REF!+";Hb!$k~"</f>
        <v>#REF!</v>
      </c>
      <c r="N56" t="e">
        <f>#REF!+";Hb!$l#"</f>
        <v>#REF!</v>
      </c>
      <c r="O56" t="e">
        <f>#REF!+";Hb!$l$"</f>
        <v>#REF!</v>
      </c>
      <c r="P56" t="e">
        <f>#REF!+";Hb!$l%"</f>
        <v>#REF!</v>
      </c>
      <c r="Q56" t="e">
        <f>#REF!+";Hb!$l&amp;"</f>
        <v>#REF!</v>
      </c>
      <c r="R56" t="e">
        <f>#REF!+";Hb!$l'"</f>
        <v>#REF!</v>
      </c>
      <c r="S56" t="e">
        <f>#REF!+";Hb!$l("</f>
        <v>#REF!</v>
      </c>
      <c r="T56" t="e">
        <f>#REF!+";Hb!$l)"</f>
        <v>#REF!</v>
      </c>
      <c r="U56" t="e">
        <f>#REF!+";Hb!$l."</f>
        <v>#REF!</v>
      </c>
      <c r="V56" t="e">
        <f>#REF!+";Hb!$l/"</f>
        <v>#REF!</v>
      </c>
      <c r="W56" t="e">
        <f>#REF!+";Hb!$l0"</f>
        <v>#REF!</v>
      </c>
      <c r="X56" t="e">
        <f>#REF!+";Hb!$l1"</f>
        <v>#REF!</v>
      </c>
      <c r="Y56" t="e">
        <f>#REF!+";Hb!$l2"</f>
        <v>#REF!</v>
      </c>
      <c r="Z56" t="e">
        <f>#REF!+";Hb!$l3"</f>
        <v>#REF!</v>
      </c>
      <c r="AA56" t="e">
        <f>#REF!+";Hb!$l4"</f>
        <v>#REF!</v>
      </c>
      <c r="AB56" t="e">
        <f>#REF!+";Hb!$l5"</f>
        <v>#REF!</v>
      </c>
      <c r="AC56" t="e">
        <f>#REF!+";Hb!$l6"</f>
        <v>#REF!</v>
      </c>
      <c r="AD56" t="e">
        <f>#REF!+";Hb!$l7"</f>
        <v>#REF!</v>
      </c>
      <c r="AE56" t="e">
        <f>#REF!+";Hb!$l8"</f>
        <v>#REF!</v>
      </c>
      <c r="AF56" t="e">
        <f>#REF!+";Hb!$l9"</f>
        <v>#REF!</v>
      </c>
      <c r="AG56" t="e">
        <f>#REF!+";Hb!$l:"</f>
        <v>#REF!</v>
      </c>
      <c r="AH56" t="e">
        <f>#REF!+";Hb!$l;"</f>
        <v>#REF!</v>
      </c>
      <c r="AI56" t="e">
        <f>#REF!+";Hb!$l&lt;"</f>
        <v>#REF!</v>
      </c>
      <c r="AJ56" t="e">
        <f>#REF!+";Hb!$l="</f>
        <v>#REF!</v>
      </c>
      <c r="AK56" t="e">
        <f>#REF!+";Hb!$l&gt;"</f>
        <v>#REF!</v>
      </c>
      <c r="AL56" t="e">
        <f>#REF!+";Hb!$l?"</f>
        <v>#REF!</v>
      </c>
      <c r="AM56" t="e">
        <f>#REF!+";Hb!$l@"</f>
        <v>#REF!</v>
      </c>
      <c r="AN56" t="e">
        <f>#REF!+";Hb!$lA"</f>
        <v>#REF!</v>
      </c>
      <c r="AO56" t="e">
        <f>#REF!+";Hb!$lB"</f>
        <v>#REF!</v>
      </c>
      <c r="AP56" t="e">
        <f>#REF!+";Hb!$lC"</f>
        <v>#REF!</v>
      </c>
      <c r="AQ56" t="e">
        <f>#REF!+";Hb!$lD"</f>
        <v>#REF!</v>
      </c>
      <c r="AR56" t="e">
        <f>#REF!+";Hb!$lE"</f>
        <v>#REF!</v>
      </c>
      <c r="AS56" t="e">
        <f>#REF!+";Hb!$lF"</f>
        <v>#REF!</v>
      </c>
      <c r="AT56" t="e">
        <f>#REF!+";Hb!$lG"</f>
        <v>#REF!</v>
      </c>
      <c r="AU56" t="e">
        <f>#REF!+";Hb!$lH"</f>
        <v>#REF!</v>
      </c>
      <c r="AV56" t="e">
        <f>#REF!+";Hb!$lI"</f>
        <v>#REF!</v>
      </c>
      <c r="AW56" t="e">
        <f>#REF!+";Hb!$lJ"</f>
        <v>#REF!</v>
      </c>
      <c r="AX56" t="e">
        <f>#REF!+";Hb!$lK"</f>
        <v>#REF!</v>
      </c>
      <c r="AY56" t="e">
        <f>#REF!+";Hb!$lL"</f>
        <v>#REF!</v>
      </c>
      <c r="AZ56" t="e">
        <f>#REF!+";Hb!$lM"</f>
        <v>#REF!</v>
      </c>
      <c r="BA56" t="e">
        <f>#REF!+";Hb!$lN"</f>
        <v>#REF!</v>
      </c>
      <c r="BB56" t="e">
        <f>#REF!+";Hb!$lO"</f>
        <v>#REF!</v>
      </c>
      <c r="BC56" t="e">
        <f>#REF!+";Hb!$lP"</f>
        <v>#REF!</v>
      </c>
      <c r="BD56" t="e">
        <f>#REF!+";Hb!$lQ"</f>
        <v>#REF!</v>
      </c>
      <c r="BE56" t="e">
        <f>#REF!+";Hb!$lR"</f>
        <v>#REF!</v>
      </c>
      <c r="BF56" t="e">
        <f>#REF!+";Hb!$lS"</f>
        <v>#REF!</v>
      </c>
      <c r="BG56" t="e">
        <f>#REF!+";Hb!$lT"</f>
        <v>#REF!</v>
      </c>
      <c r="BH56" t="e">
        <f>#REF!+";Hb!$lU"</f>
        <v>#REF!</v>
      </c>
      <c r="BI56" t="e">
        <f>#REF!+";Hb!$lV"</f>
        <v>#REF!</v>
      </c>
      <c r="BJ56" t="e">
        <f>#REF!+";Hb!$lW"</f>
        <v>#REF!</v>
      </c>
      <c r="BK56" t="e">
        <f>#REF!+";Hb!$lX"</f>
        <v>#REF!</v>
      </c>
      <c r="BL56" t="e">
        <f>#REF!+";Hb!$lY"</f>
        <v>#REF!</v>
      </c>
      <c r="BM56" t="e">
        <f>#REF!+";Hb!$lZ"</f>
        <v>#REF!</v>
      </c>
      <c r="BN56" t="e">
        <f>#REF!+";Hb!$l["</f>
        <v>#REF!</v>
      </c>
      <c r="BO56" t="e">
        <f>#REF!+";Hb!$l\"</f>
        <v>#REF!</v>
      </c>
      <c r="BP56" t="e">
        <f>#REF!+";Hb!$l]"</f>
        <v>#REF!</v>
      </c>
      <c r="BQ56" t="e">
        <f>#REF!+";Hb!$l^"</f>
        <v>#REF!</v>
      </c>
      <c r="BR56" t="e">
        <f>#REF!+";Hb!$l_"</f>
        <v>#REF!</v>
      </c>
      <c r="BS56" t="e">
        <f>#REF!+";Hb!$l`"</f>
        <v>#REF!</v>
      </c>
      <c r="BT56" t="e">
        <f>#REF!+";Hb!$la"</f>
        <v>#REF!</v>
      </c>
      <c r="BU56" t="e">
        <f>#REF!+";Hb!$lb"</f>
        <v>#REF!</v>
      </c>
      <c r="BV56" t="e">
        <f>#REF!+";Hb!$lc"</f>
        <v>#REF!</v>
      </c>
      <c r="BW56" t="e">
        <f>#REF!+";Hb!$ld"</f>
        <v>#REF!</v>
      </c>
      <c r="BX56" t="e">
        <f>#REF!+";Hb!$le"</f>
        <v>#REF!</v>
      </c>
      <c r="BY56" t="e">
        <f>#REF!+";Hb!$lf"</f>
        <v>#REF!</v>
      </c>
      <c r="BZ56" t="e">
        <f>#REF!+";Hb!$lg"</f>
        <v>#REF!</v>
      </c>
      <c r="CA56" t="e">
        <f>#REF!+";Hb!$lh"</f>
        <v>#REF!</v>
      </c>
      <c r="CB56" t="e">
        <f>#REF!+";Hb!$li"</f>
        <v>#REF!</v>
      </c>
      <c r="CC56" t="e">
        <f>#REF!+";Hb!$lj"</f>
        <v>#REF!</v>
      </c>
      <c r="CD56" t="e">
        <f>#REF!+";Hb!$lk"</f>
        <v>#REF!</v>
      </c>
      <c r="CE56" t="e">
        <f>#REF!+";Hb!$ll"</f>
        <v>#REF!</v>
      </c>
      <c r="CF56" t="e">
        <f>#REF!+";Hb!$lm"</f>
        <v>#REF!</v>
      </c>
      <c r="CG56" t="e">
        <f>#REF!+";Hb!$ln"</f>
        <v>#REF!</v>
      </c>
      <c r="CH56" t="e">
        <f>#REF!+";Hb!$lo"</f>
        <v>#REF!</v>
      </c>
      <c r="CI56" t="e">
        <f>#REF!+";Hb!$lp"</f>
        <v>#REF!</v>
      </c>
      <c r="CJ56" t="e">
        <f>#REF!+";Hb!$lq"</f>
        <v>#REF!</v>
      </c>
      <c r="CK56" t="e">
        <f>#REF!+";Hb!$lr"</f>
        <v>#REF!</v>
      </c>
      <c r="CL56" t="e">
        <f>#REF!+";Hb!$ls"</f>
        <v>#REF!</v>
      </c>
      <c r="CM56" t="e">
        <f>#REF!+";Hb!$lt"</f>
        <v>#REF!</v>
      </c>
      <c r="CN56" t="e">
        <f>#REF!+";Hb!$lu"</f>
        <v>#REF!</v>
      </c>
      <c r="CO56" t="e">
        <f>#REF!+";Hb!$lv"</f>
        <v>#REF!</v>
      </c>
      <c r="CP56" t="e">
        <f>#REF!+";Hb!$lw"</f>
        <v>#REF!</v>
      </c>
      <c r="CQ56" t="e">
        <f>#REF!+";Hb!$lx"</f>
        <v>#REF!</v>
      </c>
      <c r="CR56" t="e">
        <f>#REF!+";Hb!$ly"</f>
        <v>#REF!</v>
      </c>
      <c r="CS56" t="e">
        <f>#REF!+";Hb!$lz"</f>
        <v>#REF!</v>
      </c>
      <c r="CT56" t="e">
        <f>#REF!+";Hb!$l{"</f>
        <v>#REF!</v>
      </c>
      <c r="CU56" t="e">
        <f>#REF!+";Hb!$l|"</f>
        <v>#REF!</v>
      </c>
      <c r="CV56" t="e">
        <f>#REF!+";Hb!$l}"</f>
        <v>#REF!</v>
      </c>
      <c r="CW56" t="e">
        <f>#REF!+";Hb!$l~"</f>
        <v>#REF!</v>
      </c>
      <c r="CX56" t="e">
        <f>#REF!+";Hb!$m#"</f>
        <v>#REF!</v>
      </c>
      <c r="CY56" t="e">
        <f>#REF!+";Hb!$m$"</f>
        <v>#REF!</v>
      </c>
      <c r="CZ56" t="e">
        <f>#REF!+";Hb!$m%"</f>
        <v>#REF!</v>
      </c>
      <c r="DA56" t="e">
        <f>#REF!+";Hb!$m&amp;"</f>
        <v>#REF!</v>
      </c>
      <c r="DB56" t="e">
        <f>#REF!+";Hb!$m'"</f>
        <v>#REF!</v>
      </c>
      <c r="DC56" t="e">
        <f>#REF!+";Hb!$m("</f>
        <v>#REF!</v>
      </c>
      <c r="DD56" t="e">
        <f>#REF!+";Hb!$m)"</f>
        <v>#REF!</v>
      </c>
      <c r="DE56" t="e">
        <f>#REF!+";Hb!$m."</f>
        <v>#REF!</v>
      </c>
      <c r="DF56" t="e">
        <f>#REF!+";Hb!$m/"</f>
        <v>#REF!</v>
      </c>
      <c r="DG56" t="e">
        <f>#REF!+";Hb!$m0"</f>
        <v>#REF!</v>
      </c>
      <c r="DH56" t="e">
        <f>#REF!+";Hb!$m1"</f>
        <v>#REF!</v>
      </c>
      <c r="DI56" t="e">
        <f>#REF!+";Hb!$m2"</f>
        <v>#REF!</v>
      </c>
      <c r="DJ56" t="e">
        <f>#REF!+";Hb!$m3"</f>
        <v>#REF!</v>
      </c>
      <c r="DK56" t="e">
        <f>#REF!+";Hb!$m4"</f>
        <v>#REF!</v>
      </c>
      <c r="DL56" t="e">
        <f>#REF!+";Hb!$m5"</f>
        <v>#REF!</v>
      </c>
      <c r="DM56" t="e">
        <f>#REF!+";Hb!$m6"</f>
        <v>#REF!</v>
      </c>
      <c r="DN56" t="e">
        <f>#REF!+";Hb!$m7"</f>
        <v>#REF!</v>
      </c>
      <c r="DO56" t="e">
        <f>#REF!+";Hb!$m8"</f>
        <v>#REF!</v>
      </c>
      <c r="DP56" t="e">
        <f>#REF!+";Hb!$m9"</f>
        <v>#REF!</v>
      </c>
      <c r="DQ56" t="e">
        <f>#REF!+";Hb!$m:"</f>
        <v>#REF!</v>
      </c>
      <c r="DR56" t="e">
        <f>#REF!+";Hb!$m;"</f>
        <v>#REF!</v>
      </c>
      <c r="DS56" t="e">
        <f>#REF!+";Hb!$m&lt;"</f>
        <v>#REF!</v>
      </c>
      <c r="DT56" t="e">
        <f>#REF!+";Hb!$m="</f>
        <v>#REF!</v>
      </c>
      <c r="DU56" t="e">
        <f>#REF!+";Hb!$m&gt;"</f>
        <v>#REF!</v>
      </c>
      <c r="DV56" t="e">
        <f>#REF!+";Hb!$m?"</f>
        <v>#REF!</v>
      </c>
      <c r="DW56" t="e">
        <f>#REF!+";Hb!$m@"</f>
        <v>#REF!</v>
      </c>
      <c r="DX56" t="e">
        <f>#REF!+";Hb!$mA"</f>
        <v>#REF!</v>
      </c>
      <c r="DY56" t="e">
        <f>#REF!+";Hb!$mB"</f>
        <v>#REF!</v>
      </c>
      <c r="DZ56" t="e">
        <f>#REF!+";Hb!$mC"</f>
        <v>#REF!</v>
      </c>
      <c r="EA56" t="e">
        <f>#REF!+";Hb!$mD"</f>
        <v>#REF!</v>
      </c>
      <c r="EB56" t="e">
        <f>#REF!+";Hb!$mE"</f>
        <v>#REF!</v>
      </c>
      <c r="EC56" t="e">
        <f>#REF!+";Hb!$mF"</f>
        <v>#REF!</v>
      </c>
      <c r="ED56" t="e">
        <f>#REF!+";Hb!$mG"</f>
        <v>#REF!</v>
      </c>
      <c r="EE56" t="e">
        <f>#REF!+";Hb!$mH"</f>
        <v>#REF!</v>
      </c>
      <c r="EF56" t="e">
        <f>#REF!+";Hb!$mI"</f>
        <v>#REF!</v>
      </c>
      <c r="EG56" t="e">
        <f>#REF!+";Hb!$mJ"</f>
        <v>#REF!</v>
      </c>
      <c r="EH56" t="e">
        <f>#REF!+";Hb!$mK"</f>
        <v>#REF!</v>
      </c>
      <c r="EI56" t="e">
        <f>#REF!+";Hb!$mL"</f>
        <v>#REF!</v>
      </c>
      <c r="EJ56" t="e">
        <f>#REF!+";Hb!$mM"</f>
        <v>#REF!</v>
      </c>
      <c r="EK56" t="e">
        <f>#REF!+";Hb!$mN"</f>
        <v>#REF!</v>
      </c>
      <c r="EL56" t="e">
        <f>#REF!+";Hb!$mO"</f>
        <v>#REF!</v>
      </c>
      <c r="EM56" t="e">
        <f>#REF!+";Hb!$mP"</f>
        <v>#REF!</v>
      </c>
      <c r="EN56" t="e">
        <f>#REF!+";Hb!$mQ"</f>
        <v>#REF!</v>
      </c>
      <c r="EO56" t="e">
        <f>#REF!+";Hb!$mR"</f>
        <v>#REF!</v>
      </c>
      <c r="EP56" t="e">
        <f>#REF!+";Hb!$mS"</f>
        <v>#REF!</v>
      </c>
      <c r="EQ56" t="e">
        <f>#REF!+";Hb!$mT"</f>
        <v>#REF!</v>
      </c>
      <c r="ER56" t="e">
        <f>#REF!+";Hb!$mU"</f>
        <v>#REF!</v>
      </c>
      <c r="ES56" t="e">
        <f>#REF!+";Hb!$mV"</f>
        <v>#REF!</v>
      </c>
      <c r="ET56" t="e">
        <f>#REF!+";Hb!$mW"</f>
        <v>#REF!</v>
      </c>
      <c r="EU56" t="e">
        <f>#REF!+";Hb!$mX"</f>
        <v>#REF!</v>
      </c>
      <c r="EV56" t="e">
        <f>#REF!+";Hb!$mY"</f>
        <v>#REF!</v>
      </c>
      <c r="EW56" t="e">
        <f>#REF!+";Hb!$mZ"</f>
        <v>#REF!</v>
      </c>
      <c r="EX56" t="e">
        <f>#REF!+";Hb!$m["</f>
        <v>#REF!</v>
      </c>
      <c r="EY56" t="e">
        <f>#REF!+";Hb!$m\"</f>
        <v>#REF!</v>
      </c>
      <c r="EZ56" t="e">
        <f>#REF!+";Hb!$m]"</f>
        <v>#REF!</v>
      </c>
      <c r="FA56" t="e">
        <f>#REF!+";Hb!$m^"</f>
        <v>#REF!</v>
      </c>
      <c r="FB56" t="e">
        <f>#REF!+";Hb!$m_"</f>
        <v>#REF!</v>
      </c>
      <c r="FC56" t="e">
        <f>#REF!+";Hb!$m`"</f>
        <v>#REF!</v>
      </c>
      <c r="FD56" t="e">
        <f>#REF!+";Hb!$ma"</f>
        <v>#REF!</v>
      </c>
      <c r="FE56" t="e">
        <f>#REF!+";Hb!$mb"</f>
        <v>#REF!</v>
      </c>
      <c r="FF56" t="e">
        <f>#REF!+";Hb!$mc"</f>
        <v>#REF!</v>
      </c>
      <c r="FG56" t="e">
        <f>#REF!+";Hb!$md"</f>
        <v>#REF!</v>
      </c>
      <c r="FH56" t="e">
        <f>#REF!+";Hb!$me"</f>
        <v>#REF!</v>
      </c>
      <c r="FI56" t="e">
        <f>#REF!+";Hb!$mf"</f>
        <v>#REF!</v>
      </c>
      <c r="FJ56" t="e">
        <f>#REF!+";Hb!$mg"</f>
        <v>#REF!</v>
      </c>
      <c r="FK56" t="e">
        <f>#REF!+";Hb!$mh"</f>
        <v>#REF!</v>
      </c>
      <c r="FL56" t="e">
        <f>#REF!+";Hb!$mi"</f>
        <v>#REF!</v>
      </c>
      <c r="FM56" t="e">
        <f>#REF!+";Hb!$mj"</f>
        <v>#REF!</v>
      </c>
      <c r="FN56" t="e">
        <f>#REF!+";Hb!$mk"</f>
        <v>#REF!</v>
      </c>
      <c r="FO56" t="e">
        <f>#REF!+";Hb!$ml"</f>
        <v>#REF!</v>
      </c>
      <c r="FP56" t="e">
        <f>#REF!+";Hb!$mm"</f>
        <v>#REF!</v>
      </c>
      <c r="FQ56" t="e">
        <f>#REF!+";Hb!$mn"</f>
        <v>#REF!</v>
      </c>
      <c r="FR56" t="e">
        <f>#REF!+";Hb!$mo"</f>
        <v>#REF!</v>
      </c>
      <c r="FS56" t="e">
        <f>#REF!+";Hb!$mp"</f>
        <v>#REF!</v>
      </c>
      <c r="FT56" t="e">
        <f>#REF!+";Hb!$mq"</f>
        <v>#REF!</v>
      </c>
      <c r="FU56" t="e">
        <f>#REF!+";Hb!$mr"</f>
        <v>#REF!</v>
      </c>
      <c r="FV56" t="e">
        <f>#REF!+";Hb!$ms"</f>
        <v>#REF!</v>
      </c>
      <c r="FW56" t="e">
        <f>#REF!+";Hb!$mt"</f>
        <v>#REF!</v>
      </c>
      <c r="FX56" t="e">
        <f>#REF!+";Hb!$mu"</f>
        <v>#REF!</v>
      </c>
      <c r="FY56" t="e">
        <f>#REF!+";Hb!$mv"</f>
        <v>#REF!</v>
      </c>
      <c r="FZ56" t="e">
        <f>#REF!+";Hb!$mw"</f>
        <v>#REF!</v>
      </c>
      <c r="GA56" t="e">
        <f>#REF!+";Hb!$mx"</f>
        <v>#REF!</v>
      </c>
      <c r="GB56" t="e">
        <f>#REF!+";Hb!$my"</f>
        <v>#REF!</v>
      </c>
      <c r="GC56" t="e">
        <f>#REF!+";Hb!$mz"</f>
        <v>#REF!</v>
      </c>
      <c r="GD56" t="e">
        <f>#REF!+";Hb!$m{"</f>
        <v>#REF!</v>
      </c>
      <c r="GE56" t="e">
        <f>#REF!+";Hb!$m|"</f>
        <v>#REF!</v>
      </c>
      <c r="GF56" t="e">
        <f>#REF!+";Hb!$m}"</f>
        <v>#REF!</v>
      </c>
      <c r="GG56" t="e">
        <f>#REF!+";Hb!$m~"</f>
        <v>#REF!</v>
      </c>
      <c r="GH56" t="e">
        <f>#REF!+";Hb!$n#"</f>
        <v>#REF!</v>
      </c>
      <c r="GI56" t="e">
        <f>#REF!+";Hb!$n$"</f>
        <v>#REF!</v>
      </c>
      <c r="GJ56" t="e">
        <f>#REF!+";Hb!$n%"</f>
        <v>#REF!</v>
      </c>
      <c r="GK56" t="e">
        <f>#REF!+";Hb!$n&amp;"</f>
        <v>#REF!</v>
      </c>
      <c r="GL56" t="e">
        <f>#REF!+";Hb!$n'"</f>
        <v>#REF!</v>
      </c>
      <c r="GM56" t="e">
        <f>#REF!+";Hb!$n("</f>
        <v>#REF!</v>
      </c>
      <c r="GN56" t="e">
        <f>#REF!+";Hb!$n)"</f>
        <v>#REF!</v>
      </c>
      <c r="GO56" t="e">
        <f>#REF!+";Hb!$n."</f>
        <v>#REF!</v>
      </c>
      <c r="GP56" t="e">
        <f>#REF!+";Hb!$n/"</f>
        <v>#REF!</v>
      </c>
      <c r="GQ56" t="e">
        <f>#REF!+";Hb!$n0"</f>
        <v>#REF!</v>
      </c>
      <c r="GR56" t="e">
        <f>#REF!+";Hb!$n1"</f>
        <v>#REF!</v>
      </c>
      <c r="GS56" t="e">
        <f>#REF!+";Hb!$n2"</f>
        <v>#REF!</v>
      </c>
      <c r="GT56" t="e">
        <f>#REF!+";Hb!$n3"</f>
        <v>#REF!</v>
      </c>
      <c r="GU56" t="e">
        <f>#REF!+";Hb!$n4"</f>
        <v>#REF!</v>
      </c>
      <c r="GV56" t="e">
        <f>#REF!+";Hb!$n5"</f>
        <v>#REF!</v>
      </c>
      <c r="GW56" t="e">
        <f>#REF!+";Hb!$n6"</f>
        <v>#REF!</v>
      </c>
      <c r="GX56" t="e">
        <f>#REF!+";Hb!$n7"</f>
        <v>#REF!</v>
      </c>
      <c r="GY56" t="e">
        <f>#REF!+";Hb!$n8"</f>
        <v>#REF!</v>
      </c>
      <c r="GZ56" t="e">
        <f>#REF!+";Hb!$n9"</f>
        <v>#REF!</v>
      </c>
      <c r="HA56" t="e">
        <f>#REF!+";Hb!$n:"</f>
        <v>#REF!</v>
      </c>
      <c r="HB56" t="e">
        <f>#REF!+";Hb!$n;"</f>
        <v>#REF!</v>
      </c>
      <c r="HC56" t="e">
        <f>#REF!+";Hb!$n&lt;"</f>
        <v>#REF!</v>
      </c>
      <c r="HD56" t="e">
        <f>#REF!+";Hb!$n="</f>
        <v>#REF!</v>
      </c>
      <c r="HE56" t="e">
        <f>#REF!+";Hb!$n&gt;"</f>
        <v>#REF!</v>
      </c>
      <c r="HF56" t="e">
        <f>#REF!+";Hb!$n?"</f>
        <v>#REF!</v>
      </c>
      <c r="HG56" t="e">
        <f>#REF!+";Hb!$n@"</f>
        <v>#REF!</v>
      </c>
      <c r="HH56" t="e">
        <f>#REF!+";Hb!$nA"</f>
        <v>#REF!</v>
      </c>
      <c r="HI56" t="e">
        <f>#REF!+";Hb!$nB"</f>
        <v>#REF!</v>
      </c>
      <c r="HJ56" t="e">
        <f>#REF!+";Hb!$nC"</f>
        <v>#REF!</v>
      </c>
      <c r="HK56" t="e">
        <f>#REF!+";Hb!$nD"</f>
        <v>#REF!</v>
      </c>
      <c r="HL56" t="e">
        <f>#REF!+";Hb!$nE"</f>
        <v>#REF!</v>
      </c>
      <c r="HM56" t="e">
        <f>#REF!+";Hb!$nF"</f>
        <v>#REF!</v>
      </c>
      <c r="HN56" t="e">
        <f>#REF!+";Hb!$nG"</f>
        <v>#REF!</v>
      </c>
      <c r="HO56" t="e">
        <f>#REF!+";Hb!$nH"</f>
        <v>#REF!</v>
      </c>
      <c r="HP56" t="e">
        <f>#REF!+";Hb!$nI"</f>
        <v>#REF!</v>
      </c>
      <c r="HQ56" t="e">
        <f>#REF!+";Hb!$nJ"</f>
        <v>#REF!</v>
      </c>
      <c r="HR56" t="e">
        <f>#REF!+";Hb!$nK"</f>
        <v>#REF!</v>
      </c>
      <c r="HS56" t="e">
        <f>#REF!+";Hb!$nL"</f>
        <v>#REF!</v>
      </c>
      <c r="HT56" t="e">
        <f>#REF!+";Hb!$nM"</f>
        <v>#REF!</v>
      </c>
      <c r="HU56" t="e">
        <f>#REF!+";Hb!$nN"</f>
        <v>#REF!</v>
      </c>
      <c r="HV56" t="e">
        <f>#REF!+";Hb!$nO"</f>
        <v>#REF!</v>
      </c>
      <c r="HW56" t="e">
        <f>#REF!+";Hb!$nP"</f>
        <v>#REF!</v>
      </c>
      <c r="HX56" t="e">
        <f>#REF!+";Hb!$nQ"</f>
        <v>#REF!</v>
      </c>
      <c r="HY56" t="e">
        <f>#REF!+";Hb!$nR"</f>
        <v>#REF!</v>
      </c>
      <c r="HZ56" t="e">
        <f>#REF!+";Hb!$nS"</f>
        <v>#REF!</v>
      </c>
      <c r="IA56" t="e">
        <f>#REF!+";Hb!$nT"</f>
        <v>#REF!</v>
      </c>
      <c r="IB56" t="e">
        <f>#REF!+";Hb!$nU"</f>
        <v>#REF!</v>
      </c>
      <c r="IC56" t="e">
        <f>#REF!+";Hb!$nV"</f>
        <v>#REF!</v>
      </c>
      <c r="ID56" t="e">
        <f>#REF!+";Hb!$nW"</f>
        <v>#REF!</v>
      </c>
      <c r="IE56" t="e">
        <f>#REF!+";Hb!$nX"</f>
        <v>#REF!</v>
      </c>
      <c r="IF56" t="e">
        <f>#REF!+";Hb!$nY"</f>
        <v>#REF!</v>
      </c>
      <c r="IG56" t="e">
        <f>#REF!+";Hb!$nZ"</f>
        <v>#REF!</v>
      </c>
      <c r="IH56" t="e">
        <f>#REF!+";Hb!$n["</f>
        <v>#REF!</v>
      </c>
      <c r="II56" t="e">
        <f>#REF!+";Hb!$n\"</f>
        <v>#REF!</v>
      </c>
      <c r="IJ56" t="e">
        <f>#REF!+";Hb!$n]"</f>
        <v>#REF!</v>
      </c>
      <c r="IK56" t="e">
        <f>#REF!+";Hb!$n^"</f>
        <v>#REF!</v>
      </c>
      <c r="IL56" t="e">
        <f>#REF!+";Hb!$n_"</f>
        <v>#REF!</v>
      </c>
      <c r="IM56" t="e">
        <f>#REF!+";Hb!$n`"</f>
        <v>#REF!</v>
      </c>
      <c r="IN56" t="e">
        <f>#REF!+";Hb!$na"</f>
        <v>#REF!</v>
      </c>
      <c r="IO56" t="e">
        <f>#REF!+";Hb!$nb"</f>
        <v>#REF!</v>
      </c>
      <c r="IP56" t="e">
        <f>#REF!+";Hb!$nc"</f>
        <v>#REF!</v>
      </c>
      <c r="IQ56" t="e">
        <f>#REF!+";Hb!$nd"</f>
        <v>#REF!</v>
      </c>
      <c r="IR56" t="e">
        <f>#REF!+";Hb!$ne"</f>
        <v>#REF!</v>
      </c>
      <c r="IS56" t="e">
        <f>#REF!+";Hb!$nf"</f>
        <v>#REF!</v>
      </c>
      <c r="IT56" t="e">
        <f>#REF!+";Hb!$ng"</f>
        <v>#REF!</v>
      </c>
      <c r="IU56" t="e">
        <f>#REF!+";Hb!$nh"</f>
        <v>#REF!</v>
      </c>
      <c r="IV56" t="e">
        <f>#REF!+";Hb!$ni"</f>
        <v>#REF!</v>
      </c>
    </row>
    <row r="57" spans="6:256" x14ac:dyDescent="0.25">
      <c r="F57" t="e">
        <f>#REF!+";Hb!$nj"</f>
        <v>#REF!</v>
      </c>
      <c r="G57" t="e">
        <f>#REF!+";Hb!$nk"</f>
        <v>#REF!</v>
      </c>
      <c r="H57" t="e">
        <f>#REF!+";Hb!$nl"</f>
        <v>#REF!</v>
      </c>
      <c r="I57" t="e">
        <f>#REF!+";Hb!$nm"</f>
        <v>#REF!</v>
      </c>
      <c r="J57" t="e">
        <f>#REF!+";Hb!$nn"</f>
        <v>#REF!</v>
      </c>
      <c r="K57" t="e">
        <f>#REF!+";Hb!$no"</f>
        <v>#REF!</v>
      </c>
      <c r="L57" t="e">
        <f>#REF!+";Hb!$np"</f>
        <v>#REF!</v>
      </c>
      <c r="M57" t="e">
        <f>#REF!+";Hb!$nq"</f>
        <v>#REF!</v>
      </c>
      <c r="N57" t="e">
        <f>#REF!+";Hb!$nr"</f>
        <v>#REF!</v>
      </c>
      <c r="O57" t="e">
        <f>#REF!+";Hb!$ns"</f>
        <v>#REF!</v>
      </c>
      <c r="P57" t="e">
        <f>#REF!+";Hb!$nt"</f>
        <v>#REF!</v>
      </c>
      <c r="Q57" t="e">
        <f>#REF!+";Hb!$nu"</f>
        <v>#REF!</v>
      </c>
      <c r="R57" t="e">
        <f>#REF!+";Hb!$nv"</f>
        <v>#REF!</v>
      </c>
      <c r="S57" t="e">
        <f>#REF!+";Hb!$nw"</f>
        <v>#REF!</v>
      </c>
      <c r="T57" t="e">
        <f>#REF!+";Hb!$nx"</f>
        <v>#REF!</v>
      </c>
      <c r="U57" t="e">
        <f>#REF!+";Hb!$ny"</f>
        <v>#REF!</v>
      </c>
      <c r="V57" t="e">
        <f>#REF!+";Hb!$nz"</f>
        <v>#REF!</v>
      </c>
      <c r="W57" t="e">
        <f>#REF!+";Hb!$n{"</f>
        <v>#REF!</v>
      </c>
      <c r="X57" t="e">
        <f>#REF!+";Hb!$n|"</f>
        <v>#REF!</v>
      </c>
      <c r="Y57" t="e">
        <f>#REF!+";Hb!$n}"</f>
        <v>#REF!</v>
      </c>
      <c r="Z57" t="e">
        <f>#REF!+";Hb!$n~"</f>
        <v>#REF!</v>
      </c>
      <c r="AA57" t="e">
        <f>#REF!+";Hb!$o#"</f>
        <v>#REF!</v>
      </c>
      <c r="AB57" t="e">
        <f>#REF!+";Hb!$o$"</f>
        <v>#REF!</v>
      </c>
      <c r="AC57" t="e">
        <f>#REF!+";Hb!$o%"</f>
        <v>#REF!</v>
      </c>
      <c r="AD57" t="e">
        <f>#REF!+";Hb!$o&amp;"</f>
        <v>#REF!</v>
      </c>
      <c r="AE57" t="e">
        <f>#REF!+";Hb!$o'"</f>
        <v>#REF!</v>
      </c>
      <c r="AF57" t="e">
        <f>#REF!+";Hb!$o("</f>
        <v>#REF!</v>
      </c>
      <c r="AG57" t="e">
        <f>#REF!+";Hb!$o)"</f>
        <v>#REF!</v>
      </c>
      <c r="AH57" t="e">
        <f>#REF!+";Hb!$o."</f>
        <v>#REF!</v>
      </c>
      <c r="AI57" t="e">
        <f>#REF!+";Hb!$o/"</f>
        <v>#REF!</v>
      </c>
      <c r="AJ57" t="e">
        <f>#REF!+";Hb!$o0"</f>
        <v>#REF!</v>
      </c>
      <c r="AK57" t="e">
        <f>#REF!+";Hb!$o1"</f>
        <v>#REF!</v>
      </c>
      <c r="AL57" t="e">
        <f>#REF!+";Hb!$o2"</f>
        <v>#REF!</v>
      </c>
      <c r="AM57" t="e">
        <f>#REF!+";Hb!$o3"</f>
        <v>#REF!</v>
      </c>
      <c r="AN57" t="e">
        <f>#REF!+";Hb!$o4"</f>
        <v>#REF!</v>
      </c>
      <c r="AO57" t="e">
        <f>#REF!+";Hb!$o5"</f>
        <v>#REF!</v>
      </c>
      <c r="AP57" t="e">
        <f>#REF!+";Hb!$o6"</f>
        <v>#REF!</v>
      </c>
      <c r="AQ57" t="e">
        <f>#REF!+";Hb!$o7"</f>
        <v>#REF!</v>
      </c>
      <c r="AR57" t="e">
        <f>#REF!+";Hb!$o8"</f>
        <v>#REF!</v>
      </c>
      <c r="AS57" t="e">
        <f>#REF!+";Hb!$o9"</f>
        <v>#REF!</v>
      </c>
      <c r="AT57" t="e">
        <f>#REF!+";Hb!$o:"</f>
        <v>#REF!</v>
      </c>
      <c r="AU57" t="e">
        <f>#REF!+";Hb!$o;"</f>
        <v>#REF!</v>
      </c>
      <c r="AV57" t="e">
        <f>#REF!+";Hb!$o&lt;"</f>
        <v>#REF!</v>
      </c>
      <c r="AW57" t="e">
        <f>#REF!+";Hb!$o="</f>
        <v>#REF!</v>
      </c>
      <c r="AX57" t="e">
        <f>#REF!+";Hb!$o&gt;"</f>
        <v>#REF!</v>
      </c>
      <c r="AY57" t="e">
        <f>#REF!+";Hb!$o?"</f>
        <v>#REF!</v>
      </c>
      <c r="AZ57" t="e">
        <f>#REF!+";Hb!$o@"</f>
        <v>#REF!</v>
      </c>
      <c r="BA57" t="e">
        <f>#REF!+";Hb!$oA"</f>
        <v>#REF!</v>
      </c>
      <c r="BB57" t="e">
        <f>#REF!+";Hb!$oB"</f>
        <v>#REF!</v>
      </c>
      <c r="BC57" t="e">
        <f>#REF!+";Hb!$oC"</f>
        <v>#REF!</v>
      </c>
      <c r="BD57" t="e">
        <f>#REF!+";Hb!$oD"</f>
        <v>#REF!</v>
      </c>
      <c r="BE57" t="e">
        <f>#REF!+";Hb!$oE"</f>
        <v>#REF!</v>
      </c>
      <c r="BF57" t="e">
        <f>#REF!+";Hb!$oF"</f>
        <v>#REF!</v>
      </c>
      <c r="BG57" t="e">
        <f>#REF!+";Hb!$oG"</f>
        <v>#REF!</v>
      </c>
      <c r="BH57" t="e">
        <f>#REF!+";Hb!$oH"</f>
        <v>#REF!</v>
      </c>
      <c r="BI57" t="e">
        <f>#REF!+";Hb!$oI"</f>
        <v>#REF!</v>
      </c>
      <c r="BJ57" t="e">
        <f>#REF!+";Hb!$oJ"</f>
        <v>#REF!</v>
      </c>
      <c r="BK57" t="e">
        <f>#REF!+";Hb!$oK"</f>
        <v>#REF!</v>
      </c>
      <c r="BL57" t="e">
        <f>#REF!+";Hb!$oL"</f>
        <v>#REF!</v>
      </c>
      <c r="BM57" t="e">
        <f>#REF!+";Hb!$oM"</f>
        <v>#REF!</v>
      </c>
      <c r="BN57" t="e">
        <f>#REF!+";Hb!$oN"</f>
        <v>#REF!</v>
      </c>
      <c r="BO57" t="e">
        <f>#REF!+";Hb!$oO"</f>
        <v>#REF!</v>
      </c>
      <c r="BP57" t="e">
        <f>#REF!+";Hb!$oP"</f>
        <v>#REF!</v>
      </c>
      <c r="BQ57" t="e">
        <f>#REF!+";Hb!$oQ"</f>
        <v>#REF!</v>
      </c>
      <c r="BR57" t="e">
        <f>#REF!+";Hb!$oR"</f>
        <v>#REF!</v>
      </c>
      <c r="BS57" t="e">
        <f>#REF!+";Hb!$oS"</f>
        <v>#REF!</v>
      </c>
      <c r="BT57" t="e">
        <f>#REF!+";Hb!$oT"</f>
        <v>#REF!</v>
      </c>
      <c r="BU57" t="e">
        <f>#REF!+";Hb!$oU"</f>
        <v>#REF!</v>
      </c>
      <c r="BV57" t="e">
        <f>#REF!+";Hb!$oV"</f>
        <v>#REF!</v>
      </c>
      <c r="BW57" t="e">
        <f>#REF!+";Hb!$oW"</f>
        <v>#REF!</v>
      </c>
      <c r="BX57" t="e">
        <f>#REF!+";Hb!$oX"</f>
        <v>#REF!</v>
      </c>
      <c r="BY57" t="e">
        <f>#REF!+";Hb!$oY"</f>
        <v>#REF!</v>
      </c>
      <c r="BZ57" t="e">
        <f>#REF!+";Hb!$oZ"</f>
        <v>#REF!</v>
      </c>
      <c r="CA57" t="e">
        <f>#REF!+";Hb!$o["</f>
        <v>#REF!</v>
      </c>
      <c r="CB57" t="e">
        <f>#REF!+";Hb!$o\"</f>
        <v>#REF!</v>
      </c>
      <c r="CC57" t="e">
        <f>#REF!+";Hb!$o]"</f>
        <v>#REF!</v>
      </c>
      <c r="CD57" t="e">
        <f>#REF!+";Hb!$o^"</f>
        <v>#REF!</v>
      </c>
      <c r="CE57" t="e">
        <f>#REF!+";Hb!$o_"</f>
        <v>#REF!</v>
      </c>
      <c r="CF57" t="e">
        <f>#REF!+";Hb!$o`"</f>
        <v>#REF!</v>
      </c>
      <c r="CG57" t="e">
        <f>#REF!+";Hb!$oa"</f>
        <v>#REF!</v>
      </c>
      <c r="CH57" t="e">
        <f>#REF!+";Hb!$ob"</f>
        <v>#REF!</v>
      </c>
      <c r="CI57" t="e">
        <f>#REF!+";Hb!$oc"</f>
        <v>#REF!</v>
      </c>
      <c r="CJ57" t="e">
        <f>#REF!+";Hb!$od"</f>
        <v>#REF!</v>
      </c>
      <c r="CK57" t="e">
        <f>#REF!+";Hb!$oe"</f>
        <v>#REF!</v>
      </c>
      <c r="CL57" t="e">
        <f>#REF!+";Hb!$of"</f>
        <v>#REF!</v>
      </c>
      <c r="CM57" t="e">
        <f>#REF!+";Hb!$og"</f>
        <v>#REF!</v>
      </c>
      <c r="CN57" t="e">
        <f>#REF!+";Hb!$oh"</f>
        <v>#REF!</v>
      </c>
      <c r="CO57" t="e">
        <f>#REF!+";Hb!$oi"</f>
        <v>#REF!</v>
      </c>
      <c r="CP57" t="e">
        <f>#REF!+";Hb!$oj"</f>
        <v>#REF!</v>
      </c>
      <c r="CQ57" t="e">
        <f>#REF!+";Hb!$ok"</f>
        <v>#REF!</v>
      </c>
      <c r="CR57" t="e">
        <f>#REF!+";Hb!$ol"</f>
        <v>#REF!</v>
      </c>
      <c r="CS57" t="e">
        <f>#REF!+";Hb!$om"</f>
        <v>#REF!</v>
      </c>
      <c r="CT57" t="e">
        <f>#REF!+";Hb!$on"</f>
        <v>#REF!</v>
      </c>
      <c r="CU57" t="e">
        <f>#REF!+";Hb!$oo"</f>
        <v>#REF!</v>
      </c>
      <c r="CV57" t="e">
        <f>#REF!+";Hb!$op"</f>
        <v>#REF!</v>
      </c>
      <c r="CW57" t="e">
        <f>#REF!+";Hb!$oq"</f>
        <v>#REF!</v>
      </c>
      <c r="CX57" t="e">
        <f>#REF!+";Hb!$or"</f>
        <v>#REF!</v>
      </c>
      <c r="CY57" t="e">
        <f>#REF!+";Hb!$os"</f>
        <v>#REF!</v>
      </c>
      <c r="CZ57" t="e">
        <f>#REF!+";Hb!$ot"</f>
        <v>#REF!</v>
      </c>
      <c r="DA57" t="e">
        <f>#REF!+";Hb!$ou"</f>
        <v>#REF!</v>
      </c>
      <c r="DB57" t="e">
        <f>#REF!+";Hb!$ov"</f>
        <v>#REF!</v>
      </c>
      <c r="DC57" t="e">
        <f>#REF!+";Hb!$ow"</f>
        <v>#REF!</v>
      </c>
      <c r="DD57" t="e">
        <f>#REF!+";Hb!$ox"</f>
        <v>#REF!</v>
      </c>
      <c r="DE57" t="e">
        <f>#REF!+";Hb!$oy"</f>
        <v>#REF!</v>
      </c>
      <c r="DF57" t="e">
        <f>#REF!+";Hb!$oz"</f>
        <v>#REF!</v>
      </c>
      <c r="DG57" t="e">
        <f>#REF!+";Hb!$o{"</f>
        <v>#REF!</v>
      </c>
      <c r="DH57" t="e">
        <f>#REF!+";Hb!$o|"</f>
        <v>#REF!</v>
      </c>
      <c r="DI57" t="e">
        <f>#REF!+";Hb!$o}"</f>
        <v>#REF!</v>
      </c>
      <c r="DJ57" t="e">
        <f>#REF!+";Hb!$o~"</f>
        <v>#REF!</v>
      </c>
      <c r="DK57" t="e">
        <f>#REF!+";Hb!$p#"</f>
        <v>#REF!</v>
      </c>
      <c r="DL57" t="e">
        <f>#REF!+";Hb!$p$"</f>
        <v>#REF!</v>
      </c>
      <c r="DM57" t="e">
        <f>#REF!+";Hb!$p%"</f>
        <v>#REF!</v>
      </c>
      <c r="DN57" t="e">
        <f>#REF!+";Hb!$p&amp;"</f>
        <v>#REF!</v>
      </c>
      <c r="DO57" t="e">
        <f>#REF!+";Hb!$p'"</f>
        <v>#REF!</v>
      </c>
      <c r="DP57" t="e">
        <f>#REF!+";Hb!$p("</f>
        <v>#REF!</v>
      </c>
      <c r="DQ57" t="e">
        <f>#REF!+";Hb!$p)"</f>
        <v>#REF!</v>
      </c>
      <c r="DR57" t="e">
        <f>#REF!+";Hb!$p."</f>
        <v>#REF!</v>
      </c>
      <c r="DS57" t="e">
        <f>#REF!+";Hb!$p/"</f>
        <v>#REF!</v>
      </c>
      <c r="DT57" t="e">
        <f>#REF!+";Hb!$p0"</f>
        <v>#REF!</v>
      </c>
      <c r="DU57" t="e">
        <f>#REF!+";Hb!$p1"</f>
        <v>#REF!</v>
      </c>
      <c r="DV57" t="e">
        <f>#REF!+";Hb!$p2"</f>
        <v>#REF!</v>
      </c>
      <c r="DW57" t="e">
        <f>#REF!+";Hb!$p3"</f>
        <v>#REF!</v>
      </c>
      <c r="DX57" t="e">
        <f>#REF!+";Hb!$p4"</f>
        <v>#REF!</v>
      </c>
      <c r="DY57" t="e">
        <f>#REF!+";Hb!$p5"</f>
        <v>#REF!</v>
      </c>
      <c r="DZ57" t="e">
        <f>#REF!+";Hb!$p6"</f>
        <v>#REF!</v>
      </c>
      <c r="EA57" t="e">
        <f>#REF!+";Hb!$p7"</f>
        <v>#REF!</v>
      </c>
      <c r="EB57" t="e">
        <f>#REF!+";Hb!$p8"</f>
        <v>#REF!</v>
      </c>
      <c r="EC57" t="e">
        <f>#REF!+";Hb!$p9"</f>
        <v>#REF!</v>
      </c>
      <c r="ED57" t="e">
        <f>#REF!+";Hb!$p:"</f>
        <v>#REF!</v>
      </c>
      <c r="EE57" t="e">
        <f>#REF!+";Hb!$p;"</f>
        <v>#REF!</v>
      </c>
      <c r="EF57" t="e">
        <f>#REF!+";Hb!$p&lt;"</f>
        <v>#REF!</v>
      </c>
      <c r="EG57" t="e">
        <f>#REF!+";Hb!$p="</f>
        <v>#REF!</v>
      </c>
      <c r="EH57" t="e">
        <f>#REF!+";Hb!$p&gt;"</f>
        <v>#REF!</v>
      </c>
      <c r="EI57" t="e">
        <f>#REF!+";Hb!$p?"</f>
        <v>#REF!</v>
      </c>
      <c r="EJ57" t="e">
        <f>#REF!+";Hb!$p@"</f>
        <v>#REF!</v>
      </c>
      <c r="EK57" t="e">
        <f>#REF!+";Hb!$pA"</f>
        <v>#REF!</v>
      </c>
      <c r="EL57" t="e">
        <f>#REF!+";Hb!$pB"</f>
        <v>#REF!</v>
      </c>
      <c r="EM57" t="e">
        <f>#REF!+";Hb!$pC"</f>
        <v>#REF!</v>
      </c>
      <c r="EN57" t="e">
        <f>#REF!+";Hb!$pD"</f>
        <v>#REF!</v>
      </c>
      <c r="EO57" t="e">
        <f>#REF!+";Hb!$pE"</f>
        <v>#REF!</v>
      </c>
      <c r="EP57" t="e">
        <f>#REF!+";Hb!$pF"</f>
        <v>#REF!</v>
      </c>
      <c r="EQ57" t="e">
        <f>#REF!+";Hb!$pG"</f>
        <v>#REF!</v>
      </c>
      <c r="ER57" t="e">
        <f>#REF!+";Hb!$pH"</f>
        <v>#REF!</v>
      </c>
      <c r="ES57" t="e">
        <f>#REF!+";Hb!$pI"</f>
        <v>#REF!</v>
      </c>
      <c r="ET57" t="e">
        <f>#REF!+";Hb!$pJ"</f>
        <v>#REF!</v>
      </c>
      <c r="EU57" t="e">
        <f>#REF!+";Hb!$pK"</f>
        <v>#REF!</v>
      </c>
      <c r="EV57" t="e">
        <f>#REF!+";Hb!$pL"</f>
        <v>#REF!</v>
      </c>
      <c r="EW57" t="e">
        <f>#REF!+";Hb!$pM"</f>
        <v>#REF!</v>
      </c>
      <c r="EX57" t="e">
        <f>#REF!+";Hb!$pN"</f>
        <v>#REF!</v>
      </c>
      <c r="EY57" t="e">
        <f>#REF!+";Hb!$pO"</f>
        <v>#REF!</v>
      </c>
      <c r="EZ57" t="e">
        <f>#REF!+";Hb!$pP"</f>
        <v>#REF!</v>
      </c>
      <c r="FA57" t="e">
        <f>#REF!+";Hb!$pQ"</f>
        <v>#REF!</v>
      </c>
      <c r="FB57" t="e">
        <f>#REF!+";Hb!$pR"</f>
        <v>#REF!</v>
      </c>
      <c r="FC57" t="e">
        <f>#REF!+";Hb!$pS"</f>
        <v>#REF!</v>
      </c>
      <c r="FD57" t="e">
        <f>#REF!+";Hb!$pT"</f>
        <v>#REF!</v>
      </c>
      <c r="FE57" t="e">
        <f>#REF!+";Hb!$pU"</f>
        <v>#REF!</v>
      </c>
      <c r="FF57" t="e">
        <f>#REF!+";Hb!$pV"</f>
        <v>#REF!</v>
      </c>
      <c r="FG57" t="e">
        <f>#REF!+";Hb!$pW"</f>
        <v>#REF!</v>
      </c>
      <c r="FH57" t="e">
        <f>#REF!+";Hb!$pX"</f>
        <v>#REF!</v>
      </c>
      <c r="FI57" t="e">
        <f>#REF!+";Hb!$pY"</f>
        <v>#REF!</v>
      </c>
      <c r="FJ57" t="e">
        <f>#REF!+";Hb!$pZ"</f>
        <v>#REF!</v>
      </c>
      <c r="FK57" t="e">
        <f>#REF!+";Hb!$p["</f>
        <v>#REF!</v>
      </c>
      <c r="FL57" t="e">
        <f>#REF!+";Hb!$p\"</f>
        <v>#REF!</v>
      </c>
      <c r="FM57" t="e">
        <f>#REF!+";Hb!$p]"</f>
        <v>#REF!</v>
      </c>
      <c r="FN57" t="e">
        <f>#REF!+";Hb!$p^"</f>
        <v>#REF!</v>
      </c>
      <c r="FO57" t="e">
        <f>#REF!+";Hb!$p_"</f>
        <v>#REF!</v>
      </c>
      <c r="FP57" t="e">
        <f>#REF!+";Hb!$p`"</f>
        <v>#REF!</v>
      </c>
      <c r="FQ57" t="e">
        <f>#REF!+";Hb!$pa"</f>
        <v>#REF!</v>
      </c>
      <c r="FR57" t="e">
        <f>#REF!+";Hb!$pb"</f>
        <v>#REF!</v>
      </c>
      <c r="FS57" t="e">
        <f>#REF!+";Hb!$pc"</f>
        <v>#REF!</v>
      </c>
      <c r="FT57" t="e">
        <f>#REF!+";Hb!$pd"</f>
        <v>#REF!</v>
      </c>
      <c r="FU57" t="e">
        <f>#REF!+";Hb!$pe"</f>
        <v>#REF!</v>
      </c>
      <c r="FV57" t="e">
        <f>#REF!+";Hb!$pf"</f>
        <v>#REF!</v>
      </c>
      <c r="FW57" t="e">
        <f>#REF!+";Hb!$pg"</f>
        <v>#REF!</v>
      </c>
      <c r="FX57" t="e">
        <f>#REF!+";Hb!$ph"</f>
        <v>#REF!</v>
      </c>
      <c r="FY57" t="e">
        <f>#REF!+";Hb!$pi"</f>
        <v>#REF!</v>
      </c>
      <c r="FZ57" t="e">
        <f>#REF!+";Hb!$pj"</f>
        <v>#REF!</v>
      </c>
      <c r="GA57" t="e">
        <f>#REF!+";Hb!$pk"</f>
        <v>#REF!</v>
      </c>
      <c r="GB57" t="e">
        <f>#REF!+";Hb!$pl"</f>
        <v>#REF!</v>
      </c>
      <c r="GC57" t="e">
        <f>#REF!+";Hb!$pm"</f>
        <v>#REF!</v>
      </c>
      <c r="GD57" t="e">
        <f>#REF!+";Hb!$pn"</f>
        <v>#REF!</v>
      </c>
      <c r="GE57" t="e">
        <f>#REF!+";Hb!$po"</f>
        <v>#REF!</v>
      </c>
      <c r="GF57" t="e">
        <f>#REF!+";Hb!$pp"</f>
        <v>#REF!</v>
      </c>
      <c r="GG57" t="e">
        <f>#REF!+";Hb!$pq"</f>
        <v>#REF!</v>
      </c>
      <c r="GH57" t="e">
        <f>#REF!+";Hb!$pr"</f>
        <v>#REF!</v>
      </c>
      <c r="GI57" t="e">
        <f>#REF!+";Hb!$ps"</f>
        <v>#REF!</v>
      </c>
      <c r="GJ57" t="e">
        <f>#REF!+";Hb!$pt"</f>
        <v>#REF!</v>
      </c>
      <c r="GK57" t="e">
        <f>#REF!+";Hb!$pu"</f>
        <v>#REF!</v>
      </c>
      <c r="GL57" t="e">
        <f>#REF!+";Hb!$pv"</f>
        <v>#REF!</v>
      </c>
      <c r="GM57" t="e">
        <f>#REF!+";Hb!$pw"</f>
        <v>#REF!</v>
      </c>
      <c r="GN57" t="e">
        <f>#REF!+";Hb!$px"</f>
        <v>#REF!</v>
      </c>
      <c r="GO57" t="e">
        <f>#REF!+";Hb!$py"</f>
        <v>#REF!</v>
      </c>
      <c r="GP57" t="e">
        <f>#REF!+";Hb!$pz"</f>
        <v>#REF!</v>
      </c>
      <c r="GQ57" t="e">
        <f>#REF!+";Hb!$p{"</f>
        <v>#REF!</v>
      </c>
      <c r="GR57" t="e">
        <f>#REF!+";Hb!$p|"</f>
        <v>#REF!</v>
      </c>
      <c r="GS57" t="e">
        <f>#REF!+";Hb!$p}"</f>
        <v>#REF!</v>
      </c>
      <c r="GT57" t="e">
        <f>#REF!+";Hb!$p~"</f>
        <v>#REF!</v>
      </c>
      <c r="GU57" t="e">
        <f>#REF!+";Hb!$q#"</f>
        <v>#REF!</v>
      </c>
      <c r="GV57" t="e">
        <f>#REF!+";Hb!$q$"</f>
        <v>#REF!</v>
      </c>
      <c r="GW57" t="e">
        <f>#REF!+";Hb!$q%"</f>
        <v>#REF!</v>
      </c>
      <c r="GX57" t="e">
        <f>#REF!+";Hb!$q&amp;"</f>
        <v>#REF!</v>
      </c>
      <c r="GY57" t="e">
        <f>#REF!+";Hb!$q'"</f>
        <v>#REF!</v>
      </c>
      <c r="GZ57" t="e">
        <f>#REF!+";Hb!$q("</f>
        <v>#REF!</v>
      </c>
      <c r="HA57" t="e">
        <f>#REF!+";Hb!$q)"</f>
        <v>#REF!</v>
      </c>
      <c r="HB57" t="e">
        <f>#REF!+";Hb!$q."</f>
        <v>#REF!</v>
      </c>
      <c r="HC57" t="e">
        <f>#REF!+";Hb!$q/"</f>
        <v>#REF!</v>
      </c>
      <c r="HD57" t="e">
        <f>#REF!+";Hb!$q0"</f>
        <v>#REF!</v>
      </c>
      <c r="HE57" t="e">
        <f>#REF!+";Hb!$q1"</f>
        <v>#REF!</v>
      </c>
      <c r="HF57" t="e">
        <f>#REF!+";Hb!$q2"</f>
        <v>#REF!</v>
      </c>
      <c r="HG57" t="e">
        <f>#REF!+";Hb!$q3"</f>
        <v>#REF!</v>
      </c>
      <c r="HH57" t="e">
        <f>#REF!+";Hb!$q4"</f>
        <v>#REF!</v>
      </c>
      <c r="HI57" t="e">
        <f>#REF!+";Hb!$q5"</f>
        <v>#REF!</v>
      </c>
      <c r="HJ57" t="e">
        <f>#REF!+";Hb!$q6"</f>
        <v>#REF!</v>
      </c>
      <c r="HK57" t="e">
        <f>#REF!+";Hb!$q7"</f>
        <v>#REF!</v>
      </c>
      <c r="HL57" t="e">
        <f>#REF!+";Hb!$q8"</f>
        <v>#REF!</v>
      </c>
      <c r="HM57" t="e">
        <f>#REF!+";Hb!$q9"</f>
        <v>#REF!</v>
      </c>
      <c r="HN57" t="e">
        <f>#REF!+";Hb!$q:"</f>
        <v>#REF!</v>
      </c>
      <c r="HO57" t="e">
        <f>#REF!+";Hb!$q;"</f>
        <v>#REF!</v>
      </c>
      <c r="HP57" t="e">
        <f>#REF!+";Hb!$q&lt;"</f>
        <v>#REF!</v>
      </c>
      <c r="HQ57" t="e">
        <f>#REF!+";Hb!$q="</f>
        <v>#REF!</v>
      </c>
      <c r="HR57" t="e">
        <f>#REF!+";Hb!$q&gt;"</f>
        <v>#REF!</v>
      </c>
      <c r="HS57" t="e">
        <f>#REF!+";Hb!$q?"</f>
        <v>#REF!</v>
      </c>
      <c r="HT57" t="e">
        <f>#REF!+";Hb!$q@"</f>
        <v>#REF!</v>
      </c>
      <c r="HU57" t="e">
        <f>#REF!+";Hb!$qA"</f>
        <v>#REF!</v>
      </c>
      <c r="HV57" t="e">
        <f>#REF!+";Hb!$qB"</f>
        <v>#REF!</v>
      </c>
      <c r="HW57" t="e">
        <f>#REF!+";Hb!$qC"</f>
        <v>#REF!</v>
      </c>
      <c r="HX57" t="e">
        <f>#REF!+";Hb!$qD"</f>
        <v>#REF!</v>
      </c>
      <c r="HY57" t="e">
        <f>#REF!+";Hb!$qE"</f>
        <v>#REF!</v>
      </c>
      <c r="HZ57" t="e">
        <f>#REF!+";Hb!$qF"</f>
        <v>#REF!</v>
      </c>
      <c r="IA57" t="e">
        <f>#REF!+";Hb!$qG"</f>
        <v>#REF!</v>
      </c>
      <c r="IB57" t="e">
        <f>#REF!+";Hb!$qH"</f>
        <v>#REF!</v>
      </c>
      <c r="IC57" t="e">
        <f>#REF!+";Hb!$qI"</f>
        <v>#REF!</v>
      </c>
      <c r="ID57" t="e">
        <f>#REF!+";Hb!$qJ"</f>
        <v>#REF!</v>
      </c>
      <c r="IE57" t="e">
        <f>#REF!+";Hb!$qK"</f>
        <v>#REF!</v>
      </c>
      <c r="IF57" t="e">
        <f>#REF!+";Hb!$qL"</f>
        <v>#REF!</v>
      </c>
      <c r="IG57" t="e">
        <f>#REF!+";Hb!$qM"</f>
        <v>#REF!</v>
      </c>
      <c r="IH57" t="e">
        <f>#REF!+";Hb!$qN"</f>
        <v>#REF!</v>
      </c>
      <c r="II57" t="e">
        <f>#REF!+";Hb!$qO"</f>
        <v>#REF!</v>
      </c>
      <c r="IJ57" t="e">
        <f>#REF!+";Hb!$qP"</f>
        <v>#REF!</v>
      </c>
      <c r="IK57" t="e">
        <f>#REF!+";Hb!$qQ"</f>
        <v>#REF!</v>
      </c>
      <c r="IL57" t="e">
        <f>#REF!+";Hb!$qR"</f>
        <v>#REF!</v>
      </c>
      <c r="IM57" t="e">
        <f>#REF!+";Hb!$qS"</f>
        <v>#REF!</v>
      </c>
      <c r="IN57" t="e">
        <f>#REF!+";Hb!$qT"</f>
        <v>#REF!</v>
      </c>
      <c r="IO57" t="e">
        <f>#REF!+";Hb!$qU"</f>
        <v>#REF!</v>
      </c>
      <c r="IP57" t="e">
        <f>#REF!+";Hb!$qV"</f>
        <v>#REF!</v>
      </c>
      <c r="IQ57" t="e">
        <f>#REF!+";Hb!$qW"</f>
        <v>#REF!</v>
      </c>
      <c r="IR57" t="e">
        <f>#REF!+";Hb!$qX"</f>
        <v>#REF!</v>
      </c>
      <c r="IS57" t="e">
        <f>#REF!+";Hb!$qY"</f>
        <v>#REF!</v>
      </c>
      <c r="IT57" t="e">
        <f>#REF!+";Hb!$qZ"</f>
        <v>#REF!</v>
      </c>
      <c r="IU57" t="e">
        <f>#REF!+";Hb!$q["</f>
        <v>#REF!</v>
      </c>
      <c r="IV57" t="e">
        <f>#REF!+";Hb!$q\"</f>
        <v>#REF!</v>
      </c>
    </row>
    <row r="58" spans="6:256" x14ac:dyDescent="0.25">
      <c r="F58" t="e">
        <f>#REF!+";Hb!$q]"</f>
        <v>#REF!</v>
      </c>
      <c r="G58" t="e">
        <f>#REF!+";Hb!$q^"</f>
        <v>#REF!</v>
      </c>
      <c r="H58" t="e">
        <f>#REF!+";Hb!$q_"</f>
        <v>#REF!</v>
      </c>
      <c r="I58" t="e">
        <f>#REF!+";Hb!$q`"</f>
        <v>#REF!</v>
      </c>
      <c r="J58" t="e">
        <f>#REF!+";Hb!$qa"</f>
        <v>#REF!</v>
      </c>
      <c r="K58" t="e">
        <f>#REF!+";Hb!$qb"</f>
        <v>#REF!</v>
      </c>
      <c r="L58" t="e">
        <f>#REF!+";Hb!$qc"</f>
        <v>#REF!</v>
      </c>
      <c r="M58" t="e">
        <f>#REF!+";Hb!$qd"</f>
        <v>#REF!</v>
      </c>
      <c r="N58" t="e">
        <f>#REF!+";Hb!$qe"</f>
        <v>#REF!</v>
      </c>
      <c r="O58" t="e">
        <f>#REF!+";Hb!$qf"</f>
        <v>#REF!</v>
      </c>
      <c r="P58" t="e">
        <f>#REF!+";Hb!$qg"</f>
        <v>#REF!</v>
      </c>
      <c r="Q58" t="e">
        <f>#REF!+";Hb!$qh"</f>
        <v>#REF!</v>
      </c>
      <c r="R58" t="e">
        <f>#REF!+";Hb!$qi"</f>
        <v>#REF!</v>
      </c>
      <c r="S58" t="e">
        <f>#REF!+";Hb!$qj"</f>
        <v>#REF!</v>
      </c>
      <c r="T58" t="e">
        <f>#REF!+";Hb!$qk"</f>
        <v>#REF!</v>
      </c>
      <c r="U58" t="e">
        <f>#REF!+";Hb!$ql"</f>
        <v>#REF!</v>
      </c>
      <c r="V58" t="e">
        <f>#REF!+";Hb!$qm"</f>
        <v>#REF!</v>
      </c>
      <c r="W58" t="e">
        <f>#REF!+";Hb!$qn"</f>
        <v>#REF!</v>
      </c>
      <c r="X58" t="e">
        <f>#REF!+";Hb!$qo"</f>
        <v>#REF!</v>
      </c>
      <c r="Y58" t="e">
        <f>#REF!+";Hb!$qp"</f>
        <v>#REF!</v>
      </c>
      <c r="Z58" t="e">
        <f>#REF!+";Hb!$qq"</f>
        <v>#REF!</v>
      </c>
      <c r="AA58" t="e">
        <f>#REF!+";Hb!$qr"</f>
        <v>#REF!</v>
      </c>
      <c r="AB58" t="e">
        <f>#REF!+";Hb!$qs"</f>
        <v>#REF!</v>
      </c>
      <c r="AC58" t="e">
        <f>#REF!+";Hb!$qt"</f>
        <v>#REF!</v>
      </c>
      <c r="AD58" t="e">
        <f>#REF!+";Hb!$qu"</f>
        <v>#REF!</v>
      </c>
      <c r="AE58" t="e">
        <f>#REF!+";Hb!$qv"</f>
        <v>#REF!</v>
      </c>
      <c r="AF58" t="e">
        <f>#REF!+";Hb!$qw"</f>
        <v>#REF!</v>
      </c>
      <c r="AG58" t="e">
        <f>#REF!+";Hb!$qx"</f>
        <v>#REF!</v>
      </c>
      <c r="AH58" t="e">
        <f>#REF!+";Hb!$qy"</f>
        <v>#REF!</v>
      </c>
      <c r="AI58" t="e">
        <f>#REF!+";Hb!$qz"</f>
        <v>#REF!</v>
      </c>
      <c r="AJ58" t="e">
        <f>#REF!+";Hb!$q{"</f>
        <v>#REF!</v>
      </c>
      <c r="AK58" t="e">
        <f>#REF!+";Hb!$q|"</f>
        <v>#REF!</v>
      </c>
      <c r="AL58" t="e">
        <f>#REF!+";Hb!$q}"</f>
        <v>#REF!</v>
      </c>
      <c r="AM58" t="e">
        <f>#REF!+";Hb!$q~"</f>
        <v>#REF!</v>
      </c>
      <c r="AN58" t="e">
        <f>#REF!+";Hb!$r#"</f>
        <v>#REF!</v>
      </c>
      <c r="AO58" t="e">
        <f>#REF!+";Hb!$r$"</f>
        <v>#REF!</v>
      </c>
      <c r="AP58" t="e">
        <f>#REF!+";Hb!$r%"</f>
        <v>#REF!</v>
      </c>
      <c r="AQ58" t="e">
        <f>#REF!+";Hb!$r&amp;"</f>
        <v>#REF!</v>
      </c>
      <c r="AR58" t="e">
        <f>#REF!+";Hb!$r'"</f>
        <v>#REF!</v>
      </c>
      <c r="AS58" t="e">
        <f>#REF!+";Hb!$r("</f>
        <v>#REF!</v>
      </c>
      <c r="AT58" t="e">
        <f>#REF!+";Hb!$r)"</f>
        <v>#REF!</v>
      </c>
      <c r="AU58" t="e">
        <f>#REF!+";Hb!$r."</f>
        <v>#REF!</v>
      </c>
      <c r="AV58" t="e">
        <f>#REF!+";Hb!$r/"</f>
        <v>#REF!</v>
      </c>
      <c r="AW58" t="e">
        <f>#REF!+";Hb!$r0"</f>
        <v>#REF!</v>
      </c>
      <c r="AX58" t="e">
        <f>#REF!+";Hb!$r1"</f>
        <v>#REF!</v>
      </c>
      <c r="AY58" t="e">
        <f>#REF!+";Hb!$r2"</f>
        <v>#REF!</v>
      </c>
      <c r="AZ58" t="e">
        <f>#REF!+";Hb!$r3"</f>
        <v>#REF!</v>
      </c>
      <c r="BA58" t="e">
        <f>#REF!+";Hb!$r4"</f>
        <v>#REF!</v>
      </c>
      <c r="BB58" t="e">
        <f>#REF!+";Hb!$r5"</f>
        <v>#REF!</v>
      </c>
      <c r="BC58" t="e">
        <f>#REF!+";Hb!$r6"</f>
        <v>#REF!</v>
      </c>
      <c r="BD58" t="e">
        <f>#REF!+";Hb!$r7"</f>
        <v>#REF!</v>
      </c>
      <c r="BE58" t="e">
        <f>#REF!+";Hb!$r8"</f>
        <v>#REF!</v>
      </c>
      <c r="BF58" t="e">
        <f>#REF!+";Hb!$r9"</f>
        <v>#REF!</v>
      </c>
      <c r="BG58" t="e">
        <f>#REF!+";Hb!$r:"</f>
        <v>#REF!</v>
      </c>
      <c r="BH58" t="e">
        <f>#REF!+";Hb!$r;"</f>
        <v>#REF!</v>
      </c>
      <c r="BI58" t="e">
        <f>#REF!+";Hb!$r&lt;"</f>
        <v>#REF!</v>
      </c>
      <c r="BJ58" t="e">
        <f>#REF!+";Hb!$r="</f>
        <v>#REF!</v>
      </c>
      <c r="BK58" t="e">
        <f>#REF!+";Hb!$r&gt;"</f>
        <v>#REF!</v>
      </c>
      <c r="BL58" t="e">
        <f>#REF!+";Hb!$r?"</f>
        <v>#REF!</v>
      </c>
      <c r="BM58" t="e">
        <f>#REF!+";Hb!$r@"</f>
        <v>#REF!</v>
      </c>
      <c r="BN58" t="e">
        <f>#REF!+";Hb!$rA"</f>
        <v>#REF!</v>
      </c>
      <c r="BO58" t="e">
        <f>#REF!+";Hb!$rB"</f>
        <v>#REF!</v>
      </c>
      <c r="BP58" t="e">
        <f>#REF!+";Hb!$rC"</f>
        <v>#REF!</v>
      </c>
      <c r="BQ58" t="e">
        <f>#REF!+";Hb!$rD"</f>
        <v>#REF!</v>
      </c>
      <c r="BR58" t="e">
        <f>#REF!+";Hb!$rE"</f>
        <v>#REF!</v>
      </c>
      <c r="BS58" t="e">
        <f>#REF!+";Hb!$rF"</f>
        <v>#REF!</v>
      </c>
      <c r="BT58" t="e">
        <f>#REF!+";Hb!$rG"</f>
        <v>#REF!</v>
      </c>
      <c r="BU58" t="e">
        <f>#REF!+";Hb!$rH"</f>
        <v>#REF!</v>
      </c>
      <c r="BV58" t="e">
        <f>#REF!+";Hb!$rI"</f>
        <v>#REF!</v>
      </c>
      <c r="BW58" t="e">
        <f>#REF!+";Hb!$rJ"</f>
        <v>#REF!</v>
      </c>
      <c r="BX58" t="e">
        <f>#REF!+";Hb!$rK"</f>
        <v>#REF!</v>
      </c>
      <c r="BY58" t="e">
        <f>#REF!+";Hb!$rL"</f>
        <v>#REF!</v>
      </c>
      <c r="BZ58" t="e">
        <f>#REF!+";Hb!$rM"</f>
        <v>#REF!</v>
      </c>
      <c r="CA58" t="e">
        <f>#REF!+";Hb!$rN"</f>
        <v>#REF!</v>
      </c>
      <c r="CB58" t="e">
        <f>#REF!+";Hb!$rO"</f>
        <v>#REF!</v>
      </c>
      <c r="CC58" t="e">
        <f>#REF!+";Hb!$rP"</f>
        <v>#REF!</v>
      </c>
      <c r="CD58" t="e">
        <f>#REF!+";Hb!$rQ"</f>
        <v>#REF!</v>
      </c>
      <c r="CE58" t="e">
        <f>#REF!+";Hb!$rR"</f>
        <v>#REF!</v>
      </c>
      <c r="CF58" t="e">
        <f>#REF!+";Hb!$rS"</f>
        <v>#REF!</v>
      </c>
      <c r="CG58" t="e">
        <f>#REF!+";Hb!$rT"</f>
        <v>#REF!</v>
      </c>
      <c r="CH58" t="e">
        <f>#REF!+";Hb!$rU"</f>
        <v>#REF!</v>
      </c>
      <c r="CI58" t="e">
        <f>#REF!+";Hb!$rV"</f>
        <v>#REF!</v>
      </c>
      <c r="CJ58" t="e">
        <f>#REF!+";Hb!$rW"</f>
        <v>#REF!</v>
      </c>
      <c r="CK58" t="e">
        <f>#REF!+";Hb!$rX"</f>
        <v>#REF!</v>
      </c>
      <c r="CL58" t="e">
        <f>#REF!+";Hb!$rY"</f>
        <v>#REF!</v>
      </c>
      <c r="CM58" t="e">
        <f>#REF!+";Hb!$rZ"</f>
        <v>#REF!</v>
      </c>
      <c r="CN58" t="e">
        <f>#REF!+";Hb!$r["</f>
        <v>#REF!</v>
      </c>
      <c r="CO58" t="e">
        <f>#REF!+";Hb!$r\"</f>
        <v>#REF!</v>
      </c>
      <c r="CP58" t="e">
        <f>#REF!+";Hb!$r]"</f>
        <v>#REF!</v>
      </c>
      <c r="CQ58" t="e">
        <f>#REF!+";Hb!$r^"</f>
        <v>#REF!</v>
      </c>
      <c r="CR58" t="e">
        <f>#REF!+";Hb!$r_"</f>
        <v>#REF!</v>
      </c>
      <c r="CS58" t="e">
        <f>#REF!+";Hb!$r`"</f>
        <v>#REF!</v>
      </c>
      <c r="CT58" t="e">
        <f>#REF!+";Hb!$ra"</f>
        <v>#REF!</v>
      </c>
      <c r="CU58" t="e">
        <f>#REF!+";Hb!$rb"</f>
        <v>#REF!</v>
      </c>
      <c r="CV58" t="e">
        <f>#REF!+";Hb!$rc"</f>
        <v>#REF!</v>
      </c>
      <c r="CW58" t="e">
        <f>#REF!+";Hb!$rd"</f>
        <v>#REF!</v>
      </c>
      <c r="CX58" t="e">
        <f>#REF!+";Hb!$re"</f>
        <v>#REF!</v>
      </c>
      <c r="CY58" t="e">
        <f>#REF!+";Hb!$rf"</f>
        <v>#REF!</v>
      </c>
      <c r="CZ58" t="e">
        <f>#REF!+";Hb!$rg"</f>
        <v>#REF!</v>
      </c>
      <c r="DA58" t="e">
        <f>#REF!+";Hb!$rh"</f>
        <v>#REF!</v>
      </c>
      <c r="DB58" t="e">
        <f>#REF!+";Hb!$ri"</f>
        <v>#REF!</v>
      </c>
      <c r="DC58" t="e">
        <f>#REF!+";Hb!$rj"</f>
        <v>#REF!</v>
      </c>
      <c r="DD58" t="e">
        <f>#REF!+";Hb!$rk"</f>
        <v>#REF!</v>
      </c>
      <c r="DE58" t="e">
        <f>#REF!+";Hb!$rl"</f>
        <v>#REF!</v>
      </c>
      <c r="DF58" t="e">
        <f>#REF!+";Hb!$rm"</f>
        <v>#REF!</v>
      </c>
      <c r="DG58" t="e">
        <f>#REF!+";Hb!$rn"</f>
        <v>#REF!</v>
      </c>
      <c r="DH58" t="e">
        <f>#REF!+";Hb!$ro"</f>
        <v>#REF!</v>
      </c>
      <c r="DI58" t="e">
        <f>#REF!+";Hb!$rp"</f>
        <v>#REF!</v>
      </c>
      <c r="DJ58" t="e">
        <f>#REF!+";Hb!$rq"</f>
        <v>#REF!</v>
      </c>
      <c r="DK58" t="e">
        <f>#REF!+";Hb!$rr"</f>
        <v>#REF!</v>
      </c>
      <c r="DL58" t="e">
        <f>#REF!+";Hb!$rs"</f>
        <v>#REF!</v>
      </c>
      <c r="DM58" t="e">
        <f>#REF!+";Hb!$rt"</f>
        <v>#REF!</v>
      </c>
      <c r="DN58" t="e">
        <f>#REF!+";Hb!$ru"</f>
        <v>#REF!</v>
      </c>
      <c r="DO58" t="e">
        <f>#REF!+";Hb!$rv"</f>
        <v>#REF!</v>
      </c>
      <c r="DP58" t="e">
        <f>#REF!+";Hb!$rw"</f>
        <v>#REF!</v>
      </c>
      <c r="DQ58" t="e">
        <f>#REF!+";Hb!$rx"</f>
        <v>#REF!</v>
      </c>
      <c r="DR58" t="e">
        <f>#REF!+";Hb!$ry"</f>
        <v>#REF!</v>
      </c>
      <c r="DS58" t="e">
        <f>#REF!+";Hb!$rz"</f>
        <v>#REF!</v>
      </c>
      <c r="DT58" t="e">
        <f>#REF!+";Hb!$r{"</f>
        <v>#REF!</v>
      </c>
      <c r="DU58" t="e">
        <f>#REF!+";Hb!$r|"</f>
        <v>#REF!</v>
      </c>
      <c r="DV58" t="e">
        <f>#REF!+";Hb!$r}"</f>
        <v>#REF!</v>
      </c>
      <c r="DW58" t="e">
        <f>#REF!+";Hb!$r~"</f>
        <v>#REF!</v>
      </c>
      <c r="DX58" t="e">
        <f>#REF!+";Hb!$s#"</f>
        <v>#REF!</v>
      </c>
      <c r="DY58" t="e">
        <f>#REF!+";Hb!$s$"</f>
        <v>#REF!</v>
      </c>
      <c r="DZ58" t="e">
        <f>#REF!+";Hb!$s%"</f>
        <v>#REF!</v>
      </c>
      <c r="EA58" t="e">
        <f>#REF!+";Hb!$s&amp;"</f>
        <v>#REF!</v>
      </c>
      <c r="EB58" t="e">
        <f>#REF!+";Hb!$s'"</f>
        <v>#REF!</v>
      </c>
      <c r="EC58" t="e">
        <f>#REF!+";Hb!$s("</f>
        <v>#REF!</v>
      </c>
      <c r="ED58" t="e">
        <f>#REF!+";Hb!$s)"</f>
        <v>#REF!</v>
      </c>
      <c r="EE58" t="e">
        <f>#REF!+";Hb!$s."</f>
        <v>#REF!</v>
      </c>
      <c r="EF58" t="e">
        <f>#REF!+";Hb!$s/"</f>
        <v>#REF!</v>
      </c>
      <c r="EG58" t="e">
        <f>#REF!+";Hb!$s0"</f>
        <v>#REF!</v>
      </c>
      <c r="EH58" t="e">
        <f>#REF!+";Hb!$s1"</f>
        <v>#REF!</v>
      </c>
      <c r="EI58" t="e">
        <f>#REF!+";Hb!$s2"</f>
        <v>#REF!</v>
      </c>
      <c r="EJ58" t="e">
        <f>#REF!+";Hb!$s3"</f>
        <v>#REF!</v>
      </c>
      <c r="EK58" t="e">
        <f>#REF!+";Hb!$s4"</f>
        <v>#REF!</v>
      </c>
      <c r="EL58" t="e">
        <f>#REF!+";Hb!$s5"</f>
        <v>#REF!</v>
      </c>
      <c r="EM58" t="e">
        <f>#REF!+";Hb!$s6"</f>
        <v>#REF!</v>
      </c>
      <c r="EN58" t="e">
        <f>#REF!+";Hb!$s7"</f>
        <v>#REF!</v>
      </c>
      <c r="EO58" t="e">
        <f>#REF!+";Hb!$s8"</f>
        <v>#REF!</v>
      </c>
      <c r="EP58" t="e">
        <f>#REF!+";Hb!$s9"</f>
        <v>#REF!</v>
      </c>
      <c r="EQ58" t="e">
        <f>#REF!+";Hb!$s:"</f>
        <v>#REF!</v>
      </c>
      <c r="ER58" t="e">
        <f>#REF!+";Hb!$s;"</f>
        <v>#REF!</v>
      </c>
      <c r="ES58" t="e">
        <f>#REF!+";Hb!$s&lt;"</f>
        <v>#REF!</v>
      </c>
      <c r="ET58" t="e">
        <f>#REF!+";Hb!$s="</f>
        <v>#REF!</v>
      </c>
      <c r="EU58" t="e">
        <f>#REF!+";Hb!$s&gt;"</f>
        <v>#REF!</v>
      </c>
      <c r="EV58" t="e">
        <f>#REF!+";Hb!$s?"</f>
        <v>#REF!</v>
      </c>
      <c r="EW58" t="e">
        <f>#REF!+";Hb!$s@"</f>
        <v>#REF!</v>
      </c>
      <c r="EX58" t="e">
        <f>#REF!+";Hb!$sA"</f>
        <v>#REF!</v>
      </c>
      <c r="EY58" t="e">
        <f>#REF!+";Hb!$sB"</f>
        <v>#REF!</v>
      </c>
      <c r="EZ58" t="e">
        <f>#REF!+";Hb!$sC"</f>
        <v>#REF!</v>
      </c>
      <c r="FA58" t="e">
        <f>#REF!+";Hb!$sD"</f>
        <v>#REF!</v>
      </c>
      <c r="FB58" t="e">
        <f>#REF!+";Hb!$sE"</f>
        <v>#REF!</v>
      </c>
      <c r="FC58" t="e">
        <f>#REF!+";Hb!$sF"</f>
        <v>#REF!</v>
      </c>
      <c r="FD58" t="e">
        <f>#REF!+";Hb!$sG"</f>
        <v>#REF!</v>
      </c>
      <c r="FE58" t="e">
        <f>#REF!+";Hb!$sH"</f>
        <v>#REF!</v>
      </c>
      <c r="FF58" t="e">
        <f>#REF!+";Hb!$sI"</f>
        <v>#REF!</v>
      </c>
      <c r="FG58" t="e">
        <f>#REF!+";Hb!$sJ"</f>
        <v>#REF!</v>
      </c>
      <c r="FH58" t="e">
        <f>#REF!+";Hb!$sK"</f>
        <v>#REF!</v>
      </c>
      <c r="FI58" t="e">
        <f>#REF!+";Hb!$sL"</f>
        <v>#REF!</v>
      </c>
      <c r="FJ58" t="e">
        <f>#REF!+";Hb!$sM"</f>
        <v>#REF!</v>
      </c>
      <c r="FK58" t="e">
        <f>#REF!+";Hb!$sN"</f>
        <v>#REF!</v>
      </c>
      <c r="FL58" t="e">
        <f>#REF!+";Hb!$sO"</f>
        <v>#REF!</v>
      </c>
      <c r="FM58" t="e">
        <f>#REF!+";Hb!$sP"</f>
        <v>#REF!</v>
      </c>
      <c r="FN58" t="e">
        <f>#REF!+";Hb!$sQ"</f>
        <v>#REF!</v>
      </c>
      <c r="FO58" t="e">
        <f>#REF!+";Hb!$sR"</f>
        <v>#REF!</v>
      </c>
      <c r="FP58" t="e">
        <f>#REF!+";Hb!$sS"</f>
        <v>#REF!</v>
      </c>
      <c r="FQ58" t="e">
        <f>#REF!+";Hb!$sT"</f>
        <v>#REF!</v>
      </c>
      <c r="FR58" t="e">
        <f>#REF!+";Hb!$sU"</f>
        <v>#REF!</v>
      </c>
      <c r="FS58" t="e">
        <f>#REF!+";Hb!$sV"</f>
        <v>#REF!</v>
      </c>
      <c r="FT58" t="e">
        <f>#REF!+";Hb!$sW"</f>
        <v>#REF!</v>
      </c>
      <c r="FU58" t="e">
        <f>#REF!+";Hb!$sX"</f>
        <v>#REF!</v>
      </c>
      <c r="FV58" t="e">
        <f>#REF!+";Hb!$sY"</f>
        <v>#REF!</v>
      </c>
      <c r="FW58" t="e">
        <f>#REF!+";Hb!$sZ"</f>
        <v>#REF!</v>
      </c>
      <c r="FX58" t="e">
        <f>#REF!+";Hb!$s["</f>
        <v>#REF!</v>
      </c>
      <c r="FY58" t="e">
        <f>#REF!+";Hb!$s\"</f>
        <v>#REF!</v>
      </c>
      <c r="FZ58" t="e">
        <f>#REF!+";Hb!$s]"</f>
        <v>#REF!</v>
      </c>
      <c r="GA58" t="e">
        <f>#REF!+";Hb!$s^"</f>
        <v>#REF!</v>
      </c>
      <c r="GB58" t="e">
        <f>#REF!+";Hb!$s_"</f>
        <v>#REF!</v>
      </c>
      <c r="GC58" t="e">
        <f>#REF!+";Hb!$s`"</f>
        <v>#REF!</v>
      </c>
      <c r="GD58" t="e">
        <f>#REF!+";Hb!$sa"</f>
        <v>#REF!</v>
      </c>
      <c r="GE58" t="e">
        <f>#REF!+";Hb!$sb"</f>
        <v>#REF!</v>
      </c>
      <c r="GF58" t="e">
        <f>#REF!+";Hb!$sc"</f>
        <v>#REF!</v>
      </c>
      <c r="GG58" t="e">
        <f>#REF!+";Hb!$sd"</f>
        <v>#REF!</v>
      </c>
      <c r="GH58" t="e">
        <f>#REF!+";Hb!$se"</f>
        <v>#REF!</v>
      </c>
      <c r="GI58" t="e">
        <f>#REF!+";Hb!$sf"</f>
        <v>#REF!</v>
      </c>
      <c r="GJ58" t="e">
        <f>#REF!+";Hb!$sg"</f>
        <v>#REF!</v>
      </c>
      <c r="GK58" t="e">
        <f>#REF!+";Hb!$sh"</f>
        <v>#REF!</v>
      </c>
      <c r="GL58" t="e">
        <f>#REF!+";Hb!$si"</f>
        <v>#REF!</v>
      </c>
      <c r="GM58" t="e">
        <f>#REF!+";Hb!$sj"</f>
        <v>#REF!</v>
      </c>
      <c r="GN58" t="e">
        <f>#REF!+";Hb!$sk"</f>
        <v>#REF!</v>
      </c>
      <c r="GO58" t="e">
        <f>#REF!+";Hb!$sl"</f>
        <v>#REF!</v>
      </c>
      <c r="GP58" t="e">
        <f>#REF!+";Hb!$sm"</f>
        <v>#REF!</v>
      </c>
      <c r="GQ58" t="e">
        <f>#REF!+";Hb!$sn"</f>
        <v>#REF!</v>
      </c>
      <c r="GR58" t="e">
        <f>#REF!+";Hb!$so"</f>
        <v>#REF!</v>
      </c>
      <c r="GS58" t="e">
        <f>#REF!+";Hb!$sp"</f>
        <v>#REF!</v>
      </c>
      <c r="GT58" t="e">
        <f>#REF!+";Hb!$sq"</f>
        <v>#REF!</v>
      </c>
      <c r="GU58" t="e">
        <f>#REF!+";Hb!$sr"</f>
        <v>#REF!</v>
      </c>
      <c r="GV58" t="e">
        <f>#REF!+";Hb!$ss"</f>
        <v>#REF!</v>
      </c>
      <c r="GW58" t="e">
        <f>#REF!+";Hb!$st"</f>
        <v>#REF!</v>
      </c>
      <c r="GX58" t="e">
        <f>#REF!+";Hb!$su"</f>
        <v>#REF!</v>
      </c>
      <c r="GY58" t="e">
        <f>#REF!+";Hb!$sv"</f>
        <v>#REF!</v>
      </c>
      <c r="GZ58" t="e">
        <f>#REF!+";Hb!$sw"</f>
        <v>#REF!</v>
      </c>
      <c r="HA58" t="e">
        <f>#REF!+";Hb!$sx"</f>
        <v>#REF!</v>
      </c>
      <c r="HB58" t="e">
        <f>#REF!+";Hb!$sy"</f>
        <v>#REF!</v>
      </c>
      <c r="HC58" t="e">
        <f>#REF!+";Hb!$sz"</f>
        <v>#REF!</v>
      </c>
      <c r="HD58" t="e">
        <f>#REF!+";Hb!$s{"</f>
        <v>#REF!</v>
      </c>
      <c r="HE58" t="e">
        <f>#REF!+";Hb!$s|"</f>
        <v>#REF!</v>
      </c>
      <c r="HF58" t="e">
        <f>#REF!+";Hb!$s}"</f>
        <v>#REF!</v>
      </c>
      <c r="HG58" t="e">
        <f>#REF!+";Hb!$s~"</f>
        <v>#REF!</v>
      </c>
      <c r="HH58" t="e">
        <f>#REF!+";Hb!$t#"</f>
        <v>#REF!</v>
      </c>
      <c r="HI58" t="e">
        <f>#REF!+";Hb!$t$"</f>
        <v>#REF!</v>
      </c>
      <c r="HJ58" t="e">
        <f>#REF!+";Hb!$t%"</f>
        <v>#REF!</v>
      </c>
      <c r="HK58" t="e">
        <f>#REF!+";Hb!$t&amp;"</f>
        <v>#REF!</v>
      </c>
      <c r="HL58" t="e">
        <f>#REF!+";Hb!$t'"</f>
        <v>#REF!</v>
      </c>
      <c r="HM58" t="e">
        <f>#REF!+";Hb!$t("</f>
        <v>#REF!</v>
      </c>
      <c r="HN58" t="e">
        <f>#REF!+";Hb!$t)"</f>
        <v>#REF!</v>
      </c>
      <c r="HO58" t="e">
        <f>#REF!+";Hb!$t."</f>
        <v>#REF!</v>
      </c>
      <c r="HP58" t="e">
        <f>#REF!+";Hb!$t/"</f>
        <v>#REF!</v>
      </c>
      <c r="HQ58" t="e">
        <f>#REF!+";Hb!$t0"</f>
        <v>#REF!</v>
      </c>
      <c r="HR58" t="e">
        <f>#REF!+";Hb!$t1"</f>
        <v>#REF!</v>
      </c>
      <c r="HS58" t="e">
        <f>#REF!+";Hb!$t2"</f>
        <v>#REF!</v>
      </c>
      <c r="HT58" t="e">
        <f>#REF!+";Hb!$t3"</f>
        <v>#REF!</v>
      </c>
      <c r="HU58" t="e">
        <f>#REF!+";Hb!$t4"</f>
        <v>#REF!</v>
      </c>
      <c r="HV58" t="e">
        <f>#REF!+";Hb!$t5"</f>
        <v>#REF!</v>
      </c>
      <c r="HW58" t="e">
        <f>#REF!+";Hb!$t6"</f>
        <v>#REF!</v>
      </c>
      <c r="HX58" t="e">
        <f>#REF!+";Hb!$t7"</f>
        <v>#REF!</v>
      </c>
      <c r="HY58" t="e">
        <f>#REF!+";Hb!$t8"</f>
        <v>#REF!</v>
      </c>
      <c r="HZ58" t="e">
        <f>#REF!+";Hb!$t9"</f>
        <v>#REF!</v>
      </c>
      <c r="IA58" t="e">
        <f>#REF!+";Hb!$t:"</f>
        <v>#REF!</v>
      </c>
      <c r="IB58" t="e">
        <f>#REF!+";Hb!$t;"</f>
        <v>#REF!</v>
      </c>
      <c r="IC58" t="e">
        <f>#REF!+";Hb!$t&lt;"</f>
        <v>#REF!</v>
      </c>
      <c r="ID58" t="e">
        <f>#REF!+";Hb!$t="</f>
        <v>#REF!</v>
      </c>
      <c r="IE58" t="e">
        <f>#REF!+";Hb!$t&gt;"</f>
        <v>#REF!</v>
      </c>
      <c r="IF58" t="e">
        <f>#REF!+";Hb!$t?"</f>
        <v>#REF!</v>
      </c>
      <c r="IG58" t="e">
        <f>#REF!+";Hb!$t@"</f>
        <v>#REF!</v>
      </c>
      <c r="IH58" t="e">
        <f>#REF!+";Hb!$tA"</f>
        <v>#REF!</v>
      </c>
      <c r="II58" t="e">
        <f>#REF!+";Hb!$tB"</f>
        <v>#REF!</v>
      </c>
      <c r="IJ58" t="e">
        <f>#REF!+";Hb!$tC"</f>
        <v>#REF!</v>
      </c>
      <c r="IK58" t="e">
        <f>#REF!+";Hb!$tD"</f>
        <v>#REF!</v>
      </c>
      <c r="IL58" t="e">
        <f>#REF!+";Hb!$tE"</f>
        <v>#REF!</v>
      </c>
      <c r="IM58" t="e">
        <f>#REF!+";Hb!$tF"</f>
        <v>#REF!</v>
      </c>
      <c r="IN58" t="e">
        <f>#REF!+";Hb!$tG"</f>
        <v>#REF!</v>
      </c>
      <c r="IO58" t="e">
        <f>#REF!+";Hb!$tH"</f>
        <v>#REF!</v>
      </c>
      <c r="IP58" t="e">
        <f>#REF!+";Hb!$tI"</f>
        <v>#REF!</v>
      </c>
      <c r="IQ58" t="e">
        <f>#REF!+";Hb!$tJ"</f>
        <v>#REF!</v>
      </c>
      <c r="IR58" t="e">
        <f>#REF!+";Hb!$tK"</f>
        <v>#REF!</v>
      </c>
      <c r="IS58" t="e">
        <f>#REF!+";Hb!$tL"</f>
        <v>#REF!</v>
      </c>
      <c r="IT58" t="e">
        <f>#REF!+";Hb!$tM"</f>
        <v>#REF!</v>
      </c>
      <c r="IU58" t="e">
        <f>#REF!+";Hb!$tN"</f>
        <v>#REF!</v>
      </c>
      <c r="IV58" t="e">
        <f>#REF!+";Hb!$tO"</f>
        <v>#REF!</v>
      </c>
    </row>
    <row r="59" spans="6:256" x14ac:dyDescent="0.25">
      <c r="F59" t="e">
        <f>#REF!+";Hb!$tP"</f>
        <v>#REF!</v>
      </c>
      <c r="G59" t="e">
        <f>#REF!+";Hb!$tQ"</f>
        <v>#REF!</v>
      </c>
      <c r="H59" t="e">
        <f>#REF!+";Hb!$tR"</f>
        <v>#REF!</v>
      </c>
      <c r="I59" t="e">
        <f>#REF!+";Hb!$tS"</f>
        <v>#REF!</v>
      </c>
      <c r="J59" t="e">
        <f>#REF!+";Hb!$tT"</f>
        <v>#REF!</v>
      </c>
      <c r="K59" t="e">
        <f>#REF!+";Hb!$tU"</f>
        <v>#REF!</v>
      </c>
      <c r="L59" t="e">
        <f>#REF!+";Hb!$tV"</f>
        <v>#REF!</v>
      </c>
      <c r="M59" t="e">
        <f>#REF!+";Hb!$tW"</f>
        <v>#REF!</v>
      </c>
      <c r="N59" t="e">
        <f>#REF!+";Hb!$tX"</f>
        <v>#REF!</v>
      </c>
      <c r="O59" t="e">
        <f>#REF!+";Hb!$tY"</f>
        <v>#REF!</v>
      </c>
      <c r="P59" t="e">
        <f>#REF!+";Hb!$tZ"</f>
        <v>#REF!</v>
      </c>
      <c r="Q59" t="e">
        <f>#REF!+";Hb!$t["</f>
        <v>#REF!</v>
      </c>
      <c r="R59" t="e">
        <f>#REF!+";Hb!$t\"</f>
        <v>#REF!</v>
      </c>
      <c r="S59" t="e">
        <f>#REF!+";Hb!$t]"</f>
        <v>#REF!</v>
      </c>
      <c r="T59" t="e">
        <f>#REF!+";Hb!$t^"</f>
        <v>#REF!</v>
      </c>
      <c r="U59" t="e">
        <f>#REF!+";Hb!$t_"</f>
        <v>#REF!</v>
      </c>
      <c r="V59" t="e">
        <f>#REF!+";Hb!$t`"</f>
        <v>#REF!</v>
      </c>
      <c r="W59" t="e">
        <f>#REF!+";Hb!$ta"</f>
        <v>#REF!</v>
      </c>
      <c r="X59" t="e">
        <f>#REF!+";Hb!$tb"</f>
        <v>#REF!</v>
      </c>
      <c r="Y59" t="e">
        <f>#REF!+";Hb!$tc"</f>
        <v>#REF!</v>
      </c>
      <c r="Z59" t="e">
        <f>#REF!+";Hb!$td"</f>
        <v>#REF!</v>
      </c>
      <c r="AA59" t="e">
        <f>#REF!+";Hb!$te"</f>
        <v>#REF!</v>
      </c>
      <c r="AB59" t="e">
        <f>#REF!+";Hb!$tf"</f>
        <v>#REF!</v>
      </c>
      <c r="AC59" t="e">
        <f>#REF!+";Hb!$tg"</f>
        <v>#REF!</v>
      </c>
      <c r="AD59" t="e">
        <f>#REF!+";Hb!$th"</f>
        <v>#REF!</v>
      </c>
      <c r="AE59" t="e">
        <f>#REF!+";Hb!$ti"</f>
        <v>#REF!</v>
      </c>
      <c r="AF59" t="e">
        <f>#REF!+";Hb!$tj"</f>
        <v>#REF!</v>
      </c>
      <c r="AG59" t="e">
        <f>#REF!+";Hb!$tk"</f>
        <v>#REF!</v>
      </c>
      <c r="AH59" t="e">
        <f>#REF!+";Hb!$tl"</f>
        <v>#REF!</v>
      </c>
      <c r="AI59" t="e">
        <f>#REF!+";Hb!$tm"</f>
        <v>#REF!</v>
      </c>
      <c r="AJ59" t="e">
        <f>#REF!+";Hb!$tn"</f>
        <v>#REF!</v>
      </c>
      <c r="AK59" t="e">
        <f>#REF!+";Hb!$to"</f>
        <v>#REF!</v>
      </c>
      <c r="AL59" t="e">
        <f>#REF!+";Hb!$tp"</f>
        <v>#REF!</v>
      </c>
      <c r="AM59" t="e">
        <f>#REF!+";Hb!$tq"</f>
        <v>#REF!</v>
      </c>
      <c r="AN59" t="e">
        <f>#REF!+";Hb!$tr"</f>
        <v>#REF!</v>
      </c>
      <c r="AO59" t="e">
        <f>#REF!+";Hb!$ts"</f>
        <v>#REF!</v>
      </c>
      <c r="AP59" t="e">
        <f>#REF!+";Hb!$tt"</f>
        <v>#REF!</v>
      </c>
      <c r="AQ59" t="e">
        <f>#REF!+";Hb!$tu"</f>
        <v>#REF!</v>
      </c>
      <c r="AR59" t="e">
        <f>#REF!+";Hb!$tv"</f>
        <v>#REF!</v>
      </c>
      <c r="AS59" t="e">
        <f>#REF!+";Hb!$tw"</f>
        <v>#REF!</v>
      </c>
      <c r="AT59" t="e">
        <f>#REF!+";Hb!$tx"</f>
        <v>#REF!</v>
      </c>
      <c r="AU59" t="e">
        <f>#REF!+";Hb!$ty"</f>
        <v>#REF!</v>
      </c>
      <c r="AV59" t="e">
        <f>#REF!+";Hb!$tz"</f>
        <v>#REF!</v>
      </c>
      <c r="AW59" t="e">
        <f>#REF!+";Hb!$t{"</f>
        <v>#REF!</v>
      </c>
      <c r="AX59" t="e">
        <f>#REF!+";Hb!$t|"</f>
        <v>#REF!</v>
      </c>
      <c r="AY59" t="e">
        <f>#REF!+";Hb!$t}"</f>
        <v>#REF!</v>
      </c>
      <c r="AZ59" t="e">
        <f>#REF!+";Hb!$t~"</f>
        <v>#REF!</v>
      </c>
      <c r="BA59" t="e">
        <f>#REF!+";Hb!$u#"</f>
        <v>#REF!</v>
      </c>
      <c r="BB59" t="e">
        <f>#REF!+";Hb!$u$"</f>
        <v>#REF!</v>
      </c>
      <c r="BC59" t="e">
        <f>#REF!+";Hb!$u%"</f>
        <v>#REF!</v>
      </c>
      <c r="BD59" t="e">
        <f>#REF!+";Hb!$u&amp;"</f>
        <v>#REF!</v>
      </c>
      <c r="BE59" t="e">
        <f>#REF!+";Hb!$u'"</f>
        <v>#REF!</v>
      </c>
      <c r="BF59" t="e">
        <f>#REF!+";Hb!$u("</f>
        <v>#REF!</v>
      </c>
      <c r="BG59" t="e">
        <f>#REF!+";Hb!$u)"</f>
        <v>#REF!</v>
      </c>
      <c r="BH59" t="e">
        <f>#REF!+";Hb!$u."</f>
        <v>#REF!</v>
      </c>
      <c r="BI59" t="e">
        <f>#REF!+";Hb!$u/"</f>
        <v>#REF!</v>
      </c>
      <c r="BJ59" t="e">
        <f>#REF!+";Hb!$u0"</f>
        <v>#REF!</v>
      </c>
      <c r="BK59" t="e">
        <f>#REF!+";Hb!$u1"</f>
        <v>#REF!</v>
      </c>
      <c r="BL59" t="e">
        <f>#REF!+";Hb!$u2"</f>
        <v>#REF!</v>
      </c>
      <c r="BM59" t="e">
        <f>#REF!+";Hb!$u3"</f>
        <v>#REF!</v>
      </c>
      <c r="BN59" t="e">
        <f>#REF!+";Hb!$u4"</f>
        <v>#REF!</v>
      </c>
      <c r="BO59" t="e">
        <f>#REF!+";Hb!$u5"</f>
        <v>#REF!</v>
      </c>
      <c r="BP59" t="e">
        <f>#REF!+";Hb!$u6"</f>
        <v>#REF!</v>
      </c>
      <c r="BQ59" t="e">
        <f>#REF!+";Hb!$u7"</f>
        <v>#REF!</v>
      </c>
      <c r="BR59" t="e">
        <f>#REF!+";Hb!$u8"</f>
        <v>#REF!</v>
      </c>
      <c r="BS59" t="e">
        <f>#REF!+";Hb!$u9"</f>
        <v>#REF!</v>
      </c>
      <c r="BT59" t="e">
        <f>#REF!+";Hb!$u:"</f>
        <v>#REF!</v>
      </c>
      <c r="BU59" t="e">
        <f>#REF!+";Hb!$u;"</f>
        <v>#REF!</v>
      </c>
      <c r="BV59" t="e">
        <f>#REF!+";Hb!$u&lt;"</f>
        <v>#REF!</v>
      </c>
      <c r="BW59" t="e">
        <f>#REF!+";Hb!$u="</f>
        <v>#REF!</v>
      </c>
      <c r="BX59" t="e">
        <f>#REF!+";Hb!$u&gt;"</f>
        <v>#REF!</v>
      </c>
      <c r="BY59" t="e">
        <f>#REF!+";Hb!$u?"</f>
        <v>#REF!</v>
      </c>
      <c r="BZ59" t="e">
        <f>#REF!+";Hb!$u@"</f>
        <v>#REF!</v>
      </c>
      <c r="CA59" t="e">
        <f>#REF!+";Hb!$uA"</f>
        <v>#REF!</v>
      </c>
      <c r="CB59" t="e">
        <f>#REF!+";Hb!$uB"</f>
        <v>#REF!</v>
      </c>
      <c r="CC59" t="e">
        <f>#REF!+";Hb!$uC"</f>
        <v>#REF!</v>
      </c>
      <c r="CD59" t="e">
        <f>#REF!+";Hb!$uD"</f>
        <v>#REF!</v>
      </c>
      <c r="CE59" t="e">
        <f>#REF!+";Hb!$uE"</f>
        <v>#REF!</v>
      </c>
      <c r="CF59" t="e">
        <f>#REF!+";Hb!$uF"</f>
        <v>#REF!</v>
      </c>
      <c r="CG59" t="e">
        <f>#REF!+";Hb!$uG"</f>
        <v>#REF!</v>
      </c>
      <c r="CH59" t="e">
        <f>#REF!+";Hb!$uH"</f>
        <v>#REF!</v>
      </c>
      <c r="CI59" t="e">
        <f>#REF!+";Hb!$uI"</f>
        <v>#REF!</v>
      </c>
      <c r="CJ59" t="e">
        <f>#REF!+";Hb!$uJ"</f>
        <v>#REF!</v>
      </c>
      <c r="CK59" t="e">
        <f>#REF!+";Hb!$uK"</f>
        <v>#REF!</v>
      </c>
      <c r="CL59" t="e">
        <f>#REF!+";Hb!$uL"</f>
        <v>#REF!</v>
      </c>
      <c r="CM59" t="e">
        <f>#REF!+";Hb!$uM"</f>
        <v>#REF!</v>
      </c>
      <c r="CN59" t="e">
        <f>#REF!+";Hb!$uN"</f>
        <v>#REF!</v>
      </c>
      <c r="CO59" t="e">
        <f>#REF!+";Hb!$uO"</f>
        <v>#REF!</v>
      </c>
      <c r="CP59" t="e">
        <f>#REF!+";Hb!$uP"</f>
        <v>#REF!</v>
      </c>
      <c r="CQ59" t="e">
        <f>#REF!+";Hb!$uQ"</f>
        <v>#REF!</v>
      </c>
      <c r="CR59" t="e">
        <f>#REF!+";Hb!$uR"</f>
        <v>#REF!</v>
      </c>
      <c r="CS59" t="e">
        <f>#REF!+";Hb!$uS"</f>
        <v>#REF!</v>
      </c>
      <c r="CT59" t="e">
        <f>#REF!+";Hb!$uT"</f>
        <v>#REF!</v>
      </c>
      <c r="CU59" t="e">
        <f>#REF!+";Hb!$uU"</f>
        <v>#REF!</v>
      </c>
      <c r="CV59" t="e">
        <f>#REF!+";Hb!$uV"</f>
        <v>#REF!</v>
      </c>
      <c r="CW59" t="e">
        <f>#REF!+";Hb!$uW"</f>
        <v>#REF!</v>
      </c>
      <c r="CX59" t="e">
        <f>#REF!+";Hb!$uX"</f>
        <v>#REF!</v>
      </c>
      <c r="CY59" t="e">
        <f>#REF!+";Hb!$uY"</f>
        <v>#REF!</v>
      </c>
      <c r="CZ59" t="e">
        <f>#REF!+";Hb!$uZ"</f>
        <v>#REF!</v>
      </c>
      <c r="DA59" t="e">
        <f>#REF!+";Hb!$u["</f>
        <v>#REF!</v>
      </c>
      <c r="DB59" t="e">
        <f>#REF!+";Hb!$u\"</f>
        <v>#REF!</v>
      </c>
      <c r="DC59" t="e">
        <f>#REF!+";Hb!$u]"</f>
        <v>#REF!</v>
      </c>
      <c r="DD59" t="e">
        <f>#REF!+";Hb!$u^"</f>
        <v>#REF!</v>
      </c>
      <c r="DE59" t="e">
        <f>#REF!+";Hb!$u_"</f>
        <v>#REF!</v>
      </c>
      <c r="DF59" t="e">
        <f>#REF!+";Hb!$u`"</f>
        <v>#REF!</v>
      </c>
      <c r="DG59" t="e">
        <f>#REF!+";Hb!$ua"</f>
        <v>#REF!</v>
      </c>
      <c r="DH59" t="e">
        <f>#REF!+";Hb!$ub"</f>
        <v>#REF!</v>
      </c>
      <c r="DI59" t="e">
        <f>#REF!+";Hb!$uc"</f>
        <v>#REF!</v>
      </c>
      <c r="DJ59" t="e">
        <f>#REF!+";Hb!$ud"</f>
        <v>#REF!</v>
      </c>
      <c r="DK59" t="e">
        <f>#REF!+";Hb!$ue"</f>
        <v>#REF!</v>
      </c>
      <c r="DL59" t="e">
        <f>#REF!+";Hb!$uf"</f>
        <v>#REF!</v>
      </c>
      <c r="DM59" t="e">
        <f>#REF!+";Hb!$ug"</f>
        <v>#REF!</v>
      </c>
      <c r="DN59" t="e">
        <f>#REF!+";Hb!$uh"</f>
        <v>#REF!</v>
      </c>
      <c r="DO59" t="e">
        <f>#REF!+";Hb!$ui"</f>
        <v>#REF!</v>
      </c>
      <c r="DP59" t="e">
        <f>#REF!+";Hb!$uj"</f>
        <v>#REF!</v>
      </c>
      <c r="DQ59" t="e">
        <f>#REF!+";Hb!$uk"</f>
        <v>#REF!</v>
      </c>
      <c r="DR59" t="e">
        <f>#REF!+";Hb!$ul"</f>
        <v>#REF!</v>
      </c>
      <c r="DS59" t="e">
        <f>#REF!+";Hb!$um"</f>
        <v>#REF!</v>
      </c>
      <c r="DT59" t="e">
        <f>#REF!+";Hb!$un"</f>
        <v>#REF!</v>
      </c>
      <c r="DU59" t="e">
        <f>#REF!+";Hb!$uo"</f>
        <v>#REF!</v>
      </c>
      <c r="DV59" t="e">
        <f>#REF!+";Hb!$up"</f>
        <v>#REF!</v>
      </c>
      <c r="DW59" t="e">
        <f>#REF!+";Hb!$uq"</f>
        <v>#REF!</v>
      </c>
      <c r="DX59" t="e">
        <f>#REF!+";Hb!$ur"</f>
        <v>#REF!</v>
      </c>
      <c r="DY59" t="e">
        <f>#REF!+";Hb!$us"</f>
        <v>#REF!</v>
      </c>
      <c r="DZ59" t="e">
        <f>#REF!+";Hb!$ut"</f>
        <v>#REF!</v>
      </c>
      <c r="EA59" t="e">
        <f>#REF!+";Hb!$uu"</f>
        <v>#REF!</v>
      </c>
      <c r="EB59" t="e">
        <f>#REF!+";Hb!$uv"</f>
        <v>#REF!</v>
      </c>
      <c r="EC59" t="e">
        <f>#REF!+";Hb!$uw"</f>
        <v>#REF!</v>
      </c>
      <c r="ED59" t="e">
        <f>#REF!+";Hb!$ux"</f>
        <v>#REF!</v>
      </c>
      <c r="EE59" t="e">
        <f>#REF!+";Hb!$uy"</f>
        <v>#REF!</v>
      </c>
      <c r="EF59" t="e">
        <f>#REF!+";Hb!$uz"</f>
        <v>#REF!</v>
      </c>
      <c r="EG59" t="e">
        <f>#REF!+";Hb!$u{"</f>
        <v>#REF!</v>
      </c>
      <c r="EH59" t="e">
        <f>#REF!+";Hb!$u|"</f>
        <v>#REF!</v>
      </c>
      <c r="EI59" t="e">
        <f>#REF!+";Hb!$u}"</f>
        <v>#REF!</v>
      </c>
      <c r="EJ59" t="e">
        <f>#REF!+";Hb!$u~"</f>
        <v>#REF!</v>
      </c>
      <c r="EK59" t="e">
        <f>#REF!+";Hb!$v#"</f>
        <v>#REF!</v>
      </c>
      <c r="EL59" t="e">
        <f>#REF!+";Hb!$v$"</f>
        <v>#REF!</v>
      </c>
      <c r="EM59" t="e">
        <f>#REF!+";Hb!$v%"</f>
        <v>#REF!</v>
      </c>
      <c r="EN59" t="e">
        <f>#REF!+";Hb!$v&amp;"</f>
        <v>#REF!</v>
      </c>
      <c r="EO59" t="e">
        <f>#REF!+";Hb!$v'"</f>
        <v>#REF!</v>
      </c>
      <c r="EP59" t="e">
        <f>#REF!+";Hb!$v("</f>
        <v>#REF!</v>
      </c>
      <c r="EQ59" t="e">
        <f>#REF!+";Hb!$v)"</f>
        <v>#REF!</v>
      </c>
      <c r="ER59" t="e">
        <f>#REF!+";Hb!$v."</f>
        <v>#REF!</v>
      </c>
      <c r="ES59" t="e">
        <f>#REF!+";Hb!$v/"</f>
        <v>#REF!</v>
      </c>
      <c r="ET59" t="e">
        <f>#REF!+";Hb!$v0"</f>
        <v>#REF!</v>
      </c>
      <c r="EU59" t="e">
        <f>#REF!+";Hb!$v1"</f>
        <v>#REF!</v>
      </c>
      <c r="EV59" t="e">
        <f>#REF!+";Hb!$v2"</f>
        <v>#REF!</v>
      </c>
      <c r="EW59" t="e">
        <f>#REF!+";Hb!$v3"</f>
        <v>#REF!</v>
      </c>
      <c r="EX59" t="e">
        <f>#REF!+";Hb!$v4"</f>
        <v>#REF!</v>
      </c>
      <c r="EY59" t="e">
        <f>#REF!+";Hb!$v5"</f>
        <v>#REF!</v>
      </c>
      <c r="EZ59" t="e">
        <f>#REF!+";Hb!$v6"</f>
        <v>#REF!</v>
      </c>
      <c r="FA59" t="e">
        <f>#REF!+";Hb!$v7"</f>
        <v>#REF!</v>
      </c>
      <c r="FB59" t="e">
        <f>#REF!+";Hb!$v8"</f>
        <v>#REF!</v>
      </c>
      <c r="FC59" t="e">
        <f>#REF!+";Hb!$v9"</f>
        <v>#REF!</v>
      </c>
      <c r="FD59" t="e">
        <f>#REF!+";Hb!$v:"</f>
        <v>#REF!</v>
      </c>
      <c r="FE59" t="e">
        <f>#REF!+";Hb!$v;"</f>
        <v>#REF!</v>
      </c>
      <c r="FF59" t="e">
        <f>#REF!+";Hb!$v&lt;"</f>
        <v>#REF!</v>
      </c>
      <c r="FG59" t="e">
        <f>#REF!+";Hb!$v="</f>
        <v>#REF!</v>
      </c>
      <c r="FH59" t="e">
        <f>#REF!+";Hb!$v&gt;"</f>
        <v>#REF!</v>
      </c>
      <c r="FI59" t="e">
        <f>#REF!+";Hb!$v?"</f>
        <v>#REF!</v>
      </c>
      <c r="FJ59" t="e">
        <f>#REF!+";Hb!$v@"</f>
        <v>#REF!</v>
      </c>
      <c r="FK59" t="e">
        <f>#REF!+";Hb!$vA"</f>
        <v>#REF!</v>
      </c>
      <c r="FL59" t="e">
        <f>#REF!+";Hb!$vB"</f>
        <v>#REF!</v>
      </c>
      <c r="FM59" t="e">
        <f>#REF!+";Hb!$vC"</f>
        <v>#REF!</v>
      </c>
      <c r="FN59" t="e">
        <f>#REF!+";Hb!$vD"</f>
        <v>#REF!</v>
      </c>
      <c r="FO59" t="e">
        <f>#REF!+";Hb!$vE"</f>
        <v>#REF!</v>
      </c>
      <c r="FP59" t="e">
        <f>#REF!+";Hb!$vF"</f>
        <v>#REF!</v>
      </c>
      <c r="FQ59" t="e">
        <f>#REF!+";Hb!$vG"</f>
        <v>#REF!</v>
      </c>
      <c r="FR59" t="e">
        <f>#REF!+";Hb!$vH"</f>
        <v>#REF!</v>
      </c>
      <c r="FS59" t="e">
        <f>#REF!+";Hb!$vI"</f>
        <v>#REF!</v>
      </c>
      <c r="FT59" t="e">
        <f>#REF!+";Hb!$vJ"</f>
        <v>#REF!</v>
      </c>
      <c r="FU59" t="e">
        <f>#REF!+";Hb!$vK"</f>
        <v>#REF!</v>
      </c>
      <c r="FV59" t="e">
        <f>#REF!+";Hb!$vL"</f>
        <v>#REF!</v>
      </c>
      <c r="FW59" t="e">
        <f>#REF!+";Hb!$vM"</f>
        <v>#REF!</v>
      </c>
      <c r="FX59" t="e">
        <f>#REF!+";Hb!$vN"</f>
        <v>#REF!</v>
      </c>
      <c r="FY59" t="e">
        <f>#REF!+";Hb!$vO"</f>
        <v>#REF!</v>
      </c>
      <c r="FZ59" t="e">
        <f>#REF!+";Hb!$vP"</f>
        <v>#REF!</v>
      </c>
      <c r="GA59" t="e">
        <f>#REF!+";Hb!$vQ"</f>
        <v>#REF!</v>
      </c>
      <c r="GB59" t="e">
        <f>#REF!+";Hb!$vR"</f>
        <v>#REF!</v>
      </c>
      <c r="GC59" t="e">
        <f>#REF!+";Hb!$vS"</f>
        <v>#REF!</v>
      </c>
      <c r="GD59" t="e">
        <f>#REF!+";Hb!$vT"</f>
        <v>#REF!</v>
      </c>
      <c r="GE59" t="e">
        <f>#REF!+";Hb!$vU"</f>
        <v>#REF!</v>
      </c>
      <c r="GF59" t="e">
        <f>#REF!+";Hb!$vV"</f>
        <v>#REF!</v>
      </c>
      <c r="GG59" t="e">
        <f>#REF!+";Hb!$vW"</f>
        <v>#REF!</v>
      </c>
      <c r="GH59" t="e">
        <f>#REF!+";Hb!$vX"</f>
        <v>#REF!</v>
      </c>
      <c r="GI59" t="e">
        <f>#REF!+";Hb!$vY"</f>
        <v>#REF!</v>
      </c>
      <c r="GJ59" t="e">
        <f>#REF!+";Hb!$vZ"</f>
        <v>#REF!</v>
      </c>
      <c r="GK59" t="e">
        <f>#REF!+";Hb!$v["</f>
        <v>#REF!</v>
      </c>
      <c r="GL59" t="e">
        <f>#REF!+";Hb!$v\"</f>
        <v>#REF!</v>
      </c>
      <c r="GM59" t="e">
        <f>#REF!+";Hb!$v]"</f>
        <v>#REF!</v>
      </c>
      <c r="GN59" t="e">
        <f>#REF!+";Hb!$v^"</f>
        <v>#REF!</v>
      </c>
      <c r="GO59" t="e">
        <f>#REF!+";Hb!$v_"</f>
        <v>#REF!</v>
      </c>
      <c r="GP59" t="e">
        <f>#REF!+";Hb!$v`"</f>
        <v>#REF!</v>
      </c>
      <c r="GQ59" t="e">
        <f>#REF!+";Hb!$va"</f>
        <v>#REF!</v>
      </c>
      <c r="GR59" t="e">
        <f>#REF!+";Hb!$vb"</f>
        <v>#REF!</v>
      </c>
      <c r="GS59" t="e">
        <f>#REF!+";Hb!$vc"</f>
        <v>#REF!</v>
      </c>
      <c r="GT59" t="e">
        <f>#REF!+";Hb!$vd"</f>
        <v>#REF!</v>
      </c>
      <c r="GU59" t="e">
        <f>#REF!+";Hb!$ve"</f>
        <v>#REF!</v>
      </c>
      <c r="GV59" t="e">
        <f>#REF!+";Hb!$vf"</f>
        <v>#REF!</v>
      </c>
      <c r="GW59" t="e">
        <f>#REF!+";Hb!$vg"</f>
        <v>#REF!</v>
      </c>
      <c r="GX59" t="e">
        <f>#REF!+";Hb!$vh"</f>
        <v>#REF!</v>
      </c>
      <c r="GY59" t="e">
        <f>#REF!+";Hb!$vi"</f>
        <v>#REF!</v>
      </c>
      <c r="GZ59" t="e">
        <f>#REF!+";Hb!$vj"</f>
        <v>#REF!</v>
      </c>
      <c r="HA59" t="e">
        <f>#REF!+";Hb!$vk"</f>
        <v>#REF!</v>
      </c>
      <c r="HB59" t="e">
        <f>#REF!+";Hb!$vl"</f>
        <v>#REF!</v>
      </c>
      <c r="HC59" t="e">
        <f>#REF!+";Hb!$vm"</f>
        <v>#REF!</v>
      </c>
      <c r="HD59" t="e">
        <f>#REF!+";Hb!$vn"</f>
        <v>#REF!</v>
      </c>
      <c r="HE59" t="e">
        <f>#REF!+";Hb!$vo"</f>
        <v>#REF!</v>
      </c>
      <c r="HF59" t="e">
        <f>#REF!+";Hb!$vp"</f>
        <v>#REF!</v>
      </c>
      <c r="HG59" t="e">
        <f>#REF!+";Hb!$vq"</f>
        <v>#REF!</v>
      </c>
      <c r="HH59" t="e">
        <f>#REF!+";Hb!$vr"</f>
        <v>#REF!</v>
      </c>
      <c r="HI59" t="e">
        <f>#REF!+";Hb!$vs"</f>
        <v>#REF!</v>
      </c>
      <c r="HJ59" t="e">
        <f>#REF!+";Hb!$vt"</f>
        <v>#REF!</v>
      </c>
      <c r="HK59" t="e">
        <f>#REF!+";Hb!$vu"</f>
        <v>#REF!</v>
      </c>
      <c r="HL59" t="e">
        <f>#REF!+";Hb!$vv"</f>
        <v>#REF!</v>
      </c>
      <c r="HM59" t="e">
        <f>#REF!+";Hb!$vw"</f>
        <v>#REF!</v>
      </c>
      <c r="HN59" t="e">
        <f>#REF!+";Hb!$vx"</f>
        <v>#REF!</v>
      </c>
      <c r="HO59" t="e">
        <f>#REF!+";Hb!$vy"</f>
        <v>#REF!</v>
      </c>
      <c r="HP59" t="e">
        <f>#REF!+";Hb!$vz"</f>
        <v>#REF!</v>
      </c>
      <c r="HQ59" t="e">
        <f>#REF!+";Hb!$v{"</f>
        <v>#REF!</v>
      </c>
      <c r="HR59" t="e">
        <f>#REF!+";Hb!$v|"</f>
        <v>#REF!</v>
      </c>
      <c r="HS59" t="e">
        <f>#REF!+";Hb!$v}"</f>
        <v>#REF!</v>
      </c>
      <c r="HT59" t="e">
        <f>#REF!+";Hb!$v~"</f>
        <v>#REF!</v>
      </c>
      <c r="HU59" t="e">
        <f>#REF!+";Hb!$w#"</f>
        <v>#REF!</v>
      </c>
      <c r="HV59" t="e">
        <f>#REF!+";Hb!$w$"</f>
        <v>#REF!</v>
      </c>
      <c r="HW59" t="e">
        <f>#REF!+";Hb!$w%"</f>
        <v>#REF!</v>
      </c>
      <c r="HX59" t="e">
        <f>#REF!+";Hb!$w&amp;"</f>
        <v>#REF!</v>
      </c>
      <c r="HY59" t="e">
        <f>#REF!+";Hb!$w'"</f>
        <v>#REF!</v>
      </c>
      <c r="HZ59" t="e">
        <f>#REF!+";Hb!$w("</f>
        <v>#REF!</v>
      </c>
      <c r="IA59" t="e">
        <f>#REF!+";Hb!$w)"</f>
        <v>#REF!</v>
      </c>
      <c r="IB59" t="e">
        <f>#REF!+";Hb!$w."</f>
        <v>#REF!</v>
      </c>
      <c r="IC59" t="e">
        <f>#REF!+";Hb!$w/"</f>
        <v>#REF!</v>
      </c>
      <c r="ID59" t="e">
        <f>#REF!+";Hb!$w0"</f>
        <v>#REF!</v>
      </c>
      <c r="IE59" t="e">
        <f>#REF!+";Hb!$w1"</f>
        <v>#REF!</v>
      </c>
      <c r="IF59" t="e">
        <f>#REF!+";Hb!$w2"</f>
        <v>#REF!</v>
      </c>
      <c r="IG59" t="e">
        <f>#REF!+";Hb!$w3"</f>
        <v>#REF!</v>
      </c>
      <c r="IH59" t="e">
        <f>#REF!+";Hb!$w4"</f>
        <v>#REF!</v>
      </c>
      <c r="II59" t="e">
        <f>#REF!+";Hb!$w5"</f>
        <v>#REF!</v>
      </c>
      <c r="IJ59" t="e">
        <f>#REF!+";Hb!$w6"</f>
        <v>#REF!</v>
      </c>
      <c r="IK59" t="e">
        <f>#REF!+";Hb!$w7"</f>
        <v>#REF!</v>
      </c>
      <c r="IL59" t="e">
        <f>#REF!+";Hb!$w8"</f>
        <v>#REF!</v>
      </c>
      <c r="IM59" t="e">
        <f>#REF!+";Hb!$w9"</f>
        <v>#REF!</v>
      </c>
      <c r="IN59" t="e">
        <f>#REF!+";Hb!$w:"</f>
        <v>#REF!</v>
      </c>
      <c r="IO59" t="e">
        <f>#REF!+";Hb!$w;"</f>
        <v>#REF!</v>
      </c>
      <c r="IP59" t="e">
        <f>#REF!+";Hb!$w&lt;"</f>
        <v>#REF!</v>
      </c>
      <c r="IQ59" t="e">
        <f>#REF!+";Hb!$w="</f>
        <v>#REF!</v>
      </c>
      <c r="IR59" t="e">
        <f>#REF!+";Hb!$w&gt;"</f>
        <v>#REF!</v>
      </c>
      <c r="IS59" t="e">
        <f>#REF!+";Hb!$w?"</f>
        <v>#REF!</v>
      </c>
      <c r="IT59" t="e">
        <f>#REF!+";Hb!$w@"</f>
        <v>#REF!</v>
      </c>
      <c r="IU59" t="e">
        <f>#REF!+";Hb!$wA"</f>
        <v>#REF!</v>
      </c>
      <c r="IV59" t="e">
        <f>#REF!+";Hb!$wB"</f>
        <v>#REF!</v>
      </c>
    </row>
    <row r="60" spans="6:256" x14ac:dyDescent="0.25">
      <c r="F60" t="e">
        <f>#REF!+";Hb!$wC"</f>
        <v>#REF!</v>
      </c>
      <c r="G60" t="e">
        <f>#REF!+";Hb!$wD"</f>
        <v>#REF!</v>
      </c>
      <c r="H60" t="e">
        <f>#REF!+";Hb!$wE"</f>
        <v>#REF!</v>
      </c>
      <c r="I60" t="e">
        <f>#REF!+";Hb!$wF"</f>
        <v>#REF!</v>
      </c>
      <c r="J60" t="e">
        <f>#REF!+";Hb!$wG"</f>
        <v>#REF!</v>
      </c>
      <c r="K60" t="e">
        <f>#REF!+";Hb!$wH"</f>
        <v>#REF!</v>
      </c>
      <c r="L60" t="e">
        <f>#REF!+";Hb!$wI"</f>
        <v>#REF!</v>
      </c>
      <c r="M60" t="e">
        <f>#REF!+";Hb!$wJ"</f>
        <v>#REF!</v>
      </c>
      <c r="N60" t="e">
        <f>#REF!+";Hb!$wK"</f>
        <v>#REF!</v>
      </c>
      <c r="O60" t="e">
        <f>#REF!+";Hb!$wL"</f>
        <v>#REF!</v>
      </c>
      <c r="P60" t="e">
        <f>#REF!+";Hb!$wM"</f>
        <v>#REF!</v>
      </c>
      <c r="Q60" t="e">
        <f>#REF!+";Hb!$wN"</f>
        <v>#REF!</v>
      </c>
      <c r="R60" t="e">
        <f>#REF!+";Hb!$wO"</f>
        <v>#REF!</v>
      </c>
      <c r="S60" t="e">
        <f>#REF!+";Hb!$wP"</f>
        <v>#REF!</v>
      </c>
      <c r="T60" t="e">
        <f>#REF!+";Hb!$wQ"</f>
        <v>#REF!</v>
      </c>
      <c r="U60" t="e">
        <f>#REF!+";Hb!$wR"</f>
        <v>#REF!</v>
      </c>
      <c r="V60" t="e">
        <f>#REF!+";Hb!$wS"</f>
        <v>#REF!</v>
      </c>
      <c r="W60" t="e">
        <f>#REF!+";Hb!$wT"</f>
        <v>#REF!</v>
      </c>
      <c r="X60" t="e">
        <f>#REF!+";Hb!$wU"</f>
        <v>#REF!</v>
      </c>
      <c r="Y60" t="e">
        <f>#REF!+";Hb!$wV"</f>
        <v>#REF!</v>
      </c>
      <c r="Z60" t="e">
        <f>#REF!+";Hb!$wW"</f>
        <v>#REF!</v>
      </c>
      <c r="AA60" t="e">
        <f>#REF!+";Hb!$wX"</f>
        <v>#REF!</v>
      </c>
      <c r="AB60" t="e">
        <f>#REF!+";Hb!$wY"</f>
        <v>#REF!</v>
      </c>
      <c r="AC60" t="e">
        <f>#REF!+";Hb!$wZ"</f>
        <v>#REF!</v>
      </c>
      <c r="AD60" t="e">
        <f>#REF!+";Hb!$w["</f>
        <v>#REF!</v>
      </c>
      <c r="AE60" t="e">
        <f>#REF!+";Hb!$w\"</f>
        <v>#REF!</v>
      </c>
      <c r="AF60" t="e">
        <f>#REF!+";Hb!$w]"</f>
        <v>#REF!</v>
      </c>
      <c r="AG60" t="e">
        <f>#REF!+";Hb!$w^"</f>
        <v>#REF!</v>
      </c>
      <c r="AH60" t="e">
        <f>#REF!+";Hb!$w_"</f>
        <v>#REF!</v>
      </c>
      <c r="AI60" t="e">
        <f>#REF!+";Hb!$w`"</f>
        <v>#REF!</v>
      </c>
      <c r="AJ60" t="e">
        <f>#REF!+";Hb!$wa"</f>
        <v>#REF!</v>
      </c>
      <c r="AK60" t="e">
        <f>#REF!+";Hb!$wb"</f>
        <v>#REF!</v>
      </c>
      <c r="AL60" t="e">
        <f>#REF!+";Hb!$wc"</f>
        <v>#REF!</v>
      </c>
      <c r="AM60" t="e">
        <f>#REF!+";Hb!$wd"</f>
        <v>#REF!</v>
      </c>
      <c r="AN60" t="e">
        <f>#REF!+";Hb!$we"</f>
        <v>#REF!</v>
      </c>
      <c r="AO60" t="e">
        <f>#REF!+";Hb!$wf"</f>
        <v>#REF!</v>
      </c>
      <c r="AP60" t="e">
        <f>#REF!+";Hb!$wg"</f>
        <v>#REF!</v>
      </c>
      <c r="AQ60" t="e">
        <f>#REF!+";Hb!$wh"</f>
        <v>#REF!</v>
      </c>
      <c r="AR60" t="e">
        <f>#REF!+";Hb!$wi"</f>
        <v>#REF!</v>
      </c>
      <c r="AS60" t="e">
        <f>#REF!+";Hb!$wj"</f>
        <v>#REF!</v>
      </c>
      <c r="AT60" t="e">
        <f>#REF!+";Hb!$wk"</f>
        <v>#REF!</v>
      </c>
      <c r="AU60" t="e">
        <f>#REF!+";Hb!$wl"</f>
        <v>#REF!</v>
      </c>
      <c r="AV60" t="e">
        <f>#REF!+";Hb!$wm"</f>
        <v>#REF!</v>
      </c>
      <c r="AW60" t="e">
        <f>#REF!+";Hb!$wn"</f>
        <v>#REF!</v>
      </c>
      <c r="AX60" t="e">
        <f>#REF!+";Hb!$wo"</f>
        <v>#REF!</v>
      </c>
      <c r="AY60" t="e">
        <f>#REF!+";Hb!$wp"</f>
        <v>#REF!</v>
      </c>
      <c r="AZ60" t="e">
        <f>#REF!+";Hb!$wq"</f>
        <v>#REF!</v>
      </c>
      <c r="BA60" t="e">
        <f>#REF!+";Hb!$wr"</f>
        <v>#REF!</v>
      </c>
      <c r="BB60" t="e">
        <f>#REF!+";Hb!$ws"</f>
        <v>#REF!</v>
      </c>
      <c r="BC60" t="e">
        <f>#REF!+";Hb!$wt"</f>
        <v>#REF!</v>
      </c>
      <c r="BD60" t="e">
        <f>#REF!+";Hb!$wu"</f>
        <v>#REF!</v>
      </c>
      <c r="BE60" t="e">
        <f>#REF!+";Hb!$wv"</f>
        <v>#REF!</v>
      </c>
      <c r="BF60" t="e">
        <f>#REF!+";Hb!$ww"</f>
        <v>#REF!</v>
      </c>
      <c r="BG60" t="e">
        <f>#REF!+";Hb!$wx"</f>
        <v>#REF!</v>
      </c>
      <c r="BH60" t="e">
        <f>#REF!+";Hb!$wy"</f>
        <v>#REF!</v>
      </c>
      <c r="BI60" t="e">
        <f>#REF!+";Hb!$wz"</f>
        <v>#REF!</v>
      </c>
      <c r="BJ60" t="e">
        <f>#REF!+";Hb!$w{"</f>
        <v>#REF!</v>
      </c>
      <c r="BK60" t="e">
        <f>#REF!+";Hb!$w|"</f>
        <v>#REF!</v>
      </c>
      <c r="BL60" t="e">
        <f>#REF!+";Hb!$w}"</f>
        <v>#REF!</v>
      </c>
      <c r="BM60" t="e">
        <f>#REF!+";Hb!$w~"</f>
        <v>#REF!</v>
      </c>
      <c r="BN60" t="e">
        <f>#REF!+";Hb!$x#"</f>
        <v>#REF!</v>
      </c>
      <c r="BO60" t="e">
        <f>#REF!+";Hb!$x$"</f>
        <v>#REF!</v>
      </c>
      <c r="BP60" t="e">
        <f>#REF!+";Hb!$x%"</f>
        <v>#REF!</v>
      </c>
      <c r="BQ60" t="e">
        <f>#REF!+";Hb!$x&amp;"</f>
        <v>#REF!</v>
      </c>
      <c r="BR60" t="e">
        <f>#REF!+";Hb!$x'"</f>
        <v>#REF!</v>
      </c>
      <c r="BS60" t="e">
        <f>#REF!+";Hb!$x("</f>
        <v>#REF!</v>
      </c>
      <c r="BT60" t="e">
        <f>#REF!+";Hb!$x)"</f>
        <v>#REF!</v>
      </c>
      <c r="BU60" t="e">
        <f>#REF!+";Hb!$x."</f>
        <v>#REF!</v>
      </c>
      <c r="BV60" t="e">
        <f>#REF!+";Hb!$x/"</f>
        <v>#REF!</v>
      </c>
      <c r="BW60" t="e">
        <f>#REF!+";Hb!$x0"</f>
        <v>#REF!</v>
      </c>
      <c r="BX60" t="e">
        <f>#REF!+";Hb!$x1"</f>
        <v>#REF!</v>
      </c>
      <c r="BY60" t="e">
        <f>#REF!+";Hb!$x2"</f>
        <v>#REF!</v>
      </c>
      <c r="BZ60" t="e">
        <f>#REF!+";Hb!$x3"</f>
        <v>#REF!</v>
      </c>
      <c r="CA60" t="e">
        <f>#REF!+";Hb!$x4"</f>
        <v>#REF!</v>
      </c>
      <c r="CB60" t="e">
        <f>#REF!+";Hb!$x5"</f>
        <v>#REF!</v>
      </c>
      <c r="CC60" t="e">
        <f>#REF!+";Hb!$x6"</f>
        <v>#REF!</v>
      </c>
      <c r="CD60" t="e">
        <f>#REF!+";Hb!$x7"</f>
        <v>#REF!</v>
      </c>
      <c r="CE60" t="e">
        <f>#REF!+";Hb!$x8"</f>
        <v>#REF!</v>
      </c>
      <c r="CF60" t="e">
        <f>#REF!+";Hb!$x9"</f>
        <v>#REF!</v>
      </c>
      <c r="CG60" t="e">
        <f>#REF!+";Hb!$x:"</f>
        <v>#REF!</v>
      </c>
      <c r="CH60" t="e">
        <f>#REF!+";Hb!$x;"</f>
        <v>#REF!</v>
      </c>
      <c r="CI60" t="e">
        <f>#REF!+";Hb!$x&lt;"</f>
        <v>#REF!</v>
      </c>
      <c r="CJ60" t="e">
        <f>#REF!+";Hb!$x="</f>
        <v>#REF!</v>
      </c>
      <c r="CK60" t="e">
        <f>#REF!+";Hb!$x&gt;"</f>
        <v>#REF!</v>
      </c>
      <c r="CL60" t="e">
        <f>#REF!+";Hb!$x?"</f>
        <v>#REF!</v>
      </c>
      <c r="CM60" t="e">
        <f>#REF!+";Hb!$x@"</f>
        <v>#REF!</v>
      </c>
      <c r="CN60" t="e">
        <f>#REF!+";Hb!$xA"</f>
        <v>#REF!</v>
      </c>
      <c r="CO60" t="e">
        <f>#REF!+";Hb!$xB"</f>
        <v>#REF!</v>
      </c>
      <c r="CP60" t="e">
        <f>#REF!+";Hb!$xC"</f>
        <v>#REF!</v>
      </c>
      <c r="CQ60" t="e">
        <f>#REF!+";Hb!$xD"</f>
        <v>#REF!</v>
      </c>
      <c r="CR60" t="e">
        <f>#REF!+";Hb!$xE"</f>
        <v>#REF!</v>
      </c>
      <c r="CS60" t="e">
        <f>#REF!+";Hb!$xF"</f>
        <v>#REF!</v>
      </c>
      <c r="CT60" t="e">
        <f>#REF!+";Hb!$xG"</f>
        <v>#REF!</v>
      </c>
      <c r="CU60" t="e">
        <f>#REF!+";Hb!$xH"</f>
        <v>#REF!</v>
      </c>
      <c r="CV60" t="e">
        <f>#REF!+";Hb!$xI"</f>
        <v>#REF!</v>
      </c>
      <c r="CW60" t="e">
        <f>#REF!+";Hb!$xJ"</f>
        <v>#REF!</v>
      </c>
      <c r="CX60" t="e">
        <f>#REF!+";Hb!$xK"</f>
        <v>#REF!</v>
      </c>
      <c r="CY60" t="e">
        <f>#REF!+";Hb!$xL"</f>
        <v>#REF!</v>
      </c>
      <c r="CZ60" t="e">
        <f>#REF!+";Hb!$xM"</f>
        <v>#REF!</v>
      </c>
      <c r="DA60" t="e">
        <f>#REF!+";Hb!$xN"</f>
        <v>#REF!</v>
      </c>
      <c r="DB60" t="e">
        <f>#REF!+";Hb!$xO"</f>
        <v>#REF!</v>
      </c>
      <c r="DC60" t="e">
        <f>#REF!+";Hb!$xP"</f>
        <v>#REF!</v>
      </c>
      <c r="DD60" t="e">
        <f>#REF!+";Hb!$xQ"</f>
        <v>#REF!</v>
      </c>
      <c r="DE60" t="e">
        <f>#REF!+";Hb!$xR"</f>
        <v>#REF!</v>
      </c>
      <c r="DF60" t="e">
        <f>#REF!+";Hb!$xS"</f>
        <v>#REF!</v>
      </c>
      <c r="DG60" t="e">
        <f>#REF!+";Hb!$xT"</f>
        <v>#REF!</v>
      </c>
      <c r="DH60" t="e">
        <f>#REF!+";Hb!$xU"</f>
        <v>#REF!</v>
      </c>
      <c r="DI60" t="e">
        <f>#REF!+";Hb!$xV"</f>
        <v>#REF!</v>
      </c>
      <c r="DJ60" t="e">
        <f>#REF!+";Hb!$xW"</f>
        <v>#REF!</v>
      </c>
      <c r="DK60" t="e">
        <f>#REF!+";Hb!$xX"</f>
        <v>#REF!</v>
      </c>
      <c r="DL60" t="e">
        <f>#REF!+";Hb!$xY"</f>
        <v>#REF!</v>
      </c>
      <c r="DM60" t="e">
        <f>#REF!+";Hb!$xZ"</f>
        <v>#REF!</v>
      </c>
      <c r="DN60" t="e">
        <f>#REF!+";Hb!$x["</f>
        <v>#REF!</v>
      </c>
      <c r="DO60" t="e">
        <f>#REF!+";Hb!$x\"</f>
        <v>#REF!</v>
      </c>
      <c r="DP60" t="e">
        <f>#REF!+";Hb!$x]"</f>
        <v>#REF!</v>
      </c>
      <c r="DQ60" t="e">
        <f>#REF!+";Hb!$x^"</f>
        <v>#REF!</v>
      </c>
      <c r="DR60" t="e">
        <f>#REF!+";Hb!$x_"</f>
        <v>#REF!</v>
      </c>
      <c r="DS60" t="e">
        <f>#REF!+";Hb!$x`"</f>
        <v>#REF!</v>
      </c>
      <c r="DT60" t="e">
        <f>#REF!+";Hb!$xa"</f>
        <v>#REF!</v>
      </c>
      <c r="DU60" t="e">
        <f>#REF!+";Hb!$xb"</f>
        <v>#REF!</v>
      </c>
      <c r="DV60" t="e">
        <f>#REF!+";Hb!$xc"</f>
        <v>#REF!</v>
      </c>
      <c r="DW60" t="e">
        <f>#REF!+";Hb!$xd"</f>
        <v>#REF!</v>
      </c>
      <c r="DX60" t="e">
        <f>#REF!+";Hb!$xe"</f>
        <v>#REF!</v>
      </c>
      <c r="DY60" t="e">
        <f>#REF!+";Hb!$xf"</f>
        <v>#REF!</v>
      </c>
      <c r="DZ60" t="e">
        <f>#REF!+";Hb!$xg"</f>
        <v>#REF!</v>
      </c>
      <c r="EA60" t="e">
        <f>#REF!+";Hb!$xh"</f>
        <v>#REF!</v>
      </c>
      <c r="EB60" t="e">
        <f>#REF!+";Hb!$xi"</f>
        <v>#REF!</v>
      </c>
      <c r="EC60" t="e">
        <f>#REF!+";Hb!$xj"</f>
        <v>#REF!</v>
      </c>
      <c r="ED60" t="e">
        <f>#REF!+";Hb!$xk"</f>
        <v>#REF!</v>
      </c>
      <c r="EE60" t="e">
        <f>#REF!+";Hb!$xl"</f>
        <v>#REF!</v>
      </c>
      <c r="EF60" t="e">
        <f>#REF!+";Hb!$xm"</f>
        <v>#REF!</v>
      </c>
      <c r="EG60" t="e">
        <f>#REF!+";Hb!$xn"</f>
        <v>#REF!</v>
      </c>
      <c r="EH60" t="e">
        <f>#REF!+";Hb!$xo"</f>
        <v>#REF!</v>
      </c>
      <c r="EI60" t="e">
        <f>#REF!+";Hb!$xp"</f>
        <v>#REF!</v>
      </c>
      <c r="EJ60" t="e">
        <f>#REF!+";Hb!$xq"</f>
        <v>#REF!</v>
      </c>
      <c r="EK60" t="e">
        <f>#REF!+";Hb!$xr"</f>
        <v>#REF!</v>
      </c>
      <c r="EL60" t="e">
        <f>#REF!+";Hb!$xs"</f>
        <v>#REF!</v>
      </c>
      <c r="EM60" t="e">
        <f>#REF!+";Hb!$xt"</f>
        <v>#REF!</v>
      </c>
      <c r="EN60" t="e">
        <f>#REF!+";Hb!$xu"</f>
        <v>#REF!</v>
      </c>
      <c r="EO60" t="e">
        <f>#REF!+";Hb!$xv"</f>
        <v>#REF!</v>
      </c>
      <c r="EP60" t="e">
        <f>#REF!+";Hb!$xw"</f>
        <v>#REF!</v>
      </c>
      <c r="EQ60" t="e">
        <f>#REF!+";Hb!$xx"</f>
        <v>#REF!</v>
      </c>
      <c r="ER60" t="e">
        <f>#REF!+";Hb!$xy"</f>
        <v>#REF!</v>
      </c>
      <c r="ES60" t="e">
        <f>#REF!+";Hb!$xz"</f>
        <v>#REF!</v>
      </c>
      <c r="ET60" t="e">
        <f>#REF!+";Hb!$x{"</f>
        <v>#REF!</v>
      </c>
      <c r="EU60" t="e">
        <f>#REF!+";Hb!$x|"</f>
        <v>#REF!</v>
      </c>
      <c r="EV60" t="e">
        <f>#REF!+";Hb!$x}"</f>
        <v>#REF!</v>
      </c>
      <c r="EW60" t="e">
        <f>#REF!+";Hb!$x~"</f>
        <v>#REF!</v>
      </c>
      <c r="EX60" t="e">
        <f>#REF!+";Hb!$y#"</f>
        <v>#REF!</v>
      </c>
      <c r="EY60" t="e">
        <f>#REF!+";Hb!$y$"</f>
        <v>#REF!</v>
      </c>
      <c r="EZ60" t="e">
        <f>#REF!+";Hb!$y%"</f>
        <v>#REF!</v>
      </c>
      <c r="FA60" t="e">
        <f>#REF!+";Hb!$y&amp;"</f>
        <v>#REF!</v>
      </c>
      <c r="FB60" t="e">
        <f>#REF!+";Hb!$y'"</f>
        <v>#REF!</v>
      </c>
      <c r="FC60" t="e">
        <f>#REF!+";Hb!$y("</f>
        <v>#REF!</v>
      </c>
      <c r="FD60" t="e">
        <f>#REF!+";Hb!$y)"</f>
        <v>#REF!</v>
      </c>
      <c r="FE60" t="e">
        <f>#REF!+";Hb!$y."</f>
        <v>#REF!</v>
      </c>
      <c r="FF60" t="e">
        <f>#REF!+";Hb!$y/"</f>
        <v>#REF!</v>
      </c>
      <c r="FG60" t="e">
        <f>#REF!+";Hb!$y0"</f>
        <v>#REF!</v>
      </c>
      <c r="FH60" t="e">
        <f>#REF!+";Hb!$y1"</f>
        <v>#REF!</v>
      </c>
      <c r="FI60" t="e">
        <f>#REF!+";Hb!$y2"</f>
        <v>#REF!</v>
      </c>
      <c r="FJ60" t="e">
        <f>#REF!+";Hb!$y3"</f>
        <v>#REF!</v>
      </c>
      <c r="FK60" t="e">
        <f>#REF!+";Hb!$y4"</f>
        <v>#REF!</v>
      </c>
      <c r="FL60" t="e">
        <f>#REF!+";Hb!$y5"</f>
        <v>#REF!</v>
      </c>
      <c r="FM60" t="e">
        <f>#REF!+";Hb!$y6"</f>
        <v>#REF!</v>
      </c>
      <c r="FN60" t="e">
        <f>#REF!+";Hb!$y7"</f>
        <v>#REF!</v>
      </c>
      <c r="FO60" t="e">
        <f>#REF!+";Hb!$y8"</f>
        <v>#REF!</v>
      </c>
      <c r="FP60" t="e">
        <f>#REF!+";Hb!$y9"</f>
        <v>#REF!</v>
      </c>
      <c r="FQ60" t="e">
        <f>#REF!+";Hb!$y:"</f>
        <v>#REF!</v>
      </c>
      <c r="FR60" t="e">
        <f>#REF!+";Hb!$y;"</f>
        <v>#REF!</v>
      </c>
      <c r="FS60" t="e">
        <f>#REF!+";Hb!$y&lt;"</f>
        <v>#REF!</v>
      </c>
      <c r="FT60" t="e">
        <f>#REF!+";Hb!$y="</f>
        <v>#REF!</v>
      </c>
      <c r="FU60" t="e">
        <f>#REF!+";Hb!$y&gt;"</f>
        <v>#REF!</v>
      </c>
      <c r="FV60" t="e">
        <f>#REF!+";Hb!$y?"</f>
        <v>#REF!</v>
      </c>
      <c r="FW60" t="e">
        <f>#REF!+";Hb!$y@"</f>
        <v>#REF!</v>
      </c>
      <c r="FX60" t="e">
        <f>#REF!+";Hb!$yA"</f>
        <v>#REF!</v>
      </c>
      <c r="FY60" t="e">
        <f>#REF!+";Hb!$yB"</f>
        <v>#REF!</v>
      </c>
      <c r="FZ60" t="e">
        <f>#REF!+";Hb!$yC"</f>
        <v>#REF!</v>
      </c>
      <c r="GA60" t="e">
        <f>#REF!+";Hb!$yD"</f>
        <v>#REF!</v>
      </c>
      <c r="GB60" t="e">
        <f>#REF!+";Hb!$yE"</f>
        <v>#REF!</v>
      </c>
      <c r="GC60" t="e">
        <f>#REF!+";Hb!$yF"</f>
        <v>#REF!</v>
      </c>
      <c r="GD60" t="e">
        <f>#REF!+";Hb!$yG"</f>
        <v>#REF!</v>
      </c>
      <c r="GE60" t="e">
        <f>#REF!+";Hb!$yH"</f>
        <v>#REF!</v>
      </c>
      <c r="GF60" t="e">
        <f>#REF!+";Hb!$yI"</f>
        <v>#REF!</v>
      </c>
      <c r="GG60" t="e">
        <f>#REF!+";Hb!$yJ"</f>
        <v>#REF!</v>
      </c>
      <c r="GH60" t="e">
        <f>#REF!+";Hb!$yK"</f>
        <v>#REF!</v>
      </c>
      <c r="GI60" t="e">
        <f>#REF!+";Hb!$yL"</f>
        <v>#REF!</v>
      </c>
      <c r="GJ60" t="e">
        <f>#REF!+";Hb!$yM"</f>
        <v>#REF!</v>
      </c>
      <c r="GK60" t="e">
        <f>#REF!+";Hb!$yN"</f>
        <v>#REF!</v>
      </c>
      <c r="GL60" t="e">
        <f>#REF!+";Hb!$yO"</f>
        <v>#REF!</v>
      </c>
      <c r="GM60" t="e">
        <f>#REF!+";Hb!$yP"</f>
        <v>#REF!</v>
      </c>
      <c r="GN60" t="e">
        <f>#REF!+";Hb!$yQ"</f>
        <v>#REF!</v>
      </c>
      <c r="GO60" t="e">
        <f>#REF!+";Hb!$yR"</f>
        <v>#REF!</v>
      </c>
      <c r="GP60" t="e">
        <f>#REF!+";Hb!$yS"</f>
        <v>#REF!</v>
      </c>
      <c r="GQ60" t="e">
        <f>#REF!+";Hb!$yT"</f>
        <v>#REF!</v>
      </c>
      <c r="GR60" t="e">
        <f>#REF!+";Hb!$yU"</f>
        <v>#REF!</v>
      </c>
      <c r="GS60" t="e">
        <f>#REF!+";Hb!$yV"</f>
        <v>#REF!</v>
      </c>
      <c r="GT60" t="e">
        <f>#REF!+";Hb!$yW"</f>
        <v>#REF!</v>
      </c>
      <c r="GU60" t="e">
        <f>#REF!+";Hb!$yX"</f>
        <v>#REF!</v>
      </c>
      <c r="GV60" t="e">
        <f>#REF!+";Hb!$yY"</f>
        <v>#REF!</v>
      </c>
      <c r="GW60" t="e">
        <f>#REF!+";Hb!$yZ"</f>
        <v>#REF!</v>
      </c>
      <c r="GX60" t="e">
        <f>#REF!+";Hb!$y["</f>
        <v>#REF!</v>
      </c>
      <c r="GY60" t="e">
        <f>#REF!+";Hb!$y\"</f>
        <v>#REF!</v>
      </c>
      <c r="GZ60" t="e">
        <f>#REF!+";Hb!$y]"</f>
        <v>#REF!</v>
      </c>
      <c r="HA60" t="e">
        <f>#REF!+";Hb!$y^"</f>
        <v>#REF!</v>
      </c>
      <c r="HB60" t="e">
        <f>#REF!+";Hb!$y_"</f>
        <v>#REF!</v>
      </c>
      <c r="HC60" t="e">
        <f>#REF!+";Hb!$y`"</f>
        <v>#REF!</v>
      </c>
      <c r="HD60" t="e">
        <f>#REF!+";Hb!$ya"</f>
        <v>#REF!</v>
      </c>
      <c r="HE60" t="e">
        <f>#REF!+";Hb!$yb"</f>
        <v>#REF!</v>
      </c>
      <c r="HF60" t="e">
        <f>#REF!+";Hb!$yc"</f>
        <v>#REF!</v>
      </c>
      <c r="HG60" t="e">
        <f>#REF!+";Hb!$yd"</f>
        <v>#REF!</v>
      </c>
      <c r="HH60" t="e">
        <f>#REF!+";Hb!$ye"</f>
        <v>#REF!</v>
      </c>
      <c r="HI60" t="e">
        <f>#REF!+";Hb!$yf"</f>
        <v>#REF!</v>
      </c>
      <c r="HJ60" t="e">
        <f>#REF!+";Hb!$yg"</f>
        <v>#REF!</v>
      </c>
      <c r="HK60" t="e">
        <f>#REF!+";Hb!$yh"</f>
        <v>#REF!</v>
      </c>
      <c r="HL60" t="e">
        <f>#REF!+";Hb!$yi"</f>
        <v>#REF!</v>
      </c>
      <c r="HM60" t="e">
        <f>#REF!+";Hb!$yj"</f>
        <v>#REF!</v>
      </c>
      <c r="HN60" t="e">
        <f>#REF!+";Hb!$yk"</f>
        <v>#REF!</v>
      </c>
      <c r="HO60" t="e">
        <f>#REF!+";Hb!$yl"</f>
        <v>#REF!</v>
      </c>
      <c r="HP60" t="e">
        <f>#REF!+";Hb!$ym"</f>
        <v>#REF!</v>
      </c>
      <c r="HQ60" t="e">
        <f>#REF!+";Hb!$yn"</f>
        <v>#REF!</v>
      </c>
      <c r="HR60" t="e">
        <f>#REF!+";Hb!$yo"</f>
        <v>#REF!</v>
      </c>
      <c r="HS60" t="e">
        <f>#REF!+";Hb!$yp"</f>
        <v>#REF!</v>
      </c>
      <c r="HT60" t="e">
        <f>#REF!+";Hb!$yq"</f>
        <v>#REF!</v>
      </c>
      <c r="HU60" t="e">
        <f>#REF!+";Hb!$yr"</f>
        <v>#REF!</v>
      </c>
      <c r="HV60" t="e">
        <f>#REF!+";Hb!$ys"</f>
        <v>#REF!</v>
      </c>
      <c r="HW60" t="e">
        <f>#REF!+";Hb!$yt"</f>
        <v>#REF!</v>
      </c>
      <c r="HX60" t="e">
        <f>#REF!+";Hb!$yu"</f>
        <v>#REF!</v>
      </c>
      <c r="HY60" t="e">
        <f>#REF!+";Hb!$yv"</f>
        <v>#REF!</v>
      </c>
      <c r="HZ60" t="e">
        <f>#REF!+";Hb!$yw"</f>
        <v>#REF!</v>
      </c>
      <c r="IA60" t="e">
        <f>#REF!+";Hb!$yx"</f>
        <v>#REF!</v>
      </c>
      <c r="IB60" t="e">
        <f>#REF!+";Hb!$yy"</f>
        <v>#REF!</v>
      </c>
      <c r="IC60" t="e">
        <f>#REF!+";Hb!$yz"</f>
        <v>#REF!</v>
      </c>
      <c r="ID60" t="e">
        <f>#REF!+";Hb!$y{"</f>
        <v>#REF!</v>
      </c>
      <c r="IE60" t="e">
        <f>#REF!+";Hb!$y|"</f>
        <v>#REF!</v>
      </c>
      <c r="IF60" t="e">
        <f>#REF!+";Hb!$y}"</f>
        <v>#REF!</v>
      </c>
      <c r="IG60" t="e">
        <f>#REF!+";Hb!$y~"</f>
        <v>#REF!</v>
      </c>
      <c r="IH60" t="e">
        <f>#REF!+";Hb!$z#"</f>
        <v>#REF!</v>
      </c>
      <c r="II60" t="e">
        <f>#REF!+";Hb!$z$"</f>
        <v>#REF!</v>
      </c>
      <c r="IJ60" t="e">
        <f>#REF!+";Hb!$z%"</f>
        <v>#REF!</v>
      </c>
      <c r="IK60" t="e">
        <f>#REF!+";Hb!$z&amp;"</f>
        <v>#REF!</v>
      </c>
      <c r="IL60" t="e">
        <f>#REF!+";Hb!$z'"</f>
        <v>#REF!</v>
      </c>
      <c r="IM60" t="e">
        <f>#REF!+";Hb!$z("</f>
        <v>#REF!</v>
      </c>
      <c r="IN60" t="e">
        <f>#REF!+";Hb!$z)"</f>
        <v>#REF!</v>
      </c>
      <c r="IO60" t="e">
        <f>#REF!+";Hb!$z."</f>
        <v>#REF!</v>
      </c>
      <c r="IP60" t="e">
        <f>#REF!+";Hb!$z/"</f>
        <v>#REF!</v>
      </c>
      <c r="IQ60" t="e">
        <f>#REF!+";Hb!$z0"</f>
        <v>#REF!</v>
      </c>
      <c r="IR60" t="e">
        <f>#REF!+";Hb!$z1"</f>
        <v>#REF!</v>
      </c>
      <c r="IS60" t="e">
        <f>#REF!+";Hb!$z2"</f>
        <v>#REF!</v>
      </c>
      <c r="IT60" t="e">
        <f>#REF!+";Hb!$z3"</f>
        <v>#REF!</v>
      </c>
      <c r="IU60" t="e">
        <f>#REF!+";Hb!$z4"</f>
        <v>#REF!</v>
      </c>
      <c r="IV60" t="e">
        <f>#REF!+";Hb!$z5"</f>
        <v>#REF!</v>
      </c>
    </row>
    <row r="61" spans="6:256" x14ac:dyDescent="0.25">
      <c r="F61" t="e">
        <f>#REF!+";Hb!$z6"</f>
        <v>#REF!</v>
      </c>
      <c r="G61" t="e">
        <f>#REF!+";Hb!$z7"</f>
        <v>#REF!</v>
      </c>
      <c r="H61" t="e">
        <f>#REF!+";Hb!$z8"</f>
        <v>#REF!</v>
      </c>
      <c r="I61" t="e">
        <f>#REF!+";Hb!$z9"</f>
        <v>#REF!</v>
      </c>
      <c r="J61" t="e">
        <f>#REF!+";Hb!$z:"</f>
        <v>#REF!</v>
      </c>
      <c r="K61" t="e">
        <f>#REF!+";Hb!$z;"</f>
        <v>#REF!</v>
      </c>
      <c r="L61" t="e">
        <f>#REF!+";Hb!$z&lt;"</f>
        <v>#REF!</v>
      </c>
      <c r="M61" t="e">
        <f>#REF!+";Hb!$z="</f>
        <v>#REF!</v>
      </c>
      <c r="N61" t="e">
        <f>#REF!+";Hb!$z&gt;"</f>
        <v>#REF!</v>
      </c>
      <c r="O61" t="e">
        <f>#REF!+";Hb!$z?"</f>
        <v>#REF!</v>
      </c>
      <c r="P61" t="e">
        <f>#REF!+";Hb!$z@"</f>
        <v>#REF!</v>
      </c>
      <c r="Q61" t="e">
        <f>#REF!+";Hb!$zA"</f>
        <v>#REF!</v>
      </c>
      <c r="R61" t="e">
        <f>#REF!+";Hb!$zB"</f>
        <v>#REF!</v>
      </c>
      <c r="S61" t="e">
        <f>#REF!+";Hb!$zC"</f>
        <v>#REF!</v>
      </c>
      <c r="T61" t="e">
        <f>#REF!+";Hb!$zD"</f>
        <v>#REF!</v>
      </c>
      <c r="U61" t="e">
        <f>#REF!+";Hb!$zE"</f>
        <v>#REF!</v>
      </c>
      <c r="V61" t="e">
        <f>#REF!+";Hb!$zF"</f>
        <v>#REF!</v>
      </c>
      <c r="W61" t="e">
        <f>#REF!+";Hb!$zG"</f>
        <v>#REF!</v>
      </c>
      <c r="X61" t="e">
        <f>#REF!+";Hb!$zH"</f>
        <v>#REF!</v>
      </c>
      <c r="Y61" t="e">
        <f>#REF!+";Hb!$zI"</f>
        <v>#REF!</v>
      </c>
      <c r="Z61" t="e">
        <f>#REF!+";Hb!$zJ"</f>
        <v>#REF!</v>
      </c>
      <c r="AA61" t="e">
        <f>#REF!+";Hb!$zK"</f>
        <v>#REF!</v>
      </c>
      <c r="AB61" t="e">
        <f>#REF!+";Hb!$zL"</f>
        <v>#REF!</v>
      </c>
      <c r="AC61" t="e">
        <f>#REF!+";Hb!$zM"</f>
        <v>#REF!</v>
      </c>
      <c r="AD61" t="e">
        <f>#REF!+";Hb!$zN"</f>
        <v>#REF!</v>
      </c>
      <c r="AE61" t="e">
        <f>#REF!+";Hb!$zO"</f>
        <v>#REF!</v>
      </c>
      <c r="AF61" t="e">
        <f>#REF!+";Hb!$zP"</f>
        <v>#REF!</v>
      </c>
      <c r="AG61" t="e">
        <f>#REF!+";Hb!$zQ"</f>
        <v>#REF!</v>
      </c>
      <c r="AH61" t="e">
        <f>#REF!+";Hb!$zR"</f>
        <v>#REF!</v>
      </c>
      <c r="AI61" t="e">
        <f>#REF!+";Hb!$zS"</f>
        <v>#REF!</v>
      </c>
      <c r="AJ61" t="e">
        <f>#REF!+";Hb!$zT"</f>
        <v>#REF!</v>
      </c>
      <c r="AK61" t="e">
        <f>#REF!+";Hb!$zU"</f>
        <v>#REF!</v>
      </c>
      <c r="AL61" t="e">
        <f>#REF!+";Hb!$zV"</f>
        <v>#REF!</v>
      </c>
      <c r="AM61" t="e">
        <f>#REF!+";Hb!$zW"</f>
        <v>#REF!</v>
      </c>
      <c r="AN61" t="e">
        <f>#REF!+";Hb!$zX"</f>
        <v>#REF!</v>
      </c>
      <c r="AO61" t="e">
        <f>#REF!+";Hb!$zY"</f>
        <v>#REF!</v>
      </c>
      <c r="AP61" t="e">
        <f>#REF!+";Hb!$zZ"</f>
        <v>#REF!</v>
      </c>
      <c r="AQ61" t="e">
        <f>#REF!+";Hb!$z["</f>
        <v>#REF!</v>
      </c>
      <c r="AR61" t="e">
        <f>#REF!+";Hb!$z\"</f>
        <v>#REF!</v>
      </c>
      <c r="AS61" t="e">
        <f>#REF!+";Hb!$z]"</f>
        <v>#REF!</v>
      </c>
      <c r="AT61" t="e">
        <f>#REF!+";Hb!$z^"</f>
        <v>#REF!</v>
      </c>
      <c r="AU61" t="e">
        <f>#REF!+";Hb!$z_"</f>
        <v>#REF!</v>
      </c>
      <c r="AV61" t="e">
        <f>#REF!+";Hb!$z`"</f>
        <v>#REF!</v>
      </c>
      <c r="AW61" t="e">
        <f>#REF!+";Hb!$za"</f>
        <v>#REF!</v>
      </c>
      <c r="AX61" t="e">
        <f>#REF!+";Hb!$zb"</f>
        <v>#REF!</v>
      </c>
      <c r="AY61" t="e">
        <f>#REF!+";Hb!$zc"</f>
        <v>#REF!</v>
      </c>
      <c r="AZ61" t="e">
        <f>#REF!+";Hb!$zd"</f>
        <v>#REF!</v>
      </c>
      <c r="BA61" t="e">
        <f>#REF!+";Hb!$ze"</f>
        <v>#REF!</v>
      </c>
      <c r="BB61" t="e">
        <f>#REF!+";Hb!$zf"</f>
        <v>#REF!</v>
      </c>
      <c r="BC61" t="e">
        <f>#REF!+";Hb!$zg"</f>
        <v>#REF!</v>
      </c>
      <c r="BD61" t="e">
        <f>#REF!+";Hb!$zh"</f>
        <v>#REF!</v>
      </c>
      <c r="BE61" t="e">
        <f>#REF!+";Hb!$zi"</f>
        <v>#REF!</v>
      </c>
      <c r="BF61" t="e">
        <f>#REF!+";Hb!$zj"</f>
        <v>#REF!</v>
      </c>
      <c r="BG61" t="e">
        <f>#REF!+";Hb!$zk"</f>
        <v>#REF!</v>
      </c>
      <c r="BH61" t="e">
        <f>#REF!+";Hb!$zl"</f>
        <v>#REF!</v>
      </c>
      <c r="BI61" t="e">
        <f>#REF!+";Hb!$zm"</f>
        <v>#REF!</v>
      </c>
      <c r="BJ61" t="e">
        <f>#REF!+";Hb!$zn"</f>
        <v>#REF!</v>
      </c>
      <c r="BK61" t="e">
        <f>#REF!+";Hb!$zo"</f>
        <v>#REF!</v>
      </c>
      <c r="BL61" t="e">
        <f>#REF!+";Hb!$zp"</f>
        <v>#REF!</v>
      </c>
      <c r="BM61" t="e">
        <f>#REF!+";Hb!$zq"</f>
        <v>#REF!</v>
      </c>
      <c r="BN61" t="e">
        <f>#REF!+";Hb!$zr"</f>
        <v>#REF!</v>
      </c>
      <c r="BO61" t="e">
        <f>#REF!+";Hb!$zs"</f>
        <v>#REF!</v>
      </c>
      <c r="BP61" t="e">
        <f>#REF!+";Hb!$zt"</f>
        <v>#REF!</v>
      </c>
      <c r="BQ61" t="e">
        <f>#REF!+";Hb!$zu"</f>
        <v>#REF!</v>
      </c>
      <c r="BR61" t="e">
        <f>#REF!+";Hb!$zv"</f>
        <v>#REF!</v>
      </c>
      <c r="BS61" t="e">
        <f>#REF!+";Hb!$zw"</f>
        <v>#REF!</v>
      </c>
      <c r="BT61" t="e">
        <f>#REF!+";Hb!$zx"</f>
        <v>#REF!</v>
      </c>
      <c r="BU61" t="e">
        <f>#REF!+";Hb!$zy"</f>
        <v>#REF!</v>
      </c>
      <c r="BV61" t="e">
        <f>#REF!+";Hb!$zz"</f>
        <v>#REF!</v>
      </c>
      <c r="BW61" t="e">
        <f>#REF!+";Hb!$z{"</f>
        <v>#REF!</v>
      </c>
      <c r="BX61" t="e">
        <f>#REF!+";Hb!$z|"</f>
        <v>#REF!</v>
      </c>
      <c r="BY61" t="e">
        <f>#REF!+";Hb!$z}"</f>
        <v>#REF!</v>
      </c>
      <c r="BZ61" t="e">
        <f>#REF!+";Hb!$z~"</f>
        <v>#REF!</v>
      </c>
      <c r="CA61" t="e">
        <f>#REF!+";Hb!${#"</f>
        <v>#REF!</v>
      </c>
      <c r="CB61" t="e">
        <f>#REF!+";Hb!${$"</f>
        <v>#REF!</v>
      </c>
      <c r="CC61" t="e">
        <f>#REF!+";Hb!${%"</f>
        <v>#REF!</v>
      </c>
      <c r="CD61" t="e">
        <f>#REF!+";Hb!${&amp;"</f>
        <v>#REF!</v>
      </c>
      <c r="CE61" t="e">
        <f>#REF!+";Hb!${'"</f>
        <v>#REF!</v>
      </c>
      <c r="CF61" t="e">
        <f>#REF!+";Hb!${("</f>
        <v>#REF!</v>
      </c>
      <c r="CG61" t="e">
        <f>#REF!+";Hb!${)"</f>
        <v>#REF!</v>
      </c>
      <c r="CH61" t="e">
        <f>#REF!+";Hb!${."</f>
        <v>#REF!</v>
      </c>
      <c r="CI61" t="e">
        <f>#REF!+";Hb!${/"</f>
        <v>#REF!</v>
      </c>
      <c r="CJ61" t="e">
        <f>#REF!+";Hb!${0"</f>
        <v>#REF!</v>
      </c>
      <c r="CK61" t="e">
        <f>#REF!+";Hb!${1"</f>
        <v>#REF!</v>
      </c>
      <c r="CL61" t="e">
        <f>#REF!+";Hb!${2"</f>
        <v>#REF!</v>
      </c>
      <c r="CM61" t="e">
        <f>#REF!+";Hb!${3"</f>
        <v>#REF!</v>
      </c>
      <c r="CN61" t="e">
        <f>#REF!+";Hb!${4"</f>
        <v>#REF!</v>
      </c>
      <c r="CO61" t="e">
        <f>#REF!+";Hb!${5"</f>
        <v>#REF!</v>
      </c>
      <c r="CP61" t="e">
        <f>#REF!+";Hb!${6"</f>
        <v>#REF!</v>
      </c>
      <c r="CQ61" t="e">
        <f>#REF!+";Hb!${7"</f>
        <v>#REF!</v>
      </c>
      <c r="CR61" t="e">
        <f>#REF!+";Hb!${8"</f>
        <v>#REF!</v>
      </c>
      <c r="CS61" t="e">
        <f>#REF!+";Hb!${9"</f>
        <v>#REF!</v>
      </c>
      <c r="CT61" t="e">
        <f>#REF!+";Hb!${:"</f>
        <v>#REF!</v>
      </c>
      <c r="CU61" t="e">
        <f>#REF!+";Hb!${;"</f>
        <v>#REF!</v>
      </c>
      <c r="CV61" t="e">
        <f>#REF!+";Hb!${&lt;"</f>
        <v>#REF!</v>
      </c>
      <c r="CW61" t="e">
        <f>#REF!+";Hb!${="</f>
        <v>#REF!</v>
      </c>
      <c r="CX61" t="e">
        <f>#REF!+";Hb!${&gt;"</f>
        <v>#REF!</v>
      </c>
      <c r="CY61" t="e">
        <f>#REF!+";Hb!${?"</f>
        <v>#REF!</v>
      </c>
      <c r="CZ61" t="e">
        <f>#REF!+";Hb!${@"</f>
        <v>#REF!</v>
      </c>
      <c r="DA61" t="e">
        <f>#REF!+";Hb!${A"</f>
        <v>#REF!</v>
      </c>
      <c r="DB61" t="e">
        <f>#REF!+";Hb!${B"</f>
        <v>#REF!</v>
      </c>
      <c r="DC61" t="e">
        <f>#REF!+";Hb!${C"</f>
        <v>#REF!</v>
      </c>
      <c r="DD61" t="e">
        <f>#REF!+";Hb!${D"</f>
        <v>#REF!</v>
      </c>
      <c r="DE61" t="e">
        <f>#REF!+";Hb!${E"</f>
        <v>#REF!</v>
      </c>
      <c r="DF61" t="e">
        <f>#REF!+";Hb!${F"</f>
        <v>#REF!</v>
      </c>
      <c r="DG61" t="e">
        <f>#REF!+";Hb!${G"</f>
        <v>#REF!</v>
      </c>
      <c r="DH61" t="e">
        <f>#REF!+";Hb!${H"</f>
        <v>#REF!</v>
      </c>
      <c r="DI61" t="e">
        <f>#REF!+";Hb!${I"</f>
        <v>#REF!</v>
      </c>
      <c r="DJ61" t="e">
        <f>#REF!+";Hb!${J"</f>
        <v>#REF!</v>
      </c>
      <c r="DK61" t="e">
        <f>#REF!+";Hb!${K"</f>
        <v>#REF!</v>
      </c>
      <c r="DL61" t="e">
        <f>#REF!+";Hb!${L"</f>
        <v>#REF!</v>
      </c>
      <c r="DM61" t="e">
        <f>#REF!+";Hb!${M"</f>
        <v>#REF!</v>
      </c>
      <c r="DN61" t="e">
        <f>#REF!+";Hb!${N"</f>
        <v>#REF!</v>
      </c>
      <c r="DO61" t="e">
        <f>#REF!+";Hb!${O"</f>
        <v>#REF!</v>
      </c>
      <c r="DP61" t="e">
        <f>#REF!+";Hb!${P"</f>
        <v>#REF!</v>
      </c>
      <c r="DQ61" t="e">
        <f>#REF!+";Hb!${Q"</f>
        <v>#REF!</v>
      </c>
      <c r="DR61" t="e">
        <f>#REF!+";Hb!${R"</f>
        <v>#REF!</v>
      </c>
      <c r="DS61" t="e">
        <f>#REF!+";Hb!${S"</f>
        <v>#REF!</v>
      </c>
      <c r="DT61" t="e">
        <f>#REF!+";Hb!${T"</f>
        <v>#REF!</v>
      </c>
      <c r="DU61" t="e">
        <f>#REF!+";Hb!${U"</f>
        <v>#REF!</v>
      </c>
      <c r="DV61" t="e">
        <f>#REF!+";Hb!${V"</f>
        <v>#REF!</v>
      </c>
      <c r="DW61" t="e">
        <f>#REF!+";Hb!${W"</f>
        <v>#REF!</v>
      </c>
      <c r="DX61" t="e">
        <f>#REF!+";Hb!${X"</f>
        <v>#REF!</v>
      </c>
      <c r="DY61" t="e">
        <f>#REF!+";Hb!${Y"</f>
        <v>#REF!</v>
      </c>
      <c r="DZ61" t="e">
        <f>#REF!+";Hb!${Z"</f>
        <v>#REF!</v>
      </c>
      <c r="EA61" t="e">
        <f>#REF!+";Hb!${["</f>
        <v>#REF!</v>
      </c>
      <c r="EB61" t="e">
        <f>#REF!+";Hb!${\"</f>
        <v>#REF!</v>
      </c>
      <c r="EC61" t="e">
        <f>#REF!+";Hb!${]"</f>
        <v>#REF!</v>
      </c>
      <c r="ED61" t="e">
        <f>#REF!+";Hb!${^"</f>
        <v>#REF!</v>
      </c>
      <c r="EE61" t="e">
        <f>#REF!+";Hb!${_"</f>
        <v>#REF!</v>
      </c>
      <c r="EF61" t="e">
        <f>#REF!+";Hb!${`"</f>
        <v>#REF!</v>
      </c>
      <c r="EG61" t="e">
        <f>#REF!+";Hb!${a"</f>
        <v>#REF!</v>
      </c>
      <c r="EH61" t="e">
        <f>#REF!+";Hb!${b"</f>
        <v>#REF!</v>
      </c>
      <c r="EI61" t="e">
        <f>#REF!+";Hb!${c"</f>
        <v>#REF!</v>
      </c>
      <c r="EJ61" t="e">
        <f>#REF!+";Hb!${d"</f>
        <v>#REF!</v>
      </c>
      <c r="EK61" t="e">
        <f>#REF!+";Hb!${e"</f>
        <v>#REF!</v>
      </c>
      <c r="EL61" t="e">
        <f>#REF!+";Hb!${f"</f>
        <v>#REF!</v>
      </c>
      <c r="EM61" t="e">
        <f>#REF!+";Hb!${g"</f>
        <v>#REF!</v>
      </c>
      <c r="EN61" t="e">
        <f>#REF!+";Hb!${h"</f>
        <v>#REF!</v>
      </c>
      <c r="EO61" t="e">
        <f>#REF!+";Hb!${i"</f>
        <v>#REF!</v>
      </c>
      <c r="EP61" t="e">
        <f>#REF!+";Hb!${j"</f>
        <v>#REF!</v>
      </c>
      <c r="EQ61" t="e">
        <f>#REF!+";Hb!${k"</f>
        <v>#REF!</v>
      </c>
      <c r="ER61" t="e">
        <f>#REF!+";Hb!${l"</f>
        <v>#REF!</v>
      </c>
      <c r="ES61" t="e">
        <f>#REF!+";Hb!${m"</f>
        <v>#REF!</v>
      </c>
      <c r="ET61" t="e">
        <f>#REF!+";Hb!${n"</f>
        <v>#REF!</v>
      </c>
      <c r="EU61" t="e">
        <f>#REF!+";Hb!${o"</f>
        <v>#REF!</v>
      </c>
      <c r="EV61" t="e">
        <f>#REF!+";Hb!${p"</f>
        <v>#REF!</v>
      </c>
      <c r="EW61" t="e">
        <f>#REF!+";Hb!${q"</f>
        <v>#REF!</v>
      </c>
      <c r="EX61" t="e">
        <f>#REF!+";Hb!${r"</f>
        <v>#REF!</v>
      </c>
      <c r="EY61" t="e">
        <f>#REF!+";Hb!${s"</f>
        <v>#REF!</v>
      </c>
      <c r="EZ61" t="e">
        <f>#REF!+";Hb!${t"</f>
        <v>#REF!</v>
      </c>
      <c r="FA61" t="e">
        <f>#REF!+";Hb!${u"</f>
        <v>#REF!</v>
      </c>
      <c r="FB61" t="e">
        <f>#REF!+";Hb!${v"</f>
        <v>#REF!</v>
      </c>
      <c r="FC61" t="e">
        <f>#REF!+";Hb!${w"</f>
        <v>#REF!</v>
      </c>
      <c r="FD61" t="e">
        <f>#REF!+";Hb!${x"</f>
        <v>#REF!</v>
      </c>
      <c r="FE61" t="e">
        <f>#REF!+";Hb!${y"</f>
        <v>#REF!</v>
      </c>
      <c r="FF61" t="e">
        <f>#REF!+";Hb!${z"</f>
        <v>#REF!</v>
      </c>
      <c r="FG61" t="e">
        <f>#REF!+";Hb!${{"</f>
        <v>#REF!</v>
      </c>
      <c r="FH61" t="e">
        <f>#REF!+";Hb!${|"</f>
        <v>#REF!</v>
      </c>
      <c r="FI61" t="e">
        <f>#REF!+";Hb!${}"</f>
        <v>#REF!</v>
      </c>
      <c r="FJ61" t="e">
        <f>#REF!+";Hb!${~"</f>
        <v>#REF!</v>
      </c>
      <c r="FK61" t="e">
        <f>#REF!+";Hb!$|#"</f>
        <v>#REF!</v>
      </c>
      <c r="FL61" t="e">
        <f>#REF!+";Hb!$|$"</f>
        <v>#REF!</v>
      </c>
      <c r="FM61" t="e">
        <f>#REF!+";Hb!$|%"</f>
        <v>#REF!</v>
      </c>
      <c r="FN61" t="e">
        <f>#REF!+";Hb!$|&amp;"</f>
        <v>#REF!</v>
      </c>
      <c r="FO61" t="e">
        <f>#REF!+";Hb!$|'"</f>
        <v>#REF!</v>
      </c>
      <c r="FP61" t="e">
        <f>#REF!+";Hb!$|("</f>
        <v>#REF!</v>
      </c>
      <c r="FQ61" t="e">
        <f>#REF!+";Hb!$|)"</f>
        <v>#REF!</v>
      </c>
      <c r="FR61" t="e">
        <f>#REF!+";Hb!$|."</f>
        <v>#REF!</v>
      </c>
      <c r="FS61" t="e">
        <f>#REF!+";Hb!$|/"</f>
        <v>#REF!</v>
      </c>
      <c r="FT61" t="e">
        <f>#REF!+";Hb!$|0"</f>
        <v>#REF!</v>
      </c>
      <c r="FU61" t="e">
        <f>#REF!+";Hb!$|1"</f>
        <v>#REF!</v>
      </c>
      <c r="FV61" t="e">
        <f>#REF!+";Hb!$|2"</f>
        <v>#REF!</v>
      </c>
      <c r="FW61" t="e">
        <f>#REF!+";Hb!$|3"</f>
        <v>#REF!</v>
      </c>
      <c r="FX61" t="e">
        <f>#REF!+";Hb!$|4"</f>
        <v>#REF!</v>
      </c>
      <c r="FY61" t="e">
        <f>#REF!+";Hb!$|5"</f>
        <v>#REF!</v>
      </c>
      <c r="FZ61" t="e">
        <f>#REF!+";Hb!$|6"</f>
        <v>#REF!</v>
      </c>
      <c r="GA61" t="e">
        <f>#REF!+";Hb!$|7"</f>
        <v>#REF!</v>
      </c>
      <c r="GB61" t="e">
        <f>#REF!+";Hb!$|8"</f>
        <v>#REF!</v>
      </c>
      <c r="GC61" t="e">
        <f>#REF!+";Hb!$|9"</f>
        <v>#REF!</v>
      </c>
      <c r="GD61" t="e">
        <f>#REF!+";Hb!$|:"</f>
        <v>#REF!</v>
      </c>
      <c r="GE61" t="e">
        <f>#REF!+";Hb!$|;"</f>
        <v>#REF!</v>
      </c>
      <c r="GF61" t="e">
        <f>#REF!+";Hb!$|&lt;"</f>
        <v>#REF!</v>
      </c>
      <c r="GG61" t="e">
        <f>#REF!+";Hb!$|="</f>
        <v>#REF!</v>
      </c>
      <c r="GH61" t="e">
        <f>#REF!+";Hb!$|&gt;"</f>
        <v>#REF!</v>
      </c>
      <c r="GI61" t="e">
        <f>#REF!+";Hb!$|?"</f>
        <v>#REF!</v>
      </c>
      <c r="GJ61" t="e">
        <f>#REF!+";Hb!$|@"</f>
        <v>#REF!</v>
      </c>
      <c r="GK61" t="e">
        <f>#REF!+";Hb!$|A"</f>
        <v>#REF!</v>
      </c>
      <c r="GL61" t="e">
        <f>#REF!+";Hb!$|B"</f>
        <v>#REF!</v>
      </c>
      <c r="GM61" t="e">
        <f>#REF!+";Hb!$|C"</f>
        <v>#REF!</v>
      </c>
      <c r="GN61" t="e">
        <f>#REF!+";Hb!$|D"</f>
        <v>#REF!</v>
      </c>
      <c r="GO61" t="e">
        <f>#REF!+";Hb!$|E"</f>
        <v>#REF!</v>
      </c>
      <c r="GP61" t="e">
        <f>#REF!+";Hb!$|F"</f>
        <v>#REF!</v>
      </c>
      <c r="GQ61" t="e">
        <f>#REF!+";Hb!$|G"</f>
        <v>#REF!</v>
      </c>
      <c r="GR61" t="e">
        <f>#REF!+";Hb!$|H"</f>
        <v>#REF!</v>
      </c>
      <c r="GS61" t="e">
        <f>#REF!+";Hb!$|I"</f>
        <v>#REF!</v>
      </c>
      <c r="GT61" t="e">
        <f>#REF!+";Hb!$|J"</f>
        <v>#REF!</v>
      </c>
      <c r="GU61" t="e">
        <f>#REF!+";Hb!$|K"</f>
        <v>#REF!</v>
      </c>
      <c r="GV61" t="e">
        <f>#REF!+";Hb!$|L"</f>
        <v>#REF!</v>
      </c>
      <c r="GW61" t="e">
        <f>#REF!+";Hb!$|M"</f>
        <v>#REF!</v>
      </c>
      <c r="GX61" t="e">
        <f>#REF!+";Hb!$|N"</f>
        <v>#REF!</v>
      </c>
      <c r="GY61" t="e">
        <f>#REF!+";Hb!$|O"</f>
        <v>#REF!</v>
      </c>
      <c r="GZ61" t="e">
        <f>#REF!+";Hb!$|P"</f>
        <v>#REF!</v>
      </c>
      <c r="HA61" t="e">
        <f>#REF!+";Hb!$|Q"</f>
        <v>#REF!</v>
      </c>
      <c r="HB61" t="e">
        <f>#REF!+";Hb!$|R"</f>
        <v>#REF!</v>
      </c>
      <c r="HC61" t="e">
        <f>#REF!+";Hb!$|S"</f>
        <v>#REF!</v>
      </c>
      <c r="HD61" t="e">
        <f>#REF!+";Hb!$|T"</f>
        <v>#REF!</v>
      </c>
      <c r="HE61" t="e">
        <f>#REF!+";Hb!$|U"</f>
        <v>#REF!</v>
      </c>
      <c r="HF61" t="e">
        <f>#REF!+";Hb!$|V"</f>
        <v>#REF!</v>
      </c>
      <c r="HG61" t="e">
        <f>#REF!+";Hb!$|W"</f>
        <v>#REF!</v>
      </c>
      <c r="HH61" t="e">
        <f>#REF!+";Hb!$|X"</f>
        <v>#REF!</v>
      </c>
      <c r="HI61" t="e">
        <f>#REF!+";Hb!$|Y"</f>
        <v>#REF!</v>
      </c>
      <c r="HJ61" t="e">
        <f>#REF!+";Hb!$|Z"</f>
        <v>#REF!</v>
      </c>
      <c r="HK61" t="e">
        <f>#REF!+";Hb!$|["</f>
        <v>#REF!</v>
      </c>
      <c r="HL61" t="e">
        <f>#REF!+";Hb!$|\"</f>
        <v>#REF!</v>
      </c>
      <c r="HM61" t="e">
        <f>#REF!+";Hb!$|]"</f>
        <v>#REF!</v>
      </c>
      <c r="HN61" t="e">
        <f>#REF!+";Hb!$|^"</f>
        <v>#REF!</v>
      </c>
      <c r="HO61" t="e">
        <f>#REF!+";Hb!$|_"</f>
        <v>#REF!</v>
      </c>
      <c r="HP61" t="e">
        <f>#REF!+";Hb!$|`"</f>
        <v>#REF!</v>
      </c>
      <c r="HQ61" t="e">
        <f>#REF!+";Hb!$|a"</f>
        <v>#REF!</v>
      </c>
      <c r="HR61" t="e">
        <f>#REF!+";Hb!$|b"</f>
        <v>#REF!</v>
      </c>
      <c r="HS61" t="e">
        <f>#REF!+";Hb!$|c"</f>
        <v>#REF!</v>
      </c>
      <c r="HT61" t="e">
        <f>#REF!+";Hb!$|d"</f>
        <v>#REF!</v>
      </c>
      <c r="HU61" t="e">
        <f>#REF!+";Hb!$|e"</f>
        <v>#REF!</v>
      </c>
      <c r="HV61" t="e">
        <f>#REF!+";Hb!$|f"</f>
        <v>#REF!</v>
      </c>
      <c r="HW61" t="e">
        <f>#REF!+";Hb!$|g"</f>
        <v>#REF!</v>
      </c>
      <c r="HX61" t="e">
        <f>#REF!+";Hb!$|h"</f>
        <v>#REF!</v>
      </c>
      <c r="HY61" t="e">
        <f>#REF!+";Hb!$|i"</f>
        <v>#REF!</v>
      </c>
      <c r="HZ61" t="e">
        <f>#REF!+";Hb!$|j"</f>
        <v>#REF!</v>
      </c>
      <c r="IA61" t="e">
        <f>#REF!+";Hb!$|k"</f>
        <v>#REF!</v>
      </c>
      <c r="IB61" t="e">
        <f>#REF!+";Hb!$|l"</f>
        <v>#REF!</v>
      </c>
      <c r="IC61" t="e">
        <f>#REF!+";Hb!$|m"</f>
        <v>#REF!</v>
      </c>
      <c r="ID61" t="e">
        <f>#REF!+";Hb!$|n"</f>
        <v>#REF!</v>
      </c>
      <c r="IE61" t="e">
        <f>#REF!+";Hb!$|o"</f>
        <v>#REF!</v>
      </c>
      <c r="IF61" t="e">
        <f>#REF!+";Hb!$|p"</f>
        <v>#REF!</v>
      </c>
      <c r="IG61" t="e">
        <f>#REF!+";Hb!$|q"</f>
        <v>#REF!</v>
      </c>
      <c r="IH61" t="e">
        <f>#REF!+";Hb!$|r"</f>
        <v>#REF!</v>
      </c>
      <c r="II61" t="e">
        <f>#REF!+";Hb!$|s"</f>
        <v>#REF!</v>
      </c>
      <c r="IJ61" t="e">
        <f>#REF!+";Hb!$|t"</f>
        <v>#REF!</v>
      </c>
      <c r="IK61" t="e">
        <f>#REF!+";Hb!$|u"</f>
        <v>#REF!</v>
      </c>
      <c r="IL61" t="e">
        <f>#REF!+";Hb!$|v"</f>
        <v>#REF!</v>
      </c>
      <c r="IM61" t="e">
        <f>#REF!+";Hb!$|w"</f>
        <v>#REF!</v>
      </c>
      <c r="IN61" t="e">
        <f>#REF!+";Hb!$|x"</f>
        <v>#REF!</v>
      </c>
      <c r="IO61" t="e">
        <f>#REF!+";Hb!$|y"</f>
        <v>#REF!</v>
      </c>
      <c r="IP61" t="e">
        <f>#REF!+";Hb!$|z"</f>
        <v>#REF!</v>
      </c>
      <c r="IQ61" t="e">
        <f>#REF!+";Hb!$|{"</f>
        <v>#REF!</v>
      </c>
      <c r="IR61" t="e">
        <f>#REF!+";Hb!$||"</f>
        <v>#REF!</v>
      </c>
      <c r="IS61" t="e">
        <f>#REF!+";Hb!$|}"</f>
        <v>#REF!</v>
      </c>
      <c r="IT61" t="e">
        <f>#REF!+";Hb!$|~"</f>
        <v>#REF!</v>
      </c>
      <c r="IU61" t="e">
        <f>#REF!+";Hb!$}#"</f>
        <v>#REF!</v>
      </c>
      <c r="IV61" t="e">
        <f>#REF!+";Hb!$}$"</f>
        <v>#REF!</v>
      </c>
    </row>
    <row r="62" spans="6:256" x14ac:dyDescent="0.25">
      <c r="F62" t="e">
        <f>#REF!+";Hb!$}%"</f>
        <v>#REF!</v>
      </c>
      <c r="G62" t="e">
        <f>#REF!+";Hb!$}&amp;"</f>
        <v>#REF!</v>
      </c>
      <c r="H62" t="e">
        <f>#REF!+";Hb!$}'"</f>
        <v>#REF!</v>
      </c>
      <c r="I62" t="e">
        <f>#REF!+";Hb!$}("</f>
        <v>#REF!</v>
      </c>
      <c r="J62" t="e">
        <f>#REF!+";Hb!$})"</f>
        <v>#REF!</v>
      </c>
      <c r="K62" t="e">
        <f>#REF!+";Hb!$}."</f>
        <v>#REF!</v>
      </c>
      <c r="L62" t="e">
        <f>#REF!+";Hb!$}/"</f>
        <v>#REF!</v>
      </c>
      <c r="M62" t="e">
        <f>#REF!+";Hb!$}0"</f>
        <v>#REF!</v>
      </c>
      <c r="N62" t="e">
        <f>#REF!+";Hb!$}1"</f>
        <v>#REF!</v>
      </c>
      <c r="O62" t="e">
        <f>#REF!+";Hb!$}2"</f>
        <v>#REF!</v>
      </c>
      <c r="P62" t="e">
        <f>#REF!+";Hb!$}3"</f>
        <v>#REF!</v>
      </c>
      <c r="Q62" t="e">
        <f>#REF!+";Hb!$}4"</f>
        <v>#REF!</v>
      </c>
      <c r="R62" t="e">
        <f>#REF!+";Hb!$}5"</f>
        <v>#REF!</v>
      </c>
      <c r="S62" t="e">
        <f>#REF!+";Hb!$}6"</f>
        <v>#REF!</v>
      </c>
      <c r="T62" t="e">
        <f>#REF!+";Hb!$}7"</f>
        <v>#REF!</v>
      </c>
      <c r="U62" t="e">
        <f>#REF!+";Hb!$}8"</f>
        <v>#REF!</v>
      </c>
      <c r="V62" t="e">
        <f>#REF!+";Hb!$}9"</f>
        <v>#REF!</v>
      </c>
      <c r="W62" t="e">
        <f>#REF!+";Hb!$}:"</f>
        <v>#REF!</v>
      </c>
      <c r="X62" t="e">
        <f>#REF!+";Hb!$};"</f>
        <v>#REF!</v>
      </c>
      <c r="Y62" t="e">
        <f>#REF!+";Hb!$}&lt;"</f>
        <v>#REF!</v>
      </c>
      <c r="Z62" t="e">
        <f>#REF!+";Hb!$}="</f>
        <v>#REF!</v>
      </c>
      <c r="AA62" t="e">
        <f>#REF!+";Hb!$}&gt;"</f>
        <v>#REF!</v>
      </c>
      <c r="AB62" t="e">
        <f>#REF!+";Hb!$}?"</f>
        <v>#REF!</v>
      </c>
      <c r="AC62" t="e">
        <f>#REF!+";Hb!$}@"</f>
        <v>#REF!</v>
      </c>
      <c r="AD62" t="e">
        <f>#REF!+";Hb!$}A"</f>
        <v>#REF!</v>
      </c>
      <c r="AE62" t="e">
        <f>#REF!+";Hb!$}B"</f>
        <v>#REF!</v>
      </c>
      <c r="AF62" t="e">
        <f>#REF!+";Hb!$}C"</f>
        <v>#REF!</v>
      </c>
      <c r="AG62" t="e">
        <f>#REF!+";Hb!$}D"</f>
        <v>#REF!</v>
      </c>
      <c r="AH62" t="e">
        <f>#REF!+";Hb!$}E"</f>
        <v>#REF!</v>
      </c>
      <c r="AI62" t="e">
        <f>#REF!+";Hb!$}F"</f>
        <v>#REF!</v>
      </c>
      <c r="AJ62" t="e">
        <f>#REF!+";Hb!$}G"</f>
        <v>#REF!</v>
      </c>
      <c r="AK62" t="e">
        <f>#REF!+";Hb!$}H"</f>
        <v>#REF!</v>
      </c>
      <c r="AL62" t="e">
        <f>#REF!+";Hb!$}I"</f>
        <v>#REF!</v>
      </c>
      <c r="AM62" t="e">
        <f>#REF!+";Hb!$}J"</f>
        <v>#REF!</v>
      </c>
      <c r="AN62" t="e">
        <f>#REF!+";Hb!$}K"</f>
        <v>#REF!</v>
      </c>
      <c r="AO62" t="e">
        <f>#REF!+";Hb!$}L"</f>
        <v>#REF!</v>
      </c>
      <c r="AP62" t="e">
        <f>#REF!+";Hb!$}M"</f>
        <v>#REF!</v>
      </c>
      <c r="AQ62" t="e">
        <f>#REF!+";Hb!$}N"</f>
        <v>#REF!</v>
      </c>
      <c r="AR62" t="e">
        <f>#REF!+";Hb!$}O"</f>
        <v>#REF!</v>
      </c>
      <c r="AS62" t="e">
        <f>#REF!+";Hb!$}P"</f>
        <v>#REF!</v>
      </c>
      <c r="AT62" t="e">
        <f>#REF!+";Hb!$}Q"</f>
        <v>#REF!</v>
      </c>
      <c r="AU62" t="e">
        <f>#REF!+";Hb!$}R"</f>
        <v>#REF!</v>
      </c>
      <c r="AV62" t="e">
        <f>#REF!+";Hb!$}S"</f>
        <v>#REF!</v>
      </c>
      <c r="AW62" t="e">
        <f>#REF!+";Hb!$}T"</f>
        <v>#REF!</v>
      </c>
      <c r="AX62" t="e">
        <f>#REF!+";Hb!$}U"</f>
        <v>#REF!</v>
      </c>
      <c r="AY62" t="e">
        <f>#REF!+";Hb!$}V"</f>
        <v>#REF!</v>
      </c>
      <c r="AZ62" t="e">
        <f>#REF!+";Hb!$}W"</f>
        <v>#REF!</v>
      </c>
      <c r="BA62" t="e">
        <f>#REF!+";Hb!$}X"</f>
        <v>#REF!</v>
      </c>
      <c r="BB62" t="e">
        <f>#REF!+";Hb!$}Y"</f>
        <v>#REF!</v>
      </c>
      <c r="BC62" t="e">
        <f>#REF!+";Hb!$}Z"</f>
        <v>#REF!</v>
      </c>
      <c r="BD62" t="e">
        <f>#REF!+";Hb!$}["</f>
        <v>#REF!</v>
      </c>
      <c r="BE62" t="e">
        <f>#REF!+";Hb!$}\"</f>
        <v>#REF!</v>
      </c>
      <c r="BF62" t="e">
        <f>#REF!+";Hb!$}]"</f>
        <v>#REF!</v>
      </c>
      <c r="BG62" t="e">
        <f>#REF!+";Hb!$}^"</f>
        <v>#REF!</v>
      </c>
      <c r="BH62" t="e">
        <f>#REF!+";Hb!$}_"</f>
        <v>#REF!</v>
      </c>
      <c r="BI62" t="e">
        <f>#REF!+";Hb!$}`"</f>
        <v>#REF!</v>
      </c>
      <c r="BJ62" t="e">
        <f>#REF!+";Hb!$}a"</f>
        <v>#REF!</v>
      </c>
      <c r="BK62" t="e">
        <f>#REF!+";Hb!$}b"</f>
        <v>#REF!</v>
      </c>
      <c r="BL62" t="e">
        <f>#REF!+";Hb!$}c"</f>
        <v>#REF!</v>
      </c>
      <c r="BM62" t="e">
        <f>#REF!+";Hb!$}d"</f>
        <v>#REF!</v>
      </c>
      <c r="BN62" t="e">
        <f>#REF!+";Hb!$}e"</f>
        <v>#REF!</v>
      </c>
      <c r="BO62" t="e">
        <f>#REF!+";Hb!$}f"</f>
        <v>#REF!</v>
      </c>
      <c r="BP62" t="e">
        <f>#REF!+";Hb!$}g"</f>
        <v>#REF!</v>
      </c>
      <c r="BQ62" t="e">
        <f>#REF!+";Hb!$}h"</f>
        <v>#REF!</v>
      </c>
      <c r="BR62" t="e">
        <f>#REF!+";Hb!$}i"</f>
        <v>#REF!</v>
      </c>
      <c r="BS62" t="e">
        <f>#REF!+";Hb!$}j"</f>
        <v>#REF!</v>
      </c>
      <c r="BT62" t="e">
        <f>#REF!+";Hb!$}k"</f>
        <v>#REF!</v>
      </c>
      <c r="BU62" t="e">
        <f>#REF!+";Hb!$}l"</f>
        <v>#REF!</v>
      </c>
      <c r="BV62" t="e">
        <f>#REF!+";Hb!$}m"</f>
        <v>#REF!</v>
      </c>
      <c r="BW62" t="e">
        <f>#REF!+";Hb!$}n"</f>
        <v>#REF!</v>
      </c>
      <c r="BX62" t="e">
        <f>#REF!+";Hb!$}o"</f>
        <v>#REF!</v>
      </c>
      <c r="BY62" t="e">
        <f>#REF!+";Hb!$}p"</f>
        <v>#REF!</v>
      </c>
      <c r="BZ62" t="e">
        <f>#REF!+";Hb!$}q"</f>
        <v>#REF!</v>
      </c>
      <c r="CA62" t="e">
        <f>#REF!+";Hb!$}r"</f>
        <v>#REF!</v>
      </c>
      <c r="CB62" t="e">
        <f>#REF!+";Hb!$}s"</f>
        <v>#REF!</v>
      </c>
      <c r="CC62" t="e">
        <f>#REF!+";Hb!$}t"</f>
        <v>#REF!</v>
      </c>
      <c r="CD62" t="e">
        <f>#REF!+";Hb!$}u"</f>
        <v>#REF!</v>
      </c>
      <c r="CE62" t="e">
        <f>#REF!+";Hb!$}v"</f>
        <v>#REF!</v>
      </c>
      <c r="CF62" t="e">
        <f>#REF!+";Hb!$}w"</f>
        <v>#REF!</v>
      </c>
      <c r="CG62" t="e">
        <f>#REF!+";Hb!$}x"</f>
        <v>#REF!</v>
      </c>
      <c r="CH62" t="e">
        <f>#REF!+";Hb!$}y"</f>
        <v>#REF!</v>
      </c>
      <c r="CI62" t="e">
        <f>#REF!+";Hb!$}z"</f>
        <v>#REF!</v>
      </c>
      <c r="CJ62" t="e">
        <f>#REF!+";Hb!$}{"</f>
        <v>#REF!</v>
      </c>
      <c r="CK62" t="e">
        <f>#REF!+";Hb!$}|"</f>
        <v>#REF!</v>
      </c>
      <c r="CL62" t="e">
        <f>#REF!+";Hb!$}}"</f>
        <v>#REF!</v>
      </c>
      <c r="CM62" t="e">
        <f>#REF!+";Hb!$}~"</f>
        <v>#REF!</v>
      </c>
      <c r="CN62" t="e">
        <f>#REF!+";Hb!$~#"</f>
        <v>#REF!</v>
      </c>
      <c r="CO62" t="e">
        <f>#REF!+";Hb!$~$"</f>
        <v>#REF!</v>
      </c>
      <c r="CP62" t="e">
        <f>#REF!+";Hb!$~%"</f>
        <v>#REF!</v>
      </c>
      <c r="CQ62" t="e">
        <f>#REF!+";Hb!$~&amp;"</f>
        <v>#REF!</v>
      </c>
      <c r="CR62" t="e">
        <f>#REF!+";Hb!$~'"</f>
        <v>#REF!</v>
      </c>
      <c r="CS62" t="e">
        <f>#REF!+";Hb!$~("</f>
        <v>#REF!</v>
      </c>
      <c r="CT62" t="e">
        <f>#REF!+";Hb!$~)"</f>
        <v>#REF!</v>
      </c>
      <c r="CU62" t="e">
        <f>#REF!+";Hb!$~."</f>
        <v>#REF!</v>
      </c>
      <c r="CV62" t="e">
        <f>#REF!+";Hb!$~/"</f>
        <v>#REF!</v>
      </c>
      <c r="CW62" t="e">
        <f>#REF!+";Hb!$~0"</f>
        <v>#REF!</v>
      </c>
      <c r="CX62" t="e">
        <f>#REF!+";Hb!$~1"</f>
        <v>#REF!</v>
      </c>
      <c r="CY62" t="e">
        <f>#REF!+";Hb!$~2"</f>
        <v>#REF!</v>
      </c>
      <c r="CZ62" t="e">
        <f>#REF!+";Hb!$~3"</f>
        <v>#REF!</v>
      </c>
      <c r="DA62" t="e">
        <f>#REF!+";Hb!$~4"</f>
        <v>#REF!</v>
      </c>
      <c r="DB62" t="e">
        <f>#REF!+";Hb!$~5"</f>
        <v>#REF!</v>
      </c>
      <c r="DC62" t="e">
        <f>#REF!+";Hb!$~6"</f>
        <v>#REF!</v>
      </c>
      <c r="DD62" t="e">
        <f>#REF!+";Hb!$~7"</f>
        <v>#REF!</v>
      </c>
      <c r="DE62" t="e">
        <f>#REF!+";Hb!$~8"</f>
        <v>#REF!</v>
      </c>
      <c r="DF62" t="e">
        <f>#REF!+";Hb!$~9"</f>
        <v>#REF!</v>
      </c>
      <c r="DG62" t="e">
        <f>#REF!+";Hb!$~:"</f>
        <v>#REF!</v>
      </c>
      <c r="DH62" t="e">
        <f>#REF!+";Hb!$~;"</f>
        <v>#REF!</v>
      </c>
      <c r="DI62" t="e">
        <f>#REF!+";Hb!$~&lt;"</f>
        <v>#REF!</v>
      </c>
      <c r="DJ62" t="e">
        <f>#REF!+";Hb!$~="</f>
        <v>#REF!</v>
      </c>
      <c r="DK62" t="e">
        <f>#REF!+";Hb!$~&gt;"</f>
        <v>#REF!</v>
      </c>
      <c r="DL62" t="e">
        <f>#REF!+";Hb!$~?"</f>
        <v>#REF!</v>
      </c>
      <c r="DM62" t="e">
        <f>#REF!+";Hb!$~@"</f>
        <v>#REF!</v>
      </c>
      <c r="DN62" t="e">
        <f>#REF!+";Hb!$~A"</f>
        <v>#REF!</v>
      </c>
      <c r="DO62" t="e">
        <f>#REF!+";Hb!$~B"</f>
        <v>#REF!</v>
      </c>
      <c r="DP62" t="e">
        <f>#REF!+";Hb!$~C"</f>
        <v>#REF!</v>
      </c>
      <c r="DQ62" t="e">
        <f>#REF!+";Hb!$~D"</f>
        <v>#REF!</v>
      </c>
      <c r="DR62" t="e">
        <f>#REF!+";Hb!$~E"</f>
        <v>#REF!</v>
      </c>
      <c r="DS62" t="e">
        <f>#REF!+";Hb!$~F"</f>
        <v>#REF!</v>
      </c>
      <c r="DT62" t="e">
        <f>#REF!+";Hb!$~G"</f>
        <v>#REF!</v>
      </c>
      <c r="DU62" t="e">
        <f>#REF!+";Hb!$~H"</f>
        <v>#REF!</v>
      </c>
      <c r="DV62" t="e">
        <f>#REF!+";Hb!$~I"</f>
        <v>#REF!</v>
      </c>
      <c r="DW62" t="e">
        <f>#REF!+";Hb!$~J"</f>
        <v>#REF!</v>
      </c>
      <c r="DX62" t="e">
        <f>#REF!+";Hb!$~K"</f>
        <v>#REF!</v>
      </c>
      <c r="DY62" t="e">
        <f>#REF!+";Hb!$~L"</f>
        <v>#REF!</v>
      </c>
      <c r="DZ62" t="e">
        <f>#REF!+";Hb!$~M"</f>
        <v>#REF!</v>
      </c>
      <c r="EA62" t="e">
        <f>#REF!+";Hb!$~N"</f>
        <v>#REF!</v>
      </c>
      <c r="EB62" t="e">
        <f>#REF!+";Hb!$~O"</f>
        <v>#REF!</v>
      </c>
      <c r="EC62" t="e">
        <f>#REF!+";Hb!$~P"</f>
        <v>#REF!</v>
      </c>
      <c r="ED62" t="e">
        <f>#REF!+";Hb!$~Q"</f>
        <v>#REF!</v>
      </c>
      <c r="EE62" t="e">
        <f>#REF!+";Hb!$~R"</f>
        <v>#REF!</v>
      </c>
      <c r="EF62" t="e">
        <f>#REF!+";Hb!$~S"</f>
        <v>#REF!</v>
      </c>
      <c r="EG62" t="e">
        <f>#REF!+";Hb!$~T"</f>
        <v>#REF!</v>
      </c>
      <c r="EH62" t="e">
        <f>#REF!+";Hb!$~U"</f>
        <v>#REF!</v>
      </c>
      <c r="EI62" t="e">
        <f>#REF!+";Hb!$~V"</f>
        <v>#REF!</v>
      </c>
      <c r="EJ62" t="e">
        <f>#REF!+";Hb!$~W"</f>
        <v>#REF!</v>
      </c>
      <c r="EK62" t="e">
        <f>#REF!+";Hb!$~X"</f>
        <v>#REF!</v>
      </c>
      <c r="EL62" t="e">
        <f>#REF!+";Hb!$~Y"</f>
        <v>#REF!</v>
      </c>
      <c r="EM62" t="e">
        <f>#REF!+";Hb!$~Z"</f>
        <v>#REF!</v>
      </c>
      <c r="EN62" t="e">
        <f>#REF!+";Hb!$~["</f>
        <v>#REF!</v>
      </c>
      <c r="EO62" t="e">
        <f>#REF!+";Hb!$~\"</f>
        <v>#REF!</v>
      </c>
      <c r="EP62" t="e">
        <f>#REF!+";Hb!$~]"</f>
        <v>#REF!</v>
      </c>
      <c r="EQ62" t="e">
        <f>#REF!+";Hb!$~^"</f>
        <v>#REF!</v>
      </c>
      <c r="ER62" t="e">
        <f>#REF!+";Hb!$~_"</f>
        <v>#REF!</v>
      </c>
      <c r="ES62" t="e">
        <f>#REF!+";Hb!$~`"</f>
        <v>#REF!</v>
      </c>
      <c r="ET62" t="e">
        <f>#REF!+";Hb!$~a"</f>
        <v>#REF!</v>
      </c>
      <c r="EU62" t="e">
        <f>#REF!+";Hb!$~b"</f>
        <v>#REF!</v>
      </c>
      <c r="EV62" t="e">
        <f>#REF!+";Hb!$~c"</f>
        <v>#REF!</v>
      </c>
      <c r="EW62" t="e">
        <f>#REF!+";Hb!$~d"</f>
        <v>#REF!</v>
      </c>
      <c r="EX62" t="e">
        <f>#REF!+";Hb!$~e"</f>
        <v>#REF!</v>
      </c>
      <c r="EY62" t="e">
        <f>#REF!+";Hb!$~f"</f>
        <v>#REF!</v>
      </c>
      <c r="EZ62" t="e">
        <f>#REF!+";Hb!$~g"</f>
        <v>#REF!</v>
      </c>
      <c r="FA62" t="e">
        <f>#REF!+";Hb!$~h"</f>
        <v>#REF!</v>
      </c>
      <c r="FB62" t="e">
        <f>#REF!+";Hb!$~i"</f>
        <v>#REF!</v>
      </c>
      <c r="FC62" t="e">
        <f>#REF!+";Hb!$~j"</f>
        <v>#REF!</v>
      </c>
      <c r="FD62" t="e">
        <f>#REF!+";Hb!$~k"</f>
        <v>#REF!</v>
      </c>
      <c r="FE62" t="e">
        <f>#REF!+";Hb!$~l"</f>
        <v>#REF!</v>
      </c>
      <c r="FF62" t="e">
        <f>#REF!+";Hb!$~m"</f>
        <v>#REF!</v>
      </c>
      <c r="FG62" t="e">
        <f>#REF!+";Hb!$~n"</f>
        <v>#REF!</v>
      </c>
      <c r="FH62" t="e">
        <f>#REF!+";Hb!$~o"</f>
        <v>#REF!</v>
      </c>
      <c r="FI62" t="e">
        <f>#REF!+";Hb!$~p"</f>
        <v>#REF!</v>
      </c>
      <c r="FJ62" t="e">
        <f>#REF!+";Hb!$~q"</f>
        <v>#REF!</v>
      </c>
      <c r="FK62" t="e">
        <f>#REF!+";Hb!$~r"</f>
        <v>#REF!</v>
      </c>
      <c r="FL62" t="e">
        <f>#REF!+";Hb!$~s"</f>
        <v>#REF!</v>
      </c>
      <c r="FM62" t="e">
        <f>#REF!+";Hb!$~t"</f>
        <v>#REF!</v>
      </c>
      <c r="FN62" t="e">
        <f>#REF!+";Hb!$~u"</f>
        <v>#REF!</v>
      </c>
      <c r="FO62" t="e">
        <f>#REF!+";Hb!$~v"</f>
        <v>#REF!</v>
      </c>
      <c r="FP62" t="e">
        <f>#REF!+";Hb!$~w"</f>
        <v>#REF!</v>
      </c>
      <c r="FQ62" t="e">
        <f>#REF!+";Hb!$~x"</f>
        <v>#REF!</v>
      </c>
      <c r="FR62" t="e">
        <f>#REF!+";Hb!$~y"</f>
        <v>#REF!</v>
      </c>
      <c r="FS62" t="e">
        <f>#REF!+";Hb!$~z"</f>
        <v>#REF!</v>
      </c>
      <c r="FT62" t="e">
        <f>#REF!+";Hb!$~{"</f>
        <v>#REF!</v>
      </c>
      <c r="FU62" t="e">
        <f>#REF!+";Hb!$~|"</f>
        <v>#REF!</v>
      </c>
      <c r="FV62" t="e">
        <f>#REF!+";Hb!$~}"</f>
        <v>#REF!</v>
      </c>
      <c r="FW62" t="e">
        <f>#REF!+";Hb!$~~"</f>
        <v>#REF!</v>
      </c>
      <c r="FX62" t="e">
        <f>#REF!+";Hb!%##"</f>
        <v>#REF!</v>
      </c>
      <c r="FY62" t="e">
        <f>#REF!+";Hb!%#$"</f>
        <v>#REF!</v>
      </c>
      <c r="FZ62" t="e">
        <f>#REF!+";Hb!%#%"</f>
        <v>#REF!</v>
      </c>
      <c r="GA62" t="e">
        <f>#REF!+";Hb!%#&amp;"</f>
        <v>#REF!</v>
      </c>
      <c r="GB62" t="e">
        <f>#REF!+";Hb!%#'"</f>
        <v>#REF!</v>
      </c>
      <c r="GC62" t="e">
        <f>#REF!+";Hb!%#("</f>
        <v>#REF!</v>
      </c>
      <c r="GD62" t="e">
        <f>#REF!+";Hb!%#)"</f>
        <v>#REF!</v>
      </c>
      <c r="GE62" t="e">
        <f>#REF!+";Hb!%#."</f>
        <v>#REF!</v>
      </c>
      <c r="GF62" t="e">
        <f>#REF!+";Hb!%#/"</f>
        <v>#REF!</v>
      </c>
      <c r="GG62" t="e">
        <f>#REF!+";Hb!%#0"</f>
        <v>#REF!</v>
      </c>
      <c r="GH62" t="e">
        <f>#REF!+";Hb!%#1"</f>
        <v>#REF!</v>
      </c>
      <c r="GI62" t="e">
        <f>#REF!+";Hb!%#2"</f>
        <v>#REF!</v>
      </c>
      <c r="GJ62" t="e">
        <f>#REF!+";Hb!%#3"</f>
        <v>#REF!</v>
      </c>
      <c r="GK62" t="e">
        <f>#REF!+";Hb!%#4"</f>
        <v>#REF!</v>
      </c>
      <c r="GL62" t="e">
        <f>#REF!+";Hb!%#5"</f>
        <v>#REF!</v>
      </c>
      <c r="GM62" t="e">
        <f>#REF!+";Hb!%#6"</f>
        <v>#REF!</v>
      </c>
      <c r="GN62" t="e">
        <f>#REF!+";Hb!%#7"</f>
        <v>#REF!</v>
      </c>
      <c r="GO62" t="e">
        <f>#REF!+";Hb!%#8"</f>
        <v>#REF!</v>
      </c>
      <c r="GP62" t="e">
        <f>#REF!+";Hb!%#9"</f>
        <v>#REF!</v>
      </c>
      <c r="GQ62" t="e">
        <f>#REF!+";Hb!%#:"</f>
        <v>#REF!</v>
      </c>
      <c r="GR62" t="e">
        <f>#REF!+";Hb!%#;"</f>
        <v>#REF!</v>
      </c>
      <c r="GS62" t="e">
        <f>#REF!+";Hb!%#&lt;"</f>
        <v>#REF!</v>
      </c>
      <c r="GT62" t="e">
        <f>#REF!+";Hb!%#="</f>
        <v>#REF!</v>
      </c>
      <c r="GU62" t="e">
        <f>#REF!+";Hb!%#&gt;"</f>
        <v>#REF!</v>
      </c>
      <c r="GV62" t="e">
        <f>#REF!+";Hb!%#?"</f>
        <v>#REF!</v>
      </c>
      <c r="GW62" t="e">
        <f>#REF!+";Hb!%#@"</f>
        <v>#REF!</v>
      </c>
      <c r="GX62" t="e">
        <f>#REF!+";Hb!%#A"</f>
        <v>#REF!</v>
      </c>
      <c r="GY62" t="e">
        <f>#REF!+";Hb!%#B"</f>
        <v>#REF!</v>
      </c>
      <c r="GZ62" t="e">
        <f>#REF!+";Hb!%#C"</f>
        <v>#REF!</v>
      </c>
      <c r="HA62" t="e">
        <f>#REF!+";Hb!%#D"</f>
        <v>#REF!</v>
      </c>
      <c r="HB62" t="e">
        <f>#REF!+";Hb!%#E"</f>
        <v>#REF!</v>
      </c>
      <c r="HC62" t="e">
        <f>#REF!+";Hb!%#F"</f>
        <v>#REF!</v>
      </c>
      <c r="HD62" t="e">
        <f>#REF!+";Hb!%#G"</f>
        <v>#REF!</v>
      </c>
      <c r="HE62" t="e">
        <f>#REF!+";Hb!%#H"</f>
        <v>#REF!</v>
      </c>
      <c r="HF62" t="e">
        <f>#REF!+";Hb!%#I"</f>
        <v>#REF!</v>
      </c>
      <c r="HG62" t="e">
        <f>#REF!+";Hb!%#J"</f>
        <v>#REF!</v>
      </c>
      <c r="HH62" t="e">
        <f>#REF!+";Hb!%#K"</f>
        <v>#REF!</v>
      </c>
      <c r="HI62" t="e">
        <f>#REF!+";Hb!%#L"</f>
        <v>#REF!</v>
      </c>
      <c r="HJ62" t="e">
        <f>#REF!+";Hb!%#M"</f>
        <v>#REF!</v>
      </c>
      <c r="HK62" t="e">
        <f>#REF!+";Hb!%#N"</f>
        <v>#REF!</v>
      </c>
      <c r="HL62" t="e">
        <f>#REF!+";Hb!%#O"</f>
        <v>#REF!</v>
      </c>
      <c r="HM62" t="e">
        <f>#REF!+";Hb!%#P"</f>
        <v>#REF!</v>
      </c>
      <c r="HN62" t="e">
        <f>#REF!+";Hb!%#Q"</f>
        <v>#REF!</v>
      </c>
      <c r="HO62" t="e">
        <f>#REF!+";Hb!%#R"</f>
        <v>#REF!</v>
      </c>
      <c r="HP62" t="e">
        <f>#REF!+";Hb!%#S"</f>
        <v>#REF!</v>
      </c>
      <c r="HQ62" t="e">
        <f>#REF!+";Hb!%#T"</f>
        <v>#REF!</v>
      </c>
      <c r="HR62" t="e">
        <f>#REF!+";Hb!%#U"</f>
        <v>#REF!</v>
      </c>
      <c r="HS62" t="e">
        <f>#REF!+";Hb!%#V"</f>
        <v>#REF!</v>
      </c>
      <c r="HT62" t="e">
        <f>#REF!+";Hb!%#W"</f>
        <v>#REF!</v>
      </c>
      <c r="HU62" t="e">
        <f>#REF!+";Hb!%#X"</f>
        <v>#REF!</v>
      </c>
      <c r="HV62" t="e">
        <f>#REF!+";Hb!%#Y"</f>
        <v>#REF!</v>
      </c>
      <c r="HW62" t="e">
        <f>#REF!+";Hb!%#Z"</f>
        <v>#REF!</v>
      </c>
      <c r="HX62" t="e">
        <f>#REF!+";Hb!%#["</f>
        <v>#REF!</v>
      </c>
      <c r="HY62" t="e">
        <f>#REF!+";Hb!%#\"</f>
        <v>#REF!</v>
      </c>
      <c r="HZ62" t="e">
        <f>#REF!+";Hb!%#]"</f>
        <v>#REF!</v>
      </c>
      <c r="IA62" t="e">
        <f>#REF!+";Hb!%#^"</f>
        <v>#REF!</v>
      </c>
      <c r="IB62" t="e">
        <f>#REF!+";Hb!%#_"</f>
        <v>#REF!</v>
      </c>
      <c r="IC62" t="e">
        <f>#REF!+";Hb!%#`"</f>
        <v>#REF!</v>
      </c>
      <c r="ID62" t="e">
        <f>#REF!+";Hb!%#a"</f>
        <v>#REF!</v>
      </c>
      <c r="IE62" t="e">
        <f>#REF!+";Hb!%#b"</f>
        <v>#REF!</v>
      </c>
      <c r="IF62" t="e">
        <f>#REF!+";Hb!%#c"</f>
        <v>#REF!</v>
      </c>
      <c r="IG62" t="e">
        <f>#REF!+";Hb!%#d"</f>
        <v>#REF!</v>
      </c>
      <c r="IH62" t="e">
        <f>#REF!+";Hb!%#e"</f>
        <v>#REF!</v>
      </c>
      <c r="II62" t="e">
        <f>#REF!+";Hb!%#f"</f>
        <v>#REF!</v>
      </c>
      <c r="IJ62" t="e">
        <f>#REF!+";Hb!%#g"</f>
        <v>#REF!</v>
      </c>
      <c r="IK62" t="e">
        <f>#REF!+";Hb!%#h"</f>
        <v>#REF!</v>
      </c>
      <c r="IL62" t="e">
        <f>#REF!+";Hb!%#i"</f>
        <v>#REF!</v>
      </c>
      <c r="IM62" t="e">
        <f>#REF!+";Hb!%#j"</f>
        <v>#REF!</v>
      </c>
      <c r="IN62" t="e">
        <f>#REF!+";Hb!%#k"</f>
        <v>#REF!</v>
      </c>
      <c r="IO62" t="e">
        <f>#REF!+";Hb!%#l"</f>
        <v>#REF!</v>
      </c>
      <c r="IP62" t="e">
        <f>#REF!+";Hb!%#m"</f>
        <v>#REF!</v>
      </c>
      <c r="IQ62" t="e">
        <f>#REF!+";Hb!%#n"</f>
        <v>#REF!</v>
      </c>
      <c r="IR62" t="e">
        <f>#REF!+";Hb!%#o"</f>
        <v>#REF!</v>
      </c>
      <c r="IS62" t="e">
        <f>#REF!+";Hb!%#p"</f>
        <v>#REF!</v>
      </c>
      <c r="IT62" t="e">
        <f>#REF!+";Hb!%#q"</f>
        <v>#REF!</v>
      </c>
      <c r="IU62" t="e">
        <f>#REF!+";Hb!%#r"</f>
        <v>#REF!</v>
      </c>
      <c r="IV62" t="e">
        <f>#REF!+";Hb!%#s"</f>
        <v>#REF!</v>
      </c>
    </row>
    <row r="63" spans="6:256" x14ac:dyDescent="0.25">
      <c r="F63" t="e">
        <f>#REF!+";Hb!%#t"</f>
        <v>#REF!</v>
      </c>
      <c r="G63" t="e">
        <f>#REF!+";Hb!%#u"</f>
        <v>#REF!</v>
      </c>
      <c r="H63" t="e">
        <f>#REF!+";Hb!%#v"</f>
        <v>#REF!</v>
      </c>
      <c r="I63" t="e">
        <f>#REF!+";Hb!%#w"</f>
        <v>#REF!</v>
      </c>
      <c r="J63" t="e">
        <f>#REF!+";Hb!%#x"</f>
        <v>#REF!</v>
      </c>
      <c r="K63" t="e">
        <f>#REF!+";Hb!%#y"</f>
        <v>#REF!</v>
      </c>
      <c r="L63" t="e">
        <f>#REF!+";Hb!%#z"</f>
        <v>#REF!</v>
      </c>
      <c r="M63" t="e">
        <f>#REF!+";Hb!%#{"</f>
        <v>#REF!</v>
      </c>
      <c r="N63" t="e">
        <f>#REF!+";Hb!%#|"</f>
        <v>#REF!</v>
      </c>
      <c r="O63" t="e">
        <f>#REF!+";Hb!%#}"</f>
        <v>#REF!</v>
      </c>
      <c r="P63" t="e">
        <f>#REF!+";Hb!%#~"</f>
        <v>#REF!</v>
      </c>
      <c r="Q63" t="e">
        <f>#REF!+";Hb!%$#"</f>
        <v>#REF!</v>
      </c>
      <c r="R63" t="e">
        <f>#REF!+";Hb!%$$"</f>
        <v>#REF!</v>
      </c>
      <c r="S63" t="e">
        <f>#REF!+";Hb!%$%"</f>
        <v>#REF!</v>
      </c>
      <c r="T63" t="e">
        <f>#REF!+";Hb!%$&amp;"</f>
        <v>#REF!</v>
      </c>
      <c r="U63" t="e">
        <f>#REF!+";Hb!%$'"</f>
        <v>#REF!</v>
      </c>
      <c r="V63" t="e">
        <f>#REF!+";Hb!%$("</f>
        <v>#REF!</v>
      </c>
      <c r="W63" t="e">
        <f>#REF!+";Hb!%$)"</f>
        <v>#REF!</v>
      </c>
      <c r="X63" t="e">
        <f>#REF!+";Hb!%$."</f>
        <v>#REF!</v>
      </c>
      <c r="Y63" t="e">
        <f>#REF!+";Hb!%$/"</f>
        <v>#REF!</v>
      </c>
      <c r="Z63" t="e">
        <f>#REF!+";Hb!%$0"</f>
        <v>#REF!</v>
      </c>
      <c r="AA63" t="e">
        <f>#REF!+";Hb!%$1"</f>
        <v>#REF!</v>
      </c>
      <c r="AB63" t="e">
        <f>#REF!+";Hb!%$2"</f>
        <v>#REF!</v>
      </c>
      <c r="AC63" t="e">
        <f>#REF!+";Hb!%$3"</f>
        <v>#REF!</v>
      </c>
      <c r="AD63" t="e">
        <f>#REF!+";Hb!%$4"</f>
        <v>#REF!</v>
      </c>
      <c r="AE63" t="e">
        <f>#REF!+";Hb!%$5"</f>
        <v>#REF!</v>
      </c>
      <c r="AF63" t="e">
        <f>#REF!+";Hb!%$6"</f>
        <v>#REF!</v>
      </c>
      <c r="AG63" t="e">
        <f>#REF!+";Hb!%$7"</f>
        <v>#REF!</v>
      </c>
      <c r="AH63" t="e">
        <f>#REF!+";Hb!%$8"</f>
        <v>#REF!</v>
      </c>
      <c r="AI63" t="e">
        <f>#REF!+";Hb!%$9"</f>
        <v>#REF!</v>
      </c>
      <c r="AJ63" t="e">
        <f>#REF!+";Hb!%$:"</f>
        <v>#REF!</v>
      </c>
      <c r="AK63" t="e">
        <f>#REF!+";Hb!%$;"</f>
        <v>#REF!</v>
      </c>
      <c r="AL63" t="e">
        <f>#REF!+";Hb!%$&lt;"</f>
        <v>#REF!</v>
      </c>
      <c r="AM63" t="e">
        <f>#REF!+";Hb!%$="</f>
        <v>#REF!</v>
      </c>
      <c r="AN63" t="e">
        <f>#REF!+";Hb!%$&gt;"</f>
        <v>#REF!</v>
      </c>
      <c r="AO63" t="e">
        <f>#REF!+";Hb!%$?"</f>
        <v>#REF!</v>
      </c>
      <c r="AP63" t="e">
        <f>#REF!+";Hb!%$@"</f>
        <v>#REF!</v>
      </c>
      <c r="AQ63" t="e">
        <f>#REF!+";Hb!%$A"</f>
        <v>#REF!</v>
      </c>
      <c r="AR63" t="e">
        <f>#REF!+";Hb!%$B"</f>
        <v>#REF!</v>
      </c>
      <c r="AS63" t="e">
        <f>#REF!+";Hb!%$C"</f>
        <v>#REF!</v>
      </c>
      <c r="AT63" t="e">
        <f>#REF!+";Hb!%$D"</f>
        <v>#REF!</v>
      </c>
      <c r="AU63" t="e">
        <f>#REF!+";Hb!%$E"</f>
        <v>#REF!</v>
      </c>
      <c r="AV63" t="e">
        <f>#REF!+";Hb!%$F"</f>
        <v>#REF!</v>
      </c>
      <c r="AW63" t="e">
        <f>#REF!+";Hb!%$G"</f>
        <v>#REF!</v>
      </c>
      <c r="AX63" t="e">
        <f>#REF!+";Hb!%$H"</f>
        <v>#REF!</v>
      </c>
      <c r="AY63" t="e">
        <f>#REF!+";Hb!%$I"</f>
        <v>#REF!</v>
      </c>
      <c r="AZ63" t="e">
        <f>#REF!+";Hb!%$J"</f>
        <v>#REF!</v>
      </c>
      <c r="BA63" t="e">
        <f>#REF!+";Hb!%$K"</f>
        <v>#REF!</v>
      </c>
      <c r="BB63" t="e">
        <f>#REF!+";Hb!%$L"</f>
        <v>#REF!</v>
      </c>
      <c r="BC63" t="e">
        <f>#REF!+";Hb!%$M"</f>
        <v>#REF!</v>
      </c>
      <c r="BD63" t="e">
        <f>#REF!+";Hb!%$N"</f>
        <v>#REF!</v>
      </c>
      <c r="BE63" t="e">
        <f>#REF!+";Hb!%$O"</f>
        <v>#REF!</v>
      </c>
      <c r="BF63" t="e">
        <f>#REF!+";Hb!%$P"</f>
        <v>#REF!</v>
      </c>
      <c r="BG63" t="e">
        <f>#REF!+";Hb!%$Q"</f>
        <v>#REF!</v>
      </c>
      <c r="BH63" t="e">
        <f>#REF!+";Hb!%$R"</f>
        <v>#REF!</v>
      </c>
      <c r="BI63" t="e">
        <f>#REF!+";Hb!%$S"</f>
        <v>#REF!</v>
      </c>
      <c r="BJ63" t="e">
        <f>#REF!+";Hb!%$T"</f>
        <v>#REF!</v>
      </c>
      <c r="BK63" t="e">
        <f>#REF!+";Hb!%$U"</f>
        <v>#REF!</v>
      </c>
      <c r="BL63" t="e">
        <f>#REF!+";Hb!%$V"</f>
        <v>#REF!</v>
      </c>
      <c r="BM63" t="e">
        <f>#REF!+";Hb!%$W"</f>
        <v>#REF!</v>
      </c>
      <c r="BN63" t="e">
        <f>#REF!+";Hb!%$X"</f>
        <v>#REF!</v>
      </c>
      <c r="BO63" t="e">
        <f>#REF!+";Hb!%$Y"</f>
        <v>#REF!</v>
      </c>
      <c r="BP63" t="e">
        <f>#REF!+";Hb!%$Z"</f>
        <v>#REF!</v>
      </c>
      <c r="BQ63" t="e">
        <f>#REF!+";Hb!%$["</f>
        <v>#REF!</v>
      </c>
      <c r="BR63" t="e">
        <f>#REF!+";Hb!%$\"</f>
        <v>#REF!</v>
      </c>
      <c r="BS63" t="e">
        <f>#REF!+";Hb!%$]"</f>
        <v>#REF!</v>
      </c>
      <c r="BT63" t="e">
        <f>#REF!+";Hb!%$^"</f>
        <v>#REF!</v>
      </c>
      <c r="BU63" t="e">
        <f>#REF!+";Hb!%$_"</f>
        <v>#REF!</v>
      </c>
      <c r="BV63" t="e">
        <f>#REF!+";Hb!%$`"</f>
        <v>#REF!</v>
      </c>
      <c r="BW63" t="e">
        <f>#REF!+";Hb!%$a"</f>
        <v>#REF!</v>
      </c>
      <c r="BX63" t="e">
        <f>#REF!+";Hb!%$b"</f>
        <v>#REF!</v>
      </c>
      <c r="BY63" t="e">
        <f>#REF!+";Hb!%$c"</f>
        <v>#REF!</v>
      </c>
      <c r="BZ63" t="e">
        <f>#REF!+";Hb!%$d"</f>
        <v>#REF!</v>
      </c>
      <c r="CA63" t="e">
        <f>#REF!+";Hb!%$e"</f>
        <v>#REF!</v>
      </c>
      <c r="CB63" t="e">
        <f>#REF!+";Hb!%$f"</f>
        <v>#REF!</v>
      </c>
      <c r="CC63" t="e">
        <f>#REF!+";Hb!%$g"</f>
        <v>#REF!</v>
      </c>
      <c r="CD63" t="e">
        <f>#REF!+";Hb!%$h"</f>
        <v>#REF!</v>
      </c>
      <c r="CE63" t="e">
        <f>#REF!+";Hb!%$i"</f>
        <v>#REF!</v>
      </c>
      <c r="CF63" t="e">
        <f>#REF!+";Hb!%$j"</f>
        <v>#REF!</v>
      </c>
      <c r="CG63" t="e">
        <f>#REF!+";Hb!%$k"</f>
        <v>#REF!</v>
      </c>
      <c r="CH63" t="e">
        <f>#REF!+";Hb!%$l"</f>
        <v>#REF!</v>
      </c>
      <c r="CI63" t="e">
        <f>#REF!+";Hb!%$m"</f>
        <v>#REF!</v>
      </c>
      <c r="CJ63" t="e">
        <f>#REF!+";Hb!%$n"</f>
        <v>#REF!</v>
      </c>
      <c r="CK63" t="e">
        <f>#REF!+";Hb!%$o"</f>
        <v>#REF!</v>
      </c>
      <c r="CL63" t="e">
        <f>#REF!+";Hb!%$p"</f>
        <v>#REF!</v>
      </c>
      <c r="CM63" t="e">
        <f>#REF!+";Hb!%$q"</f>
        <v>#REF!</v>
      </c>
      <c r="CN63" t="e">
        <f>#REF!+";Hb!%$r"</f>
        <v>#REF!</v>
      </c>
      <c r="CO63" t="e">
        <f>#REF!+";Hb!%$s"</f>
        <v>#REF!</v>
      </c>
      <c r="CP63" t="e">
        <f>#REF!+";Hb!%$t"</f>
        <v>#REF!</v>
      </c>
      <c r="CQ63" t="e">
        <f>#REF!+";Hb!%$u"</f>
        <v>#REF!</v>
      </c>
      <c r="CR63" t="e">
        <f>#REF!+";Hb!%$v"</f>
        <v>#REF!</v>
      </c>
      <c r="CS63" t="e">
        <f>#REF!+";Hb!%$w"</f>
        <v>#REF!</v>
      </c>
      <c r="CT63" t="e">
        <f>#REF!+";Hb!%$x"</f>
        <v>#REF!</v>
      </c>
      <c r="CU63" t="e">
        <f>#REF!+";Hb!%$y"</f>
        <v>#REF!</v>
      </c>
      <c r="CV63" t="e">
        <f>#REF!+";Hb!%$z"</f>
        <v>#REF!</v>
      </c>
      <c r="CW63" t="e">
        <f>#REF!+";Hb!%${"</f>
        <v>#REF!</v>
      </c>
      <c r="CX63" t="e">
        <f>#REF!+";Hb!%$|"</f>
        <v>#REF!</v>
      </c>
      <c r="CY63" t="e">
        <f>#REF!+";Hb!%$}"</f>
        <v>#REF!</v>
      </c>
      <c r="CZ63" t="e">
        <f>#REF!+";Hb!%$~"</f>
        <v>#REF!</v>
      </c>
      <c r="DA63" t="e">
        <f>#REF!+";Hb!%%#"</f>
        <v>#REF!</v>
      </c>
      <c r="DB63" t="e">
        <f>#REF!+";Hb!%%$"</f>
        <v>#REF!</v>
      </c>
      <c r="DC63" t="e">
        <f>#REF!+";Hb!%%%"</f>
        <v>#REF!</v>
      </c>
      <c r="DD63" t="e">
        <f>#REF!+";Hb!%%&amp;"</f>
        <v>#REF!</v>
      </c>
      <c r="DE63" t="e">
        <f>#REF!+";Hb!%%'"</f>
        <v>#REF!</v>
      </c>
      <c r="DF63" t="e">
        <f>#REF!+";Hb!%%("</f>
        <v>#REF!</v>
      </c>
      <c r="DG63" t="e">
        <f>#REF!+";Hb!%%)"</f>
        <v>#REF!</v>
      </c>
      <c r="DH63" t="e">
        <f>#REF!+";Hb!%%."</f>
        <v>#REF!</v>
      </c>
      <c r="DI63" t="e">
        <f>#REF!+";Hb!%%/"</f>
        <v>#REF!</v>
      </c>
      <c r="DJ63" t="e">
        <f>#REF!+";Hb!%%0"</f>
        <v>#REF!</v>
      </c>
      <c r="DK63" t="e">
        <f>#REF!+";Hb!%%1"</f>
        <v>#REF!</v>
      </c>
      <c r="DL63" t="e">
        <f>#REF!+";Hb!%%2"</f>
        <v>#REF!</v>
      </c>
      <c r="DM63" t="e">
        <f>#REF!+";Hb!%%3"</f>
        <v>#REF!</v>
      </c>
      <c r="DN63" t="e">
        <f>#REF!+";Hb!%%4"</f>
        <v>#REF!</v>
      </c>
      <c r="DO63" t="e">
        <f>#REF!+";Hb!%%5"</f>
        <v>#REF!</v>
      </c>
      <c r="DP63" t="e">
        <f>#REF!+";Hb!%%6"</f>
        <v>#REF!</v>
      </c>
      <c r="DQ63" t="e">
        <f>#REF!+";Hb!%%7"</f>
        <v>#REF!</v>
      </c>
      <c r="DR63" t="e">
        <f>#REF!+";Hb!%%8"</f>
        <v>#REF!</v>
      </c>
      <c r="DS63" t="e">
        <f>#REF!+";Hb!%%9"</f>
        <v>#REF!</v>
      </c>
      <c r="DT63" t="e">
        <f>#REF!+";Hb!%%:"</f>
        <v>#REF!</v>
      </c>
      <c r="DU63" t="e">
        <f>#REF!+";Hb!%%;"</f>
        <v>#REF!</v>
      </c>
      <c r="DV63" t="e">
        <f>#REF!+";Hb!%%&lt;"</f>
        <v>#REF!</v>
      </c>
      <c r="DW63" t="e">
        <f>#REF!+";Hb!%%="</f>
        <v>#REF!</v>
      </c>
      <c r="DX63" t="e">
        <f>#REF!+";Hb!%%&gt;"</f>
        <v>#REF!</v>
      </c>
      <c r="DY63" t="e">
        <f>#REF!+";Hb!%%?"</f>
        <v>#REF!</v>
      </c>
      <c r="DZ63" t="e">
        <f>#REF!+";Hb!%%@"</f>
        <v>#REF!</v>
      </c>
      <c r="EA63" t="e">
        <f>#REF!+";Hb!%%A"</f>
        <v>#REF!</v>
      </c>
      <c r="EB63" t="e">
        <f>#REF!+";Hb!%%B"</f>
        <v>#REF!</v>
      </c>
      <c r="EC63" t="e">
        <f>#REF!+";Hb!%%C"</f>
        <v>#REF!</v>
      </c>
      <c r="ED63" t="e">
        <f>#REF!+";Hb!%%D"</f>
        <v>#REF!</v>
      </c>
      <c r="EE63" t="e">
        <f>#REF!+";Hb!%%E"</f>
        <v>#REF!</v>
      </c>
      <c r="EF63" t="e">
        <f>#REF!+";Hb!%%F"</f>
        <v>#REF!</v>
      </c>
      <c r="EG63" t="e">
        <f>#REF!+";Hb!%%G"</f>
        <v>#REF!</v>
      </c>
      <c r="EH63" t="e">
        <f>#REF!+";Hb!%%H"</f>
        <v>#REF!</v>
      </c>
      <c r="EI63" t="e">
        <f>#REF!+";Hb!%%I"</f>
        <v>#REF!</v>
      </c>
      <c r="EJ63" t="e">
        <f>#REF!+";Hb!%%J"</f>
        <v>#REF!</v>
      </c>
      <c r="EK63" t="e">
        <f>#REF!+";Hb!%%K"</f>
        <v>#REF!</v>
      </c>
      <c r="EL63" t="e">
        <f>#REF!+";Hb!%%L"</f>
        <v>#REF!</v>
      </c>
      <c r="EM63" t="e">
        <f>#REF!+";Hb!%%M"</f>
        <v>#REF!</v>
      </c>
      <c r="EN63" t="e">
        <f>#REF!+";Hb!%%N"</f>
        <v>#REF!</v>
      </c>
      <c r="EO63" t="e">
        <f>#REF!+";Hb!%%O"</f>
        <v>#REF!</v>
      </c>
      <c r="EP63" t="e">
        <f>#REF!+";Hb!%%P"</f>
        <v>#REF!</v>
      </c>
      <c r="EQ63" t="e">
        <f>#REF!+";Hb!%%Q"</f>
        <v>#REF!</v>
      </c>
      <c r="ER63" t="e">
        <f>#REF!+";Hb!%%R"</f>
        <v>#REF!</v>
      </c>
      <c r="ES63" t="e">
        <f>#REF!+";Hb!%%S"</f>
        <v>#REF!</v>
      </c>
      <c r="ET63" t="e">
        <f>#REF!+";Hb!%%T"</f>
        <v>#REF!</v>
      </c>
      <c r="EU63" t="e">
        <f>#REF!+";Hb!%%U"</f>
        <v>#REF!</v>
      </c>
      <c r="EV63" t="e">
        <f>#REF!+";Hb!%%V"</f>
        <v>#REF!</v>
      </c>
      <c r="EW63" t="e">
        <f>#REF!+";Hb!%%W"</f>
        <v>#REF!</v>
      </c>
      <c r="EX63" t="e">
        <f>#REF!+";Hb!%%X"</f>
        <v>#REF!</v>
      </c>
      <c r="EY63" t="e">
        <f>#REF!+";Hb!%%Y"</f>
        <v>#REF!</v>
      </c>
      <c r="EZ63" t="e">
        <f>#REF!+";Hb!%%Z"</f>
        <v>#REF!</v>
      </c>
      <c r="FA63" t="e">
        <f>#REF!+";Hb!%%["</f>
        <v>#REF!</v>
      </c>
      <c r="FB63" t="e">
        <f>#REF!+";Hb!%%\"</f>
        <v>#REF!</v>
      </c>
      <c r="FC63" t="e">
        <f>#REF!+";Hb!%%]"</f>
        <v>#REF!</v>
      </c>
      <c r="FD63" t="e">
        <f>#REF!+";Hb!%%^"</f>
        <v>#REF!</v>
      </c>
      <c r="FE63" t="e">
        <f>#REF!+";Hb!%%_"</f>
        <v>#REF!</v>
      </c>
      <c r="FF63" t="e">
        <f>#REF!+";Hb!%%`"</f>
        <v>#REF!</v>
      </c>
      <c r="FG63" t="e">
        <f>#REF!+";Hb!%%a"</f>
        <v>#REF!</v>
      </c>
      <c r="FH63" t="e">
        <f>#REF!+";Hb!%%b"</f>
        <v>#REF!</v>
      </c>
      <c r="FI63" t="e">
        <f>#REF!+";Hb!%%c"</f>
        <v>#REF!</v>
      </c>
      <c r="FJ63" t="e">
        <f>#REF!+";Hb!%%d"</f>
        <v>#REF!</v>
      </c>
      <c r="FK63" t="e">
        <f>#REF!+";Hb!%%e"</f>
        <v>#REF!</v>
      </c>
      <c r="FL63" t="e">
        <f>#REF!+";Hb!%%f"</f>
        <v>#REF!</v>
      </c>
      <c r="FM63" t="e">
        <f>#REF!+";Hb!%%g"</f>
        <v>#REF!</v>
      </c>
      <c r="FN63" t="e">
        <f>#REF!+";Hb!%%h"</f>
        <v>#REF!</v>
      </c>
      <c r="FO63" t="e">
        <f>#REF!+";Hb!%%i"</f>
        <v>#REF!</v>
      </c>
      <c r="FP63" t="e">
        <f>#REF!+";Hb!%%j"</f>
        <v>#REF!</v>
      </c>
      <c r="FQ63" t="e">
        <f>#REF!+";Hb!%%k"</f>
        <v>#REF!</v>
      </c>
      <c r="FR63" t="e">
        <f>#REF!+";Hb!%%l"</f>
        <v>#REF!</v>
      </c>
      <c r="FS63" t="e">
        <f>#REF!+";Hb!%%m"</f>
        <v>#REF!</v>
      </c>
      <c r="FT63" t="e">
        <f>#REF!+";Hb!%%n"</f>
        <v>#REF!</v>
      </c>
      <c r="FU63" t="e">
        <f>#REF!+";Hb!%%o"</f>
        <v>#REF!</v>
      </c>
      <c r="FV63" t="e">
        <f>#REF!+";Hb!%%p"</f>
        <v>#REF!</v>
      </c>
      <c r="FW63" t="e">
        <f>#REF!+";Hb!%%q"</f>
        <v>#REF!</v>
      </c>
      <c r="FX63" t="e">
        <f>#REF!+";Hb!%%r"</f>
        <v>#REF!</v>
      </c>
      <c r="FY63" t="e">
        <f>#REF!+";Hb!%%s"</f>
        <v>#REF!</v>
      </c>
      <c r="FZ63" t="e">
        <f>#REF!+";Hb!%%t"</f>
        <v>#REF!</v>
      </c>
      <c r="GA63" t="e">
        <f>#REF!+";Hb!%%u"</f>
        <v>#REF!</v>
      </c>
      <c r="GB63" t="e">
        <f>#REF!+";Hb!%%v"</f>
        <v>#REF!</v>
      </c>
      <c r="GC63" t="e">
        <f>#REF!+";Hb!%%w"</f>
        <v>#REF!</v>
      </c>
      <c r="GD63" t="e">
        <f>#REF!+";Hb!%%x"</f>
        <v>#REF!</v>
      </c>
      <c r="GE63" t="e">
        <f>#REF!+";Hb!%%y"</f>
        <v>#REF!</v>
      </c>
      <c r="GF63" t="e">
        <f>#REF!+";Hb!%%z"</f>
        <v>#REF!</v>
      </c>
      <c r="GG63" t="e">
        <f>#REF!+";Hb!%%{"</f>
        <v>#REF!</v>
      </c>
      <c r="GH63" t="e">
        <f>#REF!+";Hb!%%|"</f>
        <v>#REF!</v>
      </c>
      <c r="GI63" t="e">
        <f>#REF!+";Hb!%%}"</f>
        <v>#REF!</v>
      </c>
      <c r="GJ63" t="e">
        <f>#REF!+";Hb!%%~"</f>
        <v>#REF!</v>
      </c>
      <c r="GK63" t="e">
        <f>#REF!+";Hb!%&amp;#"</f>
        <v>#REF!</v>
      </c>
      <c r="GL63" t="e">
        <f>#REF!+";Hb!%&amp;$"</f>
        <v>#REF!</v>
      </c>
      <c r="GM63" t="e">
        <f>#REF!+";Hb!%&amp;%"</f>
        <v>#REF!</v>
      </c>
      <c r="GN63" t="e">
        <f>#REF!+";Hb!%&amp;&amp;"</f>
        <v>#REF!</v>
      </c>
      <c r="GO63" t="e">
        <f>#REF!+";Hb!%&amp;'"</f>
        <v>#REF!</v>
      </c>
      <c r="GP63" t="e">
        <f>#REF!+";Hb!%&amp;("</f>
        <v>#REF!</v>
      </c>
      <c r="GQ63" t="e">
        <f>#REF!+";Hb!%&amp;)"</f>
        <v>#REF!</v>
      </c>
      <c r="GR63" t="e">
        <f>#REF!+";Hb!%&amp;."</f>
        <v>#REF!</v>
      </c>
      <c r="GS63" t="e">
        <f>#REF!+";Hb!%&amp;/"</f>
        <v>#REF!</v>
      </c>
      <c r="GT63" t="e">
        <f>#REF!+";Hb!%&amp;0"</f>
        <v>#REF!</v>
      </c>
      <c r="GU63" t="e">
        <f>#REF!+";Hb!%&amp;1"</f>
        <v>#REF!</v>
      </c>
      <c r="GV63" t="e">
        <f>#REF!+";Hb!%&amp;2"</f>
        <v>#REF!</v>
      </c>
      <c r="GW63" t="e">
        <f>#REF!+";Hb!%&amp;3"</f>
        <v>#REF!</v>
      </c>
      <c r="GX63" t="e">
        <f>#REF!+";Hb!%&amp;4"</f>
        <v>#REF!</v>
      </c>
      <c r="GY63" t="e">
        <f>#REF!+";Hb!%&amp;5"</f>
        <v>#REF!</v>
      </c>
      <c r="GZ63" t="e">
        <f>#REF!+";Hb!%&amp;6"</f>
        <v>#REF!</v>
      </c>
      <c r="HA63" t="e">
        <f>#REF!+";Hb!%&amp;7"</f>
        <v>#REF!</v>
      </c>
      <c r="HB63" t="e">
        <f>#REF!+";Hb!%&amp;8"</f>
        <v>#REF!</v>
      </c>
      <c r="HC63" t="e">
        <f>#REF!+";Hb!%&amp;9"</f>
        <v>#REF!</v>
      </c>
      <c r="HD63" t="e">
        <f>#REF!+";Hb!%&amp;:"</f>
        <v>#REF!</v>
      </c>
      <c r="HE63" t="e">
        <f>#REF!+";Hb!%&amp;;"</f>
        <v>#REF!</v>
      </c>
      <c r="HF63" t="e">
        <f>#REF!+";Hb!%&amp;&lt;"</f>
        <v>#REF!</v>
      </c>
      <c r="HG63" t="e">
        <f>#REF!+";Hb!%&amp;="</f>
        <v>#REF!</v>
      </c>
      <c r="HH63" t="e">
        <f>#REF!+";Hb!%&amp;&gt;"</f>
        <v>#REF!</v>
      </c>
      <c r="HI63" t="e">
        <f>#REF!+";Hb!%&amp;?"</f>
        <v>#REF!</v>
      </c>
      <c r="HJ63" t="e">
        <f>#REF!+";Hb!%&amp;@"</f>
        <v>#REF!</v>
      </c>
      <c r="HK63" t="e">
        <f>#REF!+";Hb!%&amp;A"</f>
        <v>#REF!</v>
      </c>
      <c r="HL63" t="e">
        <f>#REF!+";Hb!%&amp;B"</f>
        <v>#REF!</v>
      </c>
      <c r="HM63" t="e">
        <f>#REF!+";Hb!%&amp;C"</f>
        <v>#REF!</v>
      </c>
      <c r="HN63" t="e">
        <f>#REF!+";Hb!%&amp;D"</f>
        <v>#REF!</v>
      </c>
      <c r="HO63" t="e">
        <f>#REF!+";Hb!%&amp;E"</f>
        <v>#REF!</v>
      </c>
      <c r="HP63" t="e">
        <f>#REF!+";Hb!%&amp;F"</f>
        <v>#REF!</v>
      </c>
      <c r="HQ63" t="e">
        <f>#REF!+";Hb!%&amp;G"</f>
        <v>#REF!</v>
      </c>
      <c r="HR63" t="e">
        <f>#REF!+";Hb!%&amp;H"</f>
        <v>#REF!</v>
      </c>
      <c r="HS63" t="e">
        <f>#REF!+";Hb!%&amp;I"</f>
        <v>#REF!</v>
      </c>
      <c r="HT63" t="e">
        <f>#REF!+";Hb!%&amp;J"</f>
        <v>#REF!</v>
      </c>
      <c r="HU63" t="e">
        <f>#REF!+";Hb!%&amp;K"</f>
        <v>#REF!</v>
      </c>
      <c r="HV63" t="e">
        <f>#REF!+";Hb!%&amp;L"</f>
        <v>#REF!</v>
      </c>
      <c r="HW63" t="e">
        <f>#REF!+";Hb!%&amp;M"</f>
        <v>#REF!</v>
      </c>
      <c r="HX63" t="e">
        <f>#REF!+";Hb!%&amp;N"</f>
        <v>#REF!</v>
      </c>
      <c r="HY63" t="e">
        <f>#REF!+";Hb!%&amp;O"</f>
        <v>#REF!</v>
      </c>
      <c r="HZ63" t="e">
        <f>#REF!+";Hb!%&amp;P"</f>
        <v>#REF!</v>
      </c>
      <c r="IA63" t="e">
        <f>#REF!+";Hb!%&amp;Q"</f>
        <v>#REF!</v>
      </c>
      <c r="IB63" t="e">
        <f>#REF!+";Hb!%&amp;R"</f>
        <v>#REF!</v>
      </c>
      <c r="IC63" t="e">
        <f>#REF!+";Hb!%&amp;S"</f>
        <v>#REF!</v>
      </c>
      <c r="ID63" t="e">
        <f>#REF!+";Hb!%&amp;T"</f>
        <v>#REF!</v>
      </c>
      <c r="IE63" t="e">
        <f>#REF!+";Hb!%&amp;U"</f>
        <v>#REF!</v>
      </c>
      <c r="IF63" t="e">
        <f>#REF!+";Hb!%&amp;V"</f>
        <v>#REF!</v>
      </c>
      <c r="IG63" t="e">
        <f>#REF!+";Hb!%&amp;W"</f>
        <v>#REF!</v>
      </c>
      <c r="IH63" t="e">
        <f>#REF!+";Hb!%&amp;X"</f>
        <v>#REF!</v>
      </c>
      <c r="II63" t="e">
        <f>#REF!+";Hb!%&amp;Y"</f>
        <v>#REF!</v>
      </c>
      <c r="IJ63" t="e">
        <f>#REF!+";Hb!%&amp;Z"</f>
        <v>#REF!</v>
      </c>
      <c r="IK63" t="e">
        <f>#REF!+";Hb!%&amp;["</f>
        <v>#REF!</v>
      </c>
      <c r="IL63" t="e">
        <f>#REF!+";Hb!%&amp;\"</f>
        <v>#REF!</v>
      </c>
      <c r="IM63" t="e">
        <f>#REF!+";Hb!%&amp;]"</f>
        <v>#REF!</v>
      </c>
      <c r="IN63" t="e">
        <f>#REF!+";Hb!%&amp;^"</f>
        <v>#REF!</v>
      </c>
      <c r="IO63" t="e">
        <f>#REF!+";Hb!%&amp;_"</f>
        <v>#REF!</v>
      </c>
      <c r="IP63" t="e">
        <f>#REF!+";Hb!%&amp;`"</f>
        <v>#REF!</v>
      </c>
      <c r="IQ63" t="e">
        <f>#REF!+";Hb!%&amp;a"</f>
        <v>#REF!</v>
      </c>
      <c r="IR63" t="e">
        <f>#REF!+";Hb!%&amp;b"</f>
        <v>#REF!</v>
      </c>
      <c r="IS63" t="e">
        <f>#REF!+";Hb!%&amp;c"</f>
        <v>#REF!</v>
      </c>
      <c r="IT63" t="e">
        <f>#REF!+";Hb!%&amp;d"</f>
        <v>#REF!</v>
      </c>
      <c r="IU63" t="e">
        <f>#REF!+";Hb!%&amp;e"</f>
        <v>#REF!</v>
      </c>
      <c r="IV63" t="e">
        <f>#REF!+";Hb!%&amp;f"</f>
        <v>#REF!</v>
      </c>
    </row>
    <row r="64" spans="6:256" x14ac:dyDescent="0.25">
      <c r="F64" t="e">
        <f>#REF!+";Hb!%&amp;g"</f>
        <v>#REF!</v>
      </c>
      <c r="G64" t="e">
        <f>#REF!+";Hb!%&amp;h"</f>
        <v>#REF!</v>
      </c>
      <c r="H64" t="e">
        <f>#REF!+";Hb!%&amp;i"</f>
        <v>#REF!</v>
      </c>
      <c r="I64" t="e">
        <f>#REF!+";Hb!%&amp;j"</f>
        <v>#REF!</v>
      </c>
      <c r="J64" t="e">
        <f>#REF!+";Hb!%&amp;k"</f>
        <v>#REF!</v>
      </c>
      <c r="K64" t="e">
        <f>#REF!+";Hb!%&amp;l"</f>
        <v>#REF!</v>
      </c>
      <c r="L64" t="e">
        <f>#REF!+";Hb!%&amp;m"</f>
        <v>#REF!</v>
      </c>
      <c r="M64" t="e">
        <f>#REF!+";Hb!%&amp;n"</f>
        <v>#REF!</v>
      </c>
      <c r="N64" t="e">
        <f>#REF!+";Hb!%&amp;o"</f>
        <v>#REF!</v>
      </c>
      <c r="O64" t="e">
        <f>#REF!+";Hb!%&amp;p"</f>
        <v>#REF!</v>
      </c>
      <c r="P64" t="e">
        <f>#REF!+";Hb!%&amp;q"</f>
        <v>#REF!</v>
      </c>
      <c r="Q64" t="e">
        <f>#REF!+";Hb!%&amp;r"</f>
        <v>#REF!</v>
      </c>
      <c r="R64" t="e">
        <f>#REF!+";Hb!%&amp;s"</f>
        <v>#REF!</v>
      </c>
      <c r="S64" t="e">
        <f>#REF!+";Hb!%&amp;t"</f>
        <v>#REF!</v>
      </c>
      <c r="T64" t="e">
        <f>#REF!+";Hb!%&amp;u"</f>
        <v>#REF!</v>
      </c>
      <c r="U64" t="e">
        <f>#REF!+";Hb!%&amp;v"</f>
        <v>#REF!</v>
      </c>
      <c r="V64" t="e">
        <f>#REF!+";Hb!%&amp;w"</f>
        <v>#REF!</v>
      </c>
      <c r="W64" t="e">
        <f>#REF!+";Hb!%&amp;x"</f>
        <v>#REF!</v>
      </c>
      <c r="X64" t="e">
        <f>#REF!+";Hb!%&amp;y"</f>
        <v>#REF!</v>
      </c>
      <c r="Y64" t="e">
        <f>#REF!+";Hb!%&amp;z"</f>
        <v>#REF!</v>
      </c>
      <c r="Z64" t="e">
        <f>#REF!+";Hb!%&amp;{"</f>
        <v>#REF!</v>
      </c>
      <c r="AA64" t="e">
        <f>#REF!+";Hb!%&amp;|"</f>
        <v>#REF!</v>
      </c>
      <c r="AB64" t="e">
        <f>#REF!+";Hb!%&amp;}"</f>
        <v>#REF!</v>
      </c>
      <c r="AC64" t="e">
        <f>#REF!+";Hb!%&amp;~"</f>
        <v>#REF!</v>
      </c>
      <c r="AD64" t="e">
        <f>#REF!+";Hb!%'#"</f>
        <v>#REF!</v>
      </c>
      <c r="AE64" t="e">
        <f>#REF!+";Hb!%'$"</f>
        <v>#REF!</v>
      </c>
      <c r="AF64" t="e">
        <f>#REF!+";Hb!%'%"</f>
        <v>#REF!</v>
      </c>
      <c r="AG64" t="e">
        <f>#REF!+";Hb!%'&amp;"</f>
        <v>#REF!</v>
      </c>
      <c r="AH64" t="e">
        <f>#REF!+";Hb!%''"</f>
        <v>#REF!</v>
      </c>
      <c r="AI64" t="e">
        <f>#REF!+";Hb!%'("</f>
        <v>#REF!</v>
      </c>
      <c r="AJ64" t="e">
        <f>#REF!+";Hb!%')"</f>
        <v>#REF!</v>
      </c>
      <c r="AK64" t="e">
        <f>#REF!+";Hb!%'."</f>
        <v>#REF!</v>
      </c>
      <c r="AL64" t="e">
        <f>#REF!+";Hb!%'/"</f>
        <v>#REF!</v>
      </c>
      <c r="AM64" t="e">
        <f>#REF!+";Hb!%'0"</f>
        <v>#REF!</v>
      </c>
      <c r="AN64" t="e">
        <f>#REF!+";Hb!%'1"</f>
        <v>#REF!</v>
      </c>
      <c r="AO64" t="e">
        <f>#REF!+";Hb!%'2"</f>
        <v>#REF!</v>
      </c>
      <c r="AP64" t="e">
        <f>#REF!+";Hb!%'3"</f>
        <v>#REF!</v>
      </c>
      <c r="AQ64" t="e">
        <f>#REF!+";Hb!%'4"</f>
        <v>#REF!</v>
      </c>
      <c r="AR64" t="e">
        <f>#REF!+";Hb!%'5"</f>
        <v>#REF!</v>
      </c>
      <c r="AS64" t="e">
        <f>#REF!+";Hb!%'6"</f>
        <v>#REF!</v>
      </c>
      <c r="AT64" t="e">
        <f>#REF!+";Hb!%'7"</f>
        <v>#REF!</v>
      </c>
      <c r="AU64" t="e">
        <f>#REF!+";Hb!%'8"</f>
        <v>#REF!</v>
      </c>
      <c r="AV64" t="e">
        <f>#REF!+";Hb!%'9"</f>
        <v>#REF!</v>
      </c>
      <c r="AW64" t="e">
        <f>#REF!+";Hb!%':"</f>
        <v>#REF!</v>
      </c>
      <c r="AX64" t="e">
        <f>#REF!+";Hb!%';"</f>
        <v>#REF!</v>
      </c>
      <c r="AY64" t="e">
        <f>#REF!+";Hb!%'&lt;"</f>
        <v>#REF!</v>
      </c>
      <c r="AZ64" t="e">
        <f>#REF!+";Hb!%'="</f>
        <v>#REF!</v>
      </c>
      <c r="BA64" t="e">
        <f>#REF!+";Hb!%'&gt;"</f>
        <v>#REF!</v>
      </c>
      <c r="BB64" t="e">
        <f>#REF!+";Hb!%'?"</f>
        <v>#REF!</v>
      </c>
      <c r="BC64" t="e">
        <f>#REF!+";Hb!%'@"</f>
        <v>#REF!</v>
      </c>
      <c r="BD64" t="e">
        <f>#REF!+";Hb!%'A"</f>
        <v>#REF!</v>
      </c>
      <c r="BE64" t="e">
        <f>#REF!+";Hb!%'B"</f>
        <v>#REF!</v>
      </c>
      <c r="BF64" t="e">
        <f>#REF!+";Hb!%'C"</f>
        <v>#REF!</v>
      </c>
      <c r="BG64" t="e">
        <f>#REF!+";Hb!%'D"</f>
        <v>#REF!</v>
      </c>
      <c r="BH64" t="e">
        <f>#REF!+";Hb!%'E"</f>
        <v>#REF!</v>
      </c>
      <c r="BI64" t="e">
        <f>#REF!+";Hb!%'F"</f>
        <v>#REF!</v>
      </c>
      <c r="BJ64" t="e">
        <f>#REF!+";Hb!%'G"</f>
        <v>#REF!</v>
      </c>
      <c r="BK64" t="e">
        <f>#REF!+";Hb!%'H"</f>
        <v>#REF!</v>
      </c>
      <c r="BL64" t="e">
        <f>#REF!+";Hb!%'I"</f>
        <v>#REF!</v>
      </c>
      <c r="BM64" t="e">
        <f>#REF!+";Hb!%'J"</f>
        <v>#REF!</v>
      </c>
      <c r="BN64" t="e">
        <f>#REF!+";Hb!%'K"</f>
        <v>#REF!</v>
      </c>
      <c r="BO64" t="e">
        <f>#REF!+";Hb!%'L"</f>
        <v>#REF!</v>
      </c>
      <c r="BP64" t="e">
        <f>#REF!+";Hb!%'M"</f>
        <v>#REF!</v>
      </c>
      <c r="BQ64" t="e">
        <f>#REF!+";Hb!%'N"</f>
        <v>#REF!</v>
      </c>
      <c r="BR64" t="e">
        <f>#REF!+";Hb!%'O"</f>
        <v>#REF!</v>
      </c>
      <c r="BS64" t="e">
        <f>#REF!+";Hb!%'P"</f>
        <v>#REF!</v>
      </c>
      <c r="BT64" t="e">
        <f>#REF!+";Hb!%'Q"</f>
        <v>#REF!</v>
      </c>
      <c r="BU64" t="e">
        <f>#REF!+";Hb!%'R"</f>
        <v>#REF!</v>
      </c>
      <c r="BV64" t="e">
        <f>#REF!+";Hb!%'S"</f>
        <v>#REF!</v>
      </c>
      <c r="BW64" t="e">
        <f>#REF!+";Hb!%'T"</f>
        <v>#REF!</v>
      </c>
      <c r="BX64" t="e">
        <f>#REF!+";Hb!%'U"</f>
        <v>#REF!</v>
      </c>
      <c r="BY64" t="e">
        <f>#REF!+";Hb!%'V"</f>
        <v>#REF!</v>
      </c>
      <c r="BZ64" t="e">
        <f>#REF!+";Hb!%'W"</f>
        <v>#REF!</v>
      </c>
      <c r="CA64" t="e">
        <f>#REF!+";Hb!%'X"</f>
        <v>#REF!</v>
      </c>
      <c r="CB64" t="e">
        <f>#REF!+";Hb!%'Y"</f>
        <v>#REF!</v>
      </c>
      <c r="CC64" t="e">
        <f>#REF!+";Hb!%'Z"</f>
        <v>#REF!</v>
      </c>
      <c r="CD64" t="e">
        <f>#REF!+";Hb!%'["</f>
        <v>#REF!</v>
      </c>
      <c r="CE64" t="e">
        <f>#REF!+";Hb!%'\"</f>
        <v>#REF!</v>
      </c>
      <c r="CF64" t="e">
        <f>#REF!+";Hb!%']"</f>
        <v>#REF!</v>
      </c>
      <c r="CG64" t="e">
        <f>#REF!+";Hb!%'^"</f>
        <v>#REF!</v>
      </c>
      <c r="CH64" t="e">
        <f>#REF!+";Hb!%'_"</f>
        <v>#REF!</v>
      </c>
      <c r="CI64" t="e">
        <f>#REF!+";Hb!%'`"</f>
        <v>#REF!</v>
      </c>
      <c r="CJ64" t="e">
        <f>#REF!+";Hb!%'a"</f>
        <v>#REF!</v>
      </c>
      <c r="CK64" t="e">
        <f>#REF!+";Hb!%'b"</f>
        <v>#REF!</v>
      </c>
      <c r="CL64" t="e">
        <f>#REF!+";Hb!%'c"</f>
        <v>#REF!</v>
      </c>
      <c r="CM64" t="e">
        <f>#REF!+";Hb!%'d"</f>
        <v>#REF!</v>
      </c>
      <c r="CN64" t="e">
        <f>#REF!+";Hb!%'e"</f>
        <v>#REF!</v>
      </c>
      <c r="CO64" t="e">
        <f>#REF!+";Hb!%'f"</f>
        <v>#REF!</v>
      </c>
      <c r="CP64" t="e">
        <f>#REF!+";Hb!%'g"</f>
        <v>#REF!</v>
      </c>
      <c r="CQ64" t="e">
        <f>#REF!+";Hb!%'h"</f>
        <v>#REF!</v>
      </c>
      <c r="CR64" t="e">
        <f>#REF!+";Hb!%'i"</f>
        <v>#REF!</v>
      </c>
      <c r="CS64" t="e">
        <f>#REF!+";Hb!%'j"</f>
        <v>#REF!</v>
      </c>
      <c r="CT64" t="e">
        <f>#REF!+";Hb!%'k"</f>
        <v>#REF!</v>
      </c>
      <c r="CU64" t="e">
        <f>#REF!+";Hb!%'l"</f>
        <v>#REF!</v>
      </c>
      <c r="CV64" t="e">
        <f>#REF!+";Hb!%'m"</f>
        <v>#REF!</v>
      </c>
      <c r="CW64" t="e">
        <f>#REF!+";Hb!%'n"</f>
        <v>#REF!</v>
      </c>
      <c r="CX64" t="e">
        <f>#REF!+";Hb!%'o"</f>
        <v>#REF!</v>
      </c>
      <c r="CY64" t="e">
        <f>#REF!+";Hb!%'p"</f>
        <v>#REF!</v>
      </c>
      <c r="CZ64" t="e">
        <f>#REF!+";Hb!%'q"</f>
        <v>#REF!</v>
      </c>
      <c r="DA64" t="e">
        <f>#REF!+";Hb!%'r"</f>
        <v>#REF!</v>
      </c>
      <c r="DB64" t="e">
        <f>#REF!+";Hb!%'s"</f>
        <v>#REF!</v>
      </c>
      <c r="DC64" t="e">
        <f>#REF!+";Hb!%'t"</f>
        <v>#REF!</v>
      </c>
      <c r="DD64" t="e">
        <f>#REF!+";Hb!%'u"</f>
        <v>#REF!</v>
      </c>
      <c r="DE64" t="e">
        <f>#REF!+";Hb!%'v"</f>
        <v>#REF!</v>
      </c>
      <c r="DF64" t="e">
        <f>#REF!+";Hb!%'w"</f>
        <v>#REF!</v>
      </c>
      <c r="DG64" t="e">
        <f>#REF!+";Hb!%'x"</f>
        <v>#REF!</v>
      </c>
      <c r="DH64" t="e">
        <f>#REF!+";Hb!%'y"</f>
        <v>#REF!</v>
      </c>
      <c r="DI64" t="e">
        <f>#REF!+";Hb!%'z"</f>
        <v>#REF!</v>
      </c>
      <c r="DJ64" t="e">
        <f>#REF!+";Hb!%'{"</f>
        <v>#REF!</v>
      </c>
      <c r="DK64" t="e">
        <f>#REF!+";Hb!%'|"</f>
        <v>#REF!</v>
      </c>
      <c r="DL64" t="e">
        <f>#REF!+";Hb!%'}"</f>
        <v>#REF!</v>
      </c>
      <c r="DM64" t="e">
        <f>#REF!+";Hb!%'~"</f>
        <v>#REF!</v>
      </c>
      <c r="DN64" t="e">
        <f>#REF!+";Hb!%(#"</f>
        <v>#REF!</v>
      </c>
      <c r="DO64" t="e">
        <f>#REF!+";Hb!%($"</f>
        <v>#REF!</v>
      </c>
      <c r="DP64" t="e">
        <f>#REF!+";Hb!%(%"</f>
        <v>#REF!</v>
      </c>
      <c r="DQ64" t="e">
        <f>#REF!+";Hb!%(&amp;"</f>
        <v>#REF!</v>
      </c>
      <c r="DR64" t="e">
        <f>#REF!+";Hb!%('"</f>
        <v>#REF!</v>
      </c>
      <c r="DS64" t="e">
        <f>#REF!+";Hb!%(("</f>
        <v>#REF!</v>
      </c>
      <c r="DT64" t="e">
        <f>#REF!+";Hb!%()"</f>
        <v>#REF!</v>
      </c>
      <c r="DU64" t="e">
        <f>#REF!+";Hb!%(."</f>
        <v>#REF!</v>
      </c>
      <c r="DV64" t="e">
        <f>#REF!+";Hb!%(/"</f>
        <v>#REF!</v>
      </c>
      <c r="DW64" t="e">
        <f>#REF!+";Hb!%(0"</f>
        <v>#REF!</v>
      </c>
      <c r="DX64" t="e">
        <f>#REF!+";Hb!%(1"</f>
        <v>#REF!</v>
      </c>
      <c r="DY64" t="e">
        <f>#REF!+";Hb!%(2"</f>
        <v>#REF!</v>
      </c>
      <c r="DZ64" t="e">
        <f>#REF!+";Hb!%(3"</f>
        <v>#REF!</v>
      </c>
      <c r="EA64" t="e">
        <f>#REF!+";Hb!%(4"</f>
        <v>#REF!</v>
      </c>
      <c r="EB64" t="e">
        <f>#REF!+";Hb!%(5"</f>
        <v>#REF!</v>
      </c>
      <c r="EC64" t="e">
        <f>#REF!+";Hb!%(6"</f>
        <v>#REF!</v>
      </c>
      <c r="ED64" t="e">
        <f>#REF!+";Hb!%(7"</f>
        <v>#REF!</v>
      </c>
      <c r="EE64" t="e">
        <f>#REF!+";Hb!%(8"</f>
        <v>#REF!</v>
      </c>
      <c r="EF64" t="e">
        <f>#REF!+";Hb!%(9"</f>
        <v>#REF!</v>
      </c>
      <c r="EG64" t="e">
        <f>#REF!+";Hb!%(:"</f>
        <v>#REF!</v>
      </c>
      <c r="EH64" t="e">
        <f>#REF!+";Hb!%(;"</f>
        <v>#REF!</v>
      </c>
      <c r="EI64" t="e">
        <f>#REF!+";Hb!%(&lt;"</f>
        <v>#REF!</v>
      </c>
      <c r="EJ64" t="e">
        <f>#REF!+";Hb!%(="</f>
        <v>#REF!</v>
      </c>
      <c r="EK64" t="e">
        <f>#REF!+";Hb!%(&gt;"</f>
        <v>#REF!</v>
      </c>
      <c r="EL64" t="e">
        <f>#REF!+";Hb!%(?"</f>
        <v>#REF!</v>
      </c>
      <c r="EM64" t="e">
        <f>#REF!+";Hb!%(@"</f>
        <v>#REF!</v>
      </c>
      <c r="EN64" t="e">
        <f>#REF!+";Hb!%(A"</f>
        <v>#REF!</v>
      </c>
      <c r="EO64" t="e">
        <f>#REF!+";Hb!%(B"</f>
        <v>#REF!</v>
      </c>
      <c r="EP64" t="e">
        <f>#REF!+";Hb!%(C"</f>
        <v>#REF!</v>
      </c>
      <c r="EQ64" t="e">
        <f>#REF!+";Hb!%(D"</f>
        <v>#REF!</v>
      </c>
      <c r="ER64" t="e">
        <f>#REF!+";Hb!%(E"</f>
        <v>#REF!</v>
      </c>
      <c r="ES64" t="e">
        <f>#REF!+";Hb!%(F"</f>
        <v>#REF!</v>
      </c>
      <c r="ET64" t="e">
        <f>#REF!+";Hb!%(G"</f>
        <v>#REF!</v>
      </c>
      <c r="EU64" t="e">
        <f>#REF!+";Hb!%(H"</f>
        <v>#REF!</v>
      </c>
      <c r="EV64" t="e">
        <f>#REF!+";Hb!%(I"</f>
        <v>#REF!</v>
      </c>
      <c r="EW64" t="e">
        <f>#REF!+";Hb!%(J"</f>
        <v>#REF!</v>
      </c>
      <c r="EX64" t="e">
        <f>#REF!+";Hb!%(K"</f>
        <v>#REF!</v>
      </c>
      <c r="EY64" t="e">
        <f>#REF!+";Hb!%(L"</f>
        <v>#REF!</v>
      </c>
      <c r="EZ64" t="e">
        <f>#REF!+";Hb!%(M"</f>
        <v>#REF!</v>
      </c>
      <c r="FA64" t="e">
        <f>#REF!+";Hb!%(N"</f>
        <v>#REF!</v>
      </c>
      <c r="FB64" t="e">
        <f>#REF!+";Hb!%(O"</f>
        <v>#REF!</v>
      </c>
      <c r="FC64" t="e">
        <f>#REF!+";Hb!%(P"</f>
        <v>#REF!</v>
      </c>
      <c r="FD64" t="e">
        <f>#REF!+";Hb!%(Q"</f>
        <v>#REF!</v>
      </c>
      <c r="FE64" t="e">
        <f>#REF!+";Hb!%(R"</f>
        <v>#REF!</v>
      </c>
      <c r="FF64" t="e">
        <f>#REF!+";Hb!%(S"</f>
        <v>#REF!</v>
      </c>
      <c r="FG64" t="e">
        <f>#REF!+";Hb!%(T"</f>
        <v>#REF!</v>
      </c>
      <c r="FH64" t="e">
        <f>#REF!+";Hb!%(U"</f>
        <v>#REF!</v>
      </c>
      <c r="FI64" t="e">
        <f>#REF!+";Hb!%(V"</f>
        <v>#REF!</v>
      </c>
      <c r="FJ64" t="e">
        <f>#REF!+";Hb!%(W"</f>
        <v>#REF!</v>
      </c>
      <c r="FK64" t="e">
        <f>#REF!+";Hb!%(X"</f>
        <v>#REF!</v>
      </c>
      <c r="FL64" t="e">
        <f>#REF!+";Hb!%(Y"</f>
        <v>#REF!</v>
      </c>
      <c r="FM64" t="e">
        <f>#REF!+";Hb!%(Z"</f>
        <v>#REF!</v>
      </c>
      <c r="FN64" t="e">
        <f>#REF!+";Hb!%(["</f>
        <v>#REF!</v>
      </c>
      <c r="FO64" t="e">
        <f>#REF!+";Hb!%(\"</f>
        <v>#REF!</v>
      </c>
      <c r="FP64" t="e">
        <f>#REF!+";Hb!%(]"</f>
        <v>#REF!</v>
      </c>
      <c r="FQ64" t="e">
        <f>#REF!+";Hb!%(^"</f>
        <v>#REF!</v>
      </c>
      <c r="FR64" t="e">
        <f>#REF!+";Hb!%(_"</f>
        <v>#REF!</v>
      </c>
      <c r="FS64" t="e">
        <f>#REF!+";Hb!%(`"</f>
        <v>#REF!</v>
      </c>
      <c r="FT64" t="e">
        <f>#REF!+";Hb!%(a"</f>
        <v>#REF!</v>
      </c>
      <c r="FU64" t="e">
        <f>#REF!+";Hb!%(b"</f>
        <v>#REF!</v>
      </c>
      <c r="FV64" t="e">
        <f>#REF!+";Hb!%(c"</f>
        <v>#REF!</v>
      </c>
      <c r="FW64" t="e">
        <f>#REF!+";Hb!%(d"</f>
        <v>#REF!</v>
      </c>
      <c r="FX64" t="e">
        <f>#REF!+";Hb!%(e"</f>
        <v>#REF!</v>
      </c>
      <c r="FY64" t="e">
        <f>#REF!+";Hb!%(f"</f>
        <v>#REF!</v>
      </c>
      <c r="FZ64" t="e">
        <f>#REF!+";Hb!%(g"</f>
        <v>#REF!</v>
      </c>
      <c r="GA64" t="e">
        <f>#REF!+";Hb!%(h"</f>
        <v>#REF!</v>
      </c>
      <c r="GB64" t="e">
        <f>#REF!+";Hb!%(i"</f>
        <v>#REF!</v>
      </c>
      <c r="GC64" t="e">
        <f>#REF!+";Hb!%(j"</f>
        <v>#REF!</v>
      </c>
      <c r="GD64" t="e">
        <f>#REF!+";Hb!%(k"</f>
        <v>#REF!</v>
      </c>
      <c r="GE64" t="e">
        <f>#REF!+";Hb!%(l"</f>
        <v>#REF!</v>
      </c>
      <c r="GF64" t="e">
        <f>#REF!+";Hb!%(m"</f>
        <v>#REF!</v>
      </c>
      <c r="GG64" t="e">
        <f>#REF!+";Hb!%(n"</f>
        <v>#REF!</v>
      </c>
      <c r="GH64" t="e">
        <f>#REF!+";Hb!%(o"</f>
        <v>#REF!</v>
      </c>
      <c r="GI64" t="e">
        <f>#REF!+";Hb!%(p"</f>
        <v>#REF!</v>
      </c>
      <c r="GJ64" t="e">
        <f>#REF!+";Hb!%(q"</f>
        <v>#REF!</v>
      </c>
      <c r="GK64" t="e">
        <f>#REF!+";Hb!%(r"</f>
        <v>#REF!</v>
      </c>
      <c r="GL64" t="e">
        <f>#REF!+";Hb!%(s"</f>
        <v>#REF!</v>
      </c>
      <c r="GM64" t="e">
        <f>#REF!+";Hb!%(t"</f>
        <v>#REF!</v>
      </c>
      <c r="GN64" t="e">
        <f>#REF!+";Hb!%(u"</f>
        <v>#REF!</v>
      </c>
      <c r="GO64" t="e">
        <f>#REF!+";Hb!%(v"</f>
        <v>#REF!</v>
      </c>
      <c r="GP64" t="e">
        <f>#REF!+";Hb!%(w"</f>
        <v>#REF!</v>
      </c>
      <c r="GQ64" t="e">
        <f>#REF!+";Hb!%(x"</f>
        <v>#REF!</v>
      </c>
      <c r="GR64" t="e">
        <f>#REF!+";Hb!%(y"</f>
        <v>#REF!</v>
      </c>
      <c r="GS64" t="e">
        <f>#REF!+";Hb!%(z"</f>
        <v>#REF!</v>
      </c>
      <c r="GT64" t="e">
        <f>#REF!+";Hb!%({"</f>
        <v>#REF!</v>
      </c>
      <c r="GU64" t="e">
        <f>#REF!+";Hb!%(|"</f>
        <v>#REF!</v>
      </c>
      <c r="GV64" t="e">
        <f>#REF!+";Hb!%(}"</f>
        <v>#REF!</v>
      </c>
      <c r="GW64" t="e">
        <f>#REF!+";Hb!%(~"</f>
        <v>#REF!</v>
      </c>
      <c r="GX64" t="e">
        <f>#REF!+";Hb!%)#"</f>
        <v>#REF!</v>
      </c>
      <c r="GY64" t="e">
        <f>#REF!+";Hb!%)$"</f>
        <v>#REF!</v>
      </c>
      <c r="GZ64" t="e">
        <f>#REF!+";Hb!%)%"</f>
        <v>#REF!</v>
      </c>
      <c r="HA64" t="e">
        <f>#REF!+";Hb!%)&amp;"</f>
        <v>#REF!</v>
      </c>
      <c r="HB64" t="e">
        <f>#REF!+";Hb!%)'"</f>
        <v>#REF!</v>
      </c>
      <c r="HC64" t="e">
        <f>#REF!+";Hb!%)("</f>
        <v>#REF!</v>
      </c>
      <c r="HD64" t="e">
        <f>#REF!+";Hb!%))"</f>
        <v>#REF!</v>
      </c>
      <c r="HE64" t="e">
        <f>#REF!+";Hb!%)."</f>
        <v>#REF!</v>
      </c>
      <c r="HF64" t="e">
        <f>#REF!+";Hb!%)/"</f>
        <v>#REF!</v>
      </c>
      <c r="HG64" t="e">
        <f>#REF!+";Hb!%)0"</f>
        <v>#REF!</v>
      </c>
      <c r="HH64" t="e">
        <f>#REF!+";Hb!%)1"</f>
        <v>#REF!</v>
      </c>
      <c r="HI64" t="e">
        <f>#REF!+";Hb!%)2"</f>
        <v>#REF!</v>
      </c>
      <c r="HJ64" t="e">
        <f>#REF!+";Hb!%)3"</f>
        <v>#REF!</v>
      </c>
      <c r="HK64" t="e">
        <f>#REF!+";Hb!%)4"</f>
        <v>#REF!</v>
      </c>
      <c r="HL64" t="e">
        <f>#REF!+";Hb!%)5"</f>
        <v>#REF!</v>
      </c>
      <c r="HM64" t="e">
        <f>#REF!+";Hb!%)6"</f>
        <v>#REF!</v>
      </c>
      <c r="HN64" t="e">
        <f>#REF!+";Hb!%)7"</f>
        <v>#REF!</v>
      </c>
      <c r="HO64" t="e">
        <f>#REF!+";Hb!%)8"</f>
        <v>#REF!</v>
      </c>
      <c r="HP64" t="e">
        <f>#REF!+";Hb!%)9"</f>
        <v>#REF!</v>
      </c>
      <c r="HQ64" t="e">
        <f>#REF!+";Hb!%):"</f>
        <v>#REF!</v>
      </c>
      <c r="HR64" t="e">
        <f>#REF!+";Hb!%);"</f>
        <v>#REF!</v>
      </c>
      <c r="HS64" t="e">
        <f>#REF!+";Hb!%)&lt;"</f>
        <v>#REF!</v>
      </c>
      <c r="HT64" t="e">
        <f>#REF!+";Hb!%)="</f>
        <v>#REF!</v>
      </c>
      <c r="HU64" t="e">
        <f>#REF!+";Hb!%)&gt;"</f>
        <v>#REF!</v>
      </c>
      <c r="HV64" t="e">
        <f>#REF!+";Hb!%)?"</f>
        <v>#REF!</v>
      </c>
      <c r="HW64" t="e">
        <f>#REF!+";Hb!%)@"</f>
        <v>#REF!</v>
      </c>
      <c r="HX64" t="e">
        <f>#REF!+";Hb!%)A"</f>
        <v>#REF!</v>
      </c>
      <c r="HY64" t="e">
        <f>#REF!+";Hb!%)B"</f>
        <v>#REF!</v>
      </c>
      <c r="HZ64" t="e">
        <f>#REF!+";Hb!%)C"</f>
        <v>#REF!</v>
      </c>
      <c r="IA64" t="e">
        <f>#REF!+";Hb!%)D"</f>
        <v>#REF!</v>
      </c>
      <c r="IB64" t="e">
        <f>#REF!+";Hb!%)E"</f>
        <v>#REF!</v>
      </c>
      <c r="IC64" t="e">
        <f>#REF!+";Hb!%)F"</f>
        <v>#REF!</v>
      </c>
      <c r="ID64" t="e">
        <f>#REF!+";Hb!%)G"</f>
        <v>#REF!</v>
      </c>
      <c r="IE64" t="e">
        <f>#REF!+";Hb!%)H"</f>
        <v>#REF!</v>
      </c>
      <c r="IF64" t="e">
        <f>#REF!+";Hb!%)I"</f>
        <v>#REF!</v>
      </c>
      <c r="IG64" t="e">
        <f>#REF!+";Hb!%)J"</f>
        <v>#REF!</v>
      </c>
      <c r="IH64" t="e">
        <f>#REF!+";Hb!%)K"</f>
        <v>#REF!</v>
      </c>
      <c r="II64" t="e">
        <f>#REF!+";Hb!%)L"</f>
        <v>#REF!</v>
      </c>
      <c r="IJ64" t="e">
        <f>#REF!+";Hb!%)M"</f>
        <v>#REF!</v>
      </c>
      <c r="IK64" t="e">
        <f>#REF!+";Hb!%)N"</f>
        <v>#REF!</v>
      </c>
      <c r="IL64" t="e">
        <f>#REF!+";Hb!%)O"</f>
        <v>#REF!</v>
      </c>
      <c r="IM64" t="e">
        <f>#REF!+";Hb!%)P"</f>
        <v>#REF!</v>
      </c>
      <c r="IN64" t="e">
        <f>#REF!+";Hb!%)Q"</f>
        <v>#REF!</v>
      </c>
      <c r="IO64" t="e">
        <f>#REF!+";Hb!%)R"</f>
        <v>#REF!</v>
      </c>
      <c r="IP64" t="e">
        <f>#REF!+";Hb!%)S"</f>
        <v>#REF!</v>
      </c>
      <c r="IQ64" t="e">
        <f>#REF!+";Hb!%)T"</f>
        <v>#REF!</v>
      </c>
      <c r="IR64" t="e">
        <f>#REF!+";Hb!%)U"</f>
        <v>#REF!</v>
      </c>
      <c r="IS64" t="e">
        <f>#REF!+";Hb!%)V"</f>
        <v>#REF!</v>
      </c>
      <c r="IT64" t="e">
        <f>#REF!+";Hb!%)W"</f>
        <v>#REF!</v>
      </c>
      <c r="IU64" t="e">
        <f>#REF!+";Hb!%)X"</f>
        <v>#REF!</v>
      </c>
      <c r="IV64" t="e">
        <f>#REF!+";Hb!%)Y"</f>
        <v>#REF!</v>
      </c>
    </row>
    <row r="65" spans="6:256" x14ac:dyDescent="0.25">
      <c r="F65" t="e">
        <f>#REF!+";Hb!%)Z"</f>
        <v>#REF!</v>
      </c>
      <c r="G65" t="e">
        <f>#REF!+";Hb!%)["</f>
        <v>#REF!</v>
      </c>
      <c r="H65" t="e">
        <f>#REF!+";Hb!%)\"</f>
        <v>#REF!</v>
      </c>
      <c r="I65" t="e">
        <f>#REF!+";Hb!%)]"</f>
        <v>#REF!</v>
      </c>
      <c r="J65" t="e">
        <f>#REF!+";Hb!%)^"</f>
        <v>#REF!</v>
      </c>
      <c r="K65" t="e">
        <f>#REF!+";Hb!%)_"</f>
        <v>#REF!</v>
      </c>
      <c r="L65" t="e">
        <f>#REF!+";Hb!%)`"</f>
        <v>#REF!</v>
      </c>
      <c r="M65" t="e">
        <f>#REF!+";Hb!%)a"</f>
        <v>#REF!</v>
      </c>
      <c r="N65" t="e">
        <f>#REF!+";Hb!%)b"</f>
        <v>#REF!</v>
      </c>
      <c r="O65" t="e">
        <f>#REF!+";Hb!%)c"</f>
        <v>#REF!</v>
      </c>
      <c r="P65" t="e">
        <f>#REF!+";Hb!%)d"</f>
        <v>#REF!</v>
      </c>
      <c r="Q65" t="e">
        <f>#REF!+";Hb!%)e"</f>
        <v>#REF!</v>
      </c>
      <c r="R65" t="e">
        <f>#REF!+";Hb!%)f"</f>
        <v>#REF!</v>
      </c>
      <c r="S65" t="e">
        <f>#REF!+";Hb!%)g"</f>
        <v>#REF!</v>
      </c>
      <c r="T65" t="e">
        <f>#REF!+";Hb!%)h"</f>
        <v>#REF!</v>
      </c>
      <c r="U65" t="e">
        <f>#REF!+";Hb!%)i"</f>
        <v>#REF!</v>
      </c>
      <c r="V65" t="e">
        <f>#REF!+";Hb!%)j"</f>
        <v>#REF!</v>
      </c>
      <c r="W65" t="e">
        <f>#REF!+";Hb!%)k"</f>
        <v>#REF!</v>
      </c>
      <c r="X65" t="e">
        <f>#REF!+";Hb!%)l"</f>
        <v>#REF!</v>
      </c>
      <c r="Y65" t="e">
        <f>#REF!+";Hb!%)m"</f>
        <v>#REF!</v>
      </c>
      <c r="Z65" t="e">
        <f>#REF!+";Hb!%)n"</f>
        <v>#REF!</v>
      </c>
      <c r="AA65" t="e">
        <f>#REF!+";Hb!%)o"</f>
        <v>#REF!</v>
      </c>
      <c r="AB65" t="e">
        <f>#REF!+";Hb!%)p"</f>
        <v>#REF!</v>
      </c>
      <c r="AC65" t="e">
        <f>#REF!+";Hb!%)q"</f>
        <v>#REF!</v>
      </c>
      <c r="AD65" t="e">
        <f>#REF!+";Hb!%)r"</f>
        <v>#REF!</v>
      </c>
      <c r="AE65" t="e">
        <f>#REF!+";Hb!%)s"</f>
        <v>#REF!</v>
      </c>
      <c r="AF65" t="e">
        <f>#REF!+";Hb!%)t"</f>
        <v>#REF!</v>
      </c>
      <c r="AG65" t="e">
        <f>#REF!+";Hb!%)u"</f>
        <v>#REF!</v>
      </c>
      <c r="AH65" t="e">
        <f>#REF!+";Hb!%)v"</f>
        <v>#REF!</v>
      </c>
      <c r="AI65" t="e">
        <f>#REF!+";Hb!%)w"</f>
        <v>#REF!</v>
      </c>
      <c r="AJ65" t="e">
        <f>#REF!+";Hb!%)x"</f>
        <v>#REF!</v>
      </c>
      <c r="AK65" t="e">
        <f>#REF!+";Hb!%)y"</f>
        <v>#REF!</v>
      </c>
      <c r="AL65" t="e">
        <f>#REF!+";Hb!%)z"</f>
        <v>#REF!</v>
      </c>
      <c r="AM65" t="e">
        <f>#REF!+";Hb!%){"</f>
        <v>#REF!</v>
      </c>
      <c r="AN65" t="e">
        <f>#REF!+";Hb!%)|"</f>
        <v>#REF!</v>
      </c>
      <c r="AO65" t="e">
        <f>#REF!+";Hb!%)}"</f>
        <v>#REF!</v>
      </c>
      <c r="AP65" t="e">
        <f>#REF!+";Hb!%)~"</f>
        <v>#REF!</v>
      </c>
      <c r="AQ65" t="e">
        <f>#REF!+";Hb!%.#"</f>
        <v>#REF!</v>
      </c>
      <c r="AR65" t="e">
        <f>#REF!+";Hb!%.$"</f>
        <v>#REF!</v>
      </c>
      <c r="AS65" t="e">
        <f>#REF!+";Hb!%.%"</f>
        <v>#REF!</v>
      </c>
      <c r="AT65" t="e">
        <f>#REF!+";Hb!%.&amp;"</f>
        <v>#REF!</v>
      </c>
      <c r="AU65" t="e">
        <f>#REF!+";Hb!%.'"</f>
        <v>#REF!</v>
      </c>
      <c r="AV65" t="e">
        <f>#REF!+";Hb!%.("</f>
        <v>#REF!</v>
      </c>
      <c r="AW65" t="e">
        <f>#REF!+";Hb!%.)"</f>
        <v>#REF!</v>
      </c>
      <c r="AX65" t="e">
        <f>#REF!+";Hb!%.."</f>
        <v>#REF!</v>
      </c>
      <c r="AY65" t="e">
        <f>#REF!+";Hb!%./"</f>
        <v>#REF!</v>
      </c>
      <c r="AZ65" t="e">
        <f>#REF!+";Hb!%.0"</f>
        <v>#REF!</v>
      </c>
      <c r="BA65" t="e">
        <f>#REF!+";Hb!%.1"</f>
        <v>#REF!</v>
      </c>
      <c r="BB65" t="e">
        <f>#REF!+";Hb!%.2"</f>
        <v>#REF!</v>
      </c>
      <c r="BC65" t="e">
        <f>#REF!+";Hb!%.3"</f>
        <v>#REF!</v>
      </c>
      <c r="BD65" t="e">
        <f>#REF!+";Hb!%.4"</f>
        <v>#REF!</v>
      </c>
      <c r="BE65" t="e">
        <f>#REF!+";Hb!%.5"</f>
        <v>#REF!</v>
      </c>
      <c r="BF65" t="e">
        <f>#REF!+";Hb!%.6"</f>
        <v>#REF!</v>
      </c>
      <c r="BG65" t="e">
        <f>#REF!+";Hb!%.7"</f>
        <v>#REF!</v>
      </c>
      <c r="BH65" t="e">
        <f>#REF!+";Hb!%.8"</f>
        <v>#REF!</v>
      </c>
      <c r="BI65" t="e">
        <f>#REF!+";Hb!%.9"</f>
        <v>#REF!</v>
      </c>
      <c r="BJ65" t="e">
        <f>#REF!+";Hb!%.:"</f>
        <v>#REF!</v>
      </c>
      <c r="BK65" t="e">
        <f>#REF!+";Hb!%.;"</f>
        <v>#REF!</v>
      </c>
      <c r="BL65" t="e">
        <f>#REF!+";Hb!%.&lt;"</f>
        <v>#REF!</v>
      </c>
      <c r="BM65" t="e">
        <f>#REF!+";Hb!%.="</f>
        <v>#REF!</v>
      </c>
      <c r="BN65" t="e">
        <f>#REF!+";Hb!%.&gt;"</f>
        <v>#REF!</v>
      </c>
      <c r="BO65" t="e">
        <f>#REF!+";Hb!%.?"</f>
        <v>#REF!</v>
      </c>
      <c r="BP65" t="e">
        <f>#REF!+";Hb!%.@"</f>
        <v>#REF!</v>
      </c>
      <c r="BQ65" t="e">
        <f>#REF!+";Hb!%.A"</f>
        <v>#REF!</v>
      </c>
      <c r="BR65" t="e">
        <f>#REF!+";Hb!%.B"</f>
        <v>#REF!</v>
      </c>
      <c r="BS65" t="e">
        <f>#REF!+";Hb!%.C"</f>
        <v>#REF!</v>
      </c>
      <c r="BT65" t="e">
        <f>#REF!+";Hb!%.D"</f>
        <v>#REF!</v>
      </c>
      <c r="BU65" t="e">
        <f>#REF!+";Hb!%.E"</f>
        <v>#REF!</v>
      </c>
      <c r="BV65" t="e">
        <f>#REF!+";Hb!%.F"</f>
        <v>#REF!</v>
      </c>
      <c r="BW65" t="e">
        <f>#REF!+";Hb!%.G"</f>
        <v>#REF!</v>
      </c>
      <c r="BX65" t="e">
        <f>#REF!+";Hb!%.H"</f>
        <v>#REF!</v>
      </c>
      <c r="BY65" t="e">
        <f>#REF!+";Hb!%.I"</f>
        <v>#REF!</v>
      </c>
      <c r="BZ65" t="e">
        <f>#REF!+";Hb!%.J"</f>
        <v>#REF!</v>
      </c>
      <c r="CA65" t="e">
        <f>#REF!+";Hb!%.K"</f>
        <v>#REF!</v>
      </c>
      <c r="CB65" t="e">
        <f>#REF!+";Hb!%.L"</f>
        <v>#REF!</v>
      </c>
      <c r="CC65" t="e">
        <f>#REF!+";Hb!%.M"</f>
        <v>#REF!</v>
      </c>
      <c r="CD65" t="e">
        <f>#REF!+";Hb!%.N"</f>
        <v>#REF!</v>
      </c>
      <c r="CE65" t="e">
        <f>#REF!+";Hb!%.O"</f>
        <v>#REF!</v>
      </c>
      <c r="CF65" t="e">
        <f>#REF!+";Hb!%.P"</f>
        <v>#REF!</v>
      </c>
      <c r="CG65" t="e">
        <f>#REF!+";Hb!%.Q"</f>
        <v>#REF!</v>
      </c>
      <c r="CH65" t="e">
        <f>#REF!+";Hb!%.R"</f>
        <v>#REF!</v>
      </c>
      <c r="CI65" t="e">
        <f>#REF!+";Hb!%.S"</f>
        <v>#REF!</v>
      </c>
      <c r="CJ65" t="e">
        <f>#REF!+";Hb!%.T"</f>
        <v>#REF!</v>
      </c>
      <c r="CK65" t="e">
        <f>#REF!+";Hb!%.U"</f>
        <v>#REF!</v>
      </c>
      <c r="CL65" t="e">
        <f>#REF!+";Hb!%.V"</f>
        <v>#REF!</v>
      </c>
      <c r="CM65" t="e">
        <f>#REF!+";Hb!%.W"</f>
        <v>#REF!</v>
      </c>
      <c r="CN65" t="e">
        <f>#REF!+";Hb!%.X"</f>
        <v>#REF!</v>
      </c>
      <c r="CO65" t="e">
        <f>#REF!+";Hb!%.Y"</f>
        <v>#REF!</v>
      </c>
      <c r="CP65" t="e">
        <f>#REF!+";Hb!%.Z"</f>
        <v>#REF!</v>
      </c>
      <c r="CQ65" t="e">
        <f>#REF!+";Hb!%.["</f>
        <v>#REF!</v>
      </c>
      <c r="CR65" t="e">
        <f>#REF!+";Hb!%.\"</f>
        <v>#REF!</v>
      </c>
      <c r="CS65" t="e">
        <f>#REF!+";Hb!%.]"</f>
        <v>#REF!</v>
      </c>
      <c r="CT65" t="e">
        <f>#REF!+";Hb!%.^"</f>
        <v>#REF!</v>
      </c>
      <c r="CU65" t="e">
        <f>#REF!+";Hb!%._"</f>
        <v>#REF!</v>
      </c>
      <c r="CV65" t="e">
        <f>#REF!+";Hb!%.`"</f>
        <v>#REF!</v>
      </c>
      <c r="CW65" t="e">
        <f>#REF!+";Hb!%.a"</f>
        <v>#REF!</v>
      </c>
      <c r="CX65" t="e">
        <f>#REF!+";Hb!%.b"</f>
        <v>#REF!</v>
      </c>
      <c r="CY65" t="e">
        <f>#REF!+";Hb!%.c"</f>
        <v>#REF!</v>
      </c>
      <c r="CZ65" t="e">
        <f>#REF!+";Hb!%.d"</f>
        <v>#REF!</v>
      </c>
      <c r="DA65" t="e">
        <f>#REF!+";Hb!%.e"</f>
        <v>#REF!</v>
      </c>
      <c r="DB65" t="e">
        <f>#REF!+";Hb!%.f"</f>
        <v>#REF!</v>
      </c>
      <c r="DC65" t="e">
        <f>#REF!+";Hb!%.g"</f>
        <v>#REF!</v>
      </c>
      <c r="DD65" t="e">
        <f>#REF!+";Hb!%.h"</f>
        <v>#REF!</v>
      </c>
      <c r="DE65" t="e">
        <f>#REF!+";Hb!%.i"</f>
        <v>#REF!</v>
      </c>
      <c r="DF65" t="e">
        <f>#REF!+";Hb!%.j"</f>
        <v>#REF!</v>
      </c>
      <c r="DG65" t="e">
        <f>#REF!+";Hb!%.k"</f>
        <v>#REF!</v>
      </c>
      <c r="DH65" t="e">
        <f>#REF!+";Hb!%.l"</f>
        <v>#REF!</v>
      </c>
      <c r="DI65" t="e">
        <f>#REF!+";Hb!%.m"</f>
        <v>#REF!</v>
      </c>
      <c r="DJ65" t="e">
        <f>#REF!+";Hb!%.n"</f>
        <v>#REF!</v>
      </c>
      <c r="DK65" t="e">
        <f>#REF!+";Hb!%.o"</f>
        <v>#REF!</v>
      </c>
      <c r="DL65" t="e">
        <f>#REF!+";Hb!%.p"</f>
        <v>#REF!</v>
      </c>
      <c r="DM65" t="e">
        <f>#REF!+";Hb!%.q"</f>
        <v>#REF!</v>
      </c>
      <c r="DN65" t="e">
        <f>#REF!+";Hb!%.r"</f>
        <v>#REF!</v>
      </c>
      <c r="DO65" t="e">
        <f>#REF!+";Hb!%.s"</f>
        <v>#REF!</v>
      </c>
      <c r="DP65" t="e">
        <f>#REF!+";Hb!%.t"</f>
        <v>#REF!</v>
      </c>
      <c r="DQ65" t="e">
        <f>#REF!+";Hb!%.u"</f>
        <v>#REF!</v>
      </c>
      <c r="DR65" t="e">
        <f>#REF!+";Hb!%.v"</f>
        <v>#REF!</v>
      </c>
      <c r="DS65" t="e">
        <f>#REF!+";Hb!%.w"</f>
        <v>#REF!</v>
      </c>
      <c r="DT65" t="e">
        <f>#REF!+";Hb!%.x"</f>
        <v>#REF!</v>
      </c>
      <c r="DU65" t="e">
        <f>#REF!+";Hb!%.y"</f>
        <v>#REF!</v>
      </c>
      <c r="DV65" t="e">
        <f>#REF!+";Hb!%.z"</f>
        <v>#REF!</v>
      </c>
      <c r="DW65" t="e">
        <f>#REF!+";Hb!%.{"</f>
        <v>#REF!</v>
      </c>
      <c r="DX65" t="e">
        <f>#REF!+";Hb!%.|"</f>
        <v>#REF!</v>
      </c>
      <c r="DY65" t="e">
        <f>#REF!+";Hb!%.}"</f>
        <v>#REF!</v>
      </c>
      <c r="DZ65" t="e">
        <f>#REF!+";Hb!%.~"</f>
        <v>#REF!</v>
      </c>
      <c r="EA65" t="e">
        <f>#REF!+";Hb!%/#"</f>
        <v>#REF!</v>
      </c>
      <c r="EB65" t="e">
        <f>#REF!+";Hb!%/$"</f>
        <v>#REF!</v>
      </c>
      <c r="EC65" t="e">
        <f>#REF!+";Hb!%/%"</f>
        <v>#REF!</v>
      </c>
      <c r="ED65" t="e">
        <f>#REF!+";Hb!%/&amp;"</f>
        <v>#REF!</v>
      </c>
      <c r="EE65" t="e">
        <f>#REF!+";Hb!%/'"</f>
        <v>#REF!</v>
      </c>
      <c r="EF65" t="e">
        <f>#REF!+";Hb!%/("</f>
        <v>#REF!</v>
      </c>
      <c r="EG65" t="e">
        <f>#REF!+";Hb!%/)"</f>
        <v>#REF!</v>
      </c>
      <c r="EH65" t="e">
        <f>#REF!+";Hb!%/."</f>
        <v>#REF!</v>
      </c>
      <c r="EI65" t="e">
        <f>#REF!+";Hb!%//"</f>
        <v>#REF!</v>
      </c>
      <c r="EJ65" t="e">
        <f>#REF!+";Hb!%/0"</f>
        <v>#REF!</v>
      </c>
      <c r="EK65" t="e">
        <f>#REF!+";Hb!%/1"</f>
        <v>#REF!</v>
      </c>
      <c r="EL65" t="e">
        <f>#REF!+";Hb!%/2"</f>
        <v>#REF!</v>
      </c>
      <c r="EM65" t="e">
        <f>#REF!+";Hb!%/3"</f>
        <v>#REF!</v>
      </c>
      <c r="EN65" t="e">
        <f>#REF!+";Hb!%/4"</f>
        <v>#REF!</v>
      </c>
      <c r="EO65" t="e">
        <f>#REF!+";Hb!%/5"</f>
        <v>#REF!</v>
      </c>
      <c r="EP65" t="e">
        <f>#REF!+";Hb!%/6"</f>
        <v>#REF!</v>
      </c>
      <c r="EQ65" t="e">
        <f>#REF!+";Hb!%/7"</f>
        <v>#REF!</v>
      </c>
      <c r="ER65" t="e">
        <f>#REF!+";Hb!%/8"</f>
        <v>#REF!</v>
      </c>
      <c r="ES65" t="e">
        <f>#REF!+";Hb!%/9"</f>
        <v>#REF!</v>
      </c>
      <c r="ET65" t="e">
        <f>#REF!+";Hb!%/:"</f>
        <v>#REF!</v>
      </c>
      <c r="EU65" t="e">
        <f>#REF!+";Hb!%/;"</f>
        <v>#REF!</v>
      </c>
      <c r="EV65" t="e">
        <f>#REF!+";Hb!%/&lt;"</f>
        <v>#REF!</v>
      </c>
      <c r="EW65" t="e">
        <f>#REF!+";Hb!%/="</f>
        <v>#REF!</v>
      </c>
      <c r="EX65" t="e">
        <f>#REF!+";Hb!%/&gt;"</f>
        <v>#REF!</v>
      </c>
      <c r="EY65" t="e">
        <f>#REF!+";Hb!%/?"</f>
        <v>#REF!</v>
      </c>
      <c r="EZ65" t="e">
        <f>#REF!+";Hb!%/@"</f>
        <v>#REF!</v>
      </c>
      <c r="FA65" t="e">
        <f>#REF!+";Hb!%/A"</f>
        <v>#REF!</v>
      </c>
      <c r="FB65" t="e">
        <f>#REF!+";Hb!%/B"</f>
        <v>#REF!</v>
      </c>
      <c r="FC65" t="e">
        <f>#REF!+";Hb!%/C"</f>
        <v>#REF!</v>
      </c>
      <c r="FD65" t="e">
        <f>#REF!+";Hb!%/D"</f>
        <v>#REF!</v>
      </c>
      <c r="FE65" t="e">
        <f>#REF!+";Hb!%/E"</f>
        <v>#REF!</v>
      </c>
      <c r="FF65" t="e">
        <f>#REF!+";Hb!%/F"</f>
        <v>#REF!</v>
      </c>
      <c r="FG65" t="e">
        <f>#REF!+";Hb!%/G"</f>
        <v>#REF!</v>
      </c>
      <c r="FH65" t="e">
        <f>#REF!+";Hb!%/H"</f>
        <v>#REF!</v>
      </c>
      <c r="FI65" t="e">
        <f>#REF!+";Hb!%/I"</f>
        <v>#REF!</v>
      </c>
      <c r="FJ65" t="e">
        <f>#REF!+";Hb!%/J"</f>
        <v>#REF!</v>
      </c>
      <c r="FK65" t="e">
        <f>#REF!+";Hb!%/K"</f>
        <v>#REF!</v>
      </c>
      <c r="FL65" t="e">
        <f>#REF!+";Hb!%/L"</f>
        <v>#REF!</v>
      </c>
      <c r="FM65" t="e">
        <f>#REF!+";Hb!%/M"</f>
        <v>#REF!</v>
      </c>
      <c r="FN65" t="e">
        <f>#REF!+";Hb!%/N"</f>
        <v>#REF!</v>
      </c>
      <c r="FO65" t="e">
        <f>#REF!+";Hb!%/O"</f>
        <v>#REF!</v>
      </c>
      <c r="FP65" t="e">
        <f>#REF!+";Hb!%/P"</f>
        <v>#REF!</v>
      </c>
      <c r="FQ65" t="e">
        <f>#REF!+";Hb!%/Q"</f>
        <v>#REF!</v>
      </c>
      <c r="FR65" t="e">
        <f>#REF!+";Hb!%/R"</f>
        <v>#REF!</v>
      </c>
      <c r="FS65" t="e">
        <f>#REF!+";Hb!%/S"</f>
        <v>#REF!</v>
      </c>
      <c r="FT65" t="e">
        <f>#REF!+";Hb!%/T"</f>
        <v>#REF!</v>
      </c>
      <c r="FU65" t="e">
        <f>#REF!+";Hb!%/U"</f>
        <v>#REF!</v>
      </c>
      <c r="FV65" t="e">
        <f>#REF!+";Hb!%/V"</f>
        <v>#REF!</v>
      </c>
      <c r="FW65" t="e">
        <f>#REF!+";Hb!%/W"</f>
        <v>#REF!</v>
      </c>
      <c r="FX65" t="e">
        <f>#REF!+";Hb!%/X"</f>
        <v>#REF!</v>
      </c>
      <c r="FY65" t="e">
        <f>#REF!+";Hb!%/Y"</f>
        <v>#REF!</v>
      </c>
      <c r="FZ65" t="e">
        <f>#REF!+";Hb!%/Z"</f>
        <v>#REF!</v>
      </c>
      <c r="GA65" t="e">
        <f>#REF!+";Hb!%/["</f>
        <v>#REF!</v>
      </c>
      <c r="GB65" t="e">
        <f>#REF!+";Hb!%/\"</f>
        <v>#REF!</v>
      </c>
      <c r="GC65" t="e">
        <f>#REF!+";Hb!%/]"</f>
        <v>#REF!</v>
      </c>
      <c r="GD65" t="e">
        <f>#REF!+";Hb!%/^"</f>
        <v>#REF!</v>
      </c>
      <c r="GE65" t="e">
        <f>#REF!+";Hb!%/_"</f>
        <v>#REF!</v>
      </c>
      <c r="GF65" t="e">
        <f>#REF!+";Hb!%/`"</f>
        <v>#REF!</v>
      </c>
      <c r="GG65" t="e">
        <f>#REF!+";Hb!%/a"</f>
        <v>#REF!</v>
      </c>
      <c r="GH65" t="e">
        <f>#REF!+";Hb!%/b"</f>
        <v>#REF!</v>
      </c>
      <c r="GI65" t="e">
        <f>#REF!+";Hb!%/c"</f>
        <v>#REF!</v>
      </c>
      <c r="GJ65" t="e">
        <f>#REF!+";Hb!%/d"</f>
        <v>#REF!</v>
      </c>
      <c r="GK65" t="e">
        <f>#REF!+";Hb!%/e"</f>
        <v>#REF!</v>
      </c>
      <c r="GL65" t="e">
        <f>#REF!+";Hb!%/f"</f>
        <v>#REF!</v>
      </c>
      <c r="GM65" t="e">
        <f>#REF!+";Hb!%/g"</f>
        <v>#REF!</v>
      </c>
      <c r="GN65" t="e">
        <f>#REF!+";Hb!%/h"</f>
        <v>#REF!</v>
      </c>
      <c r="GO65" t="e">
        <f>#REF!+";Hb!%/i"</f>
        <v>#REF!</v>
      </c>
      <c r="GP65" t="e">
        <f>#REF!+";Hb!%/j"</f>
        <v>#REF!</v>
      </c>
      <c r="GQ65" t="e">
        <f>#REF!+";Hb!%/k"</f>
        <v>#REF!</v>
      </c>
      <c r="GR65" t="e">
        <f>#REF!+";Hb!%/l"</f>
        <v>#REF!</v>
      </c>
      <c r="GS65" t="e">
        <f>#REF!+";Hb!%/m"</f>
        <v>#REF!</v>
      </c>
      <c r="GT65" t="e">
        <f>#REF!+";Hb!%/n"</f>
        <v>#REF!</v>
      </c>
      <c r="GU65" t="e">
        <f>#REF!+";Hb!%/o"</f>
        <v>#REF!</v>
      </c>
      <c r="GV65" t="e">
        <f>#REF!+";Hb!%/p"</f>
        <v>#REF!</v>
      </c>
      <c r="GW65" t="e">
        <f>#REF!+";Hb!%/q"</f>
        <v>#REF!</v>
      </c>
      <c r="GX65" t="e">
        <f>#REF!+";Hb!%/r"</f>
        <v>#REF!</v>
      </c>
      <c r="GY65" t="e">
        <f>#REF!+";Hb!%/s"</f>
        <v>#REF!</v>
      </c>
      <c r="GZ65" t="e">
        <f>#REF!+";Hb!%/t"</f>
        <v>#REF!</v>
      </c>
      <c r="HA65" t="e">
        <f>#REF!+";Hb!%/u"</f>
        <v>#REF!</v>
      </c>
      <c r="HB65" t="e">
        <f>#REF!+";Hb!%/v"</f>
        <v>#REF!</v>
      </c>
      <c r="HC65" t="e">
        <f>#REF!+";Hb!%/w"</f>
        <v>#REF!</v>
      </c>
      <c r="HD65" t="e">
        <f>#REF!+";Hb!%/x"</f>
        <v>#REF!</v>
      </c>
      <c r="HE65" t="e">
        <f>#REF!+";Hb!%/y"</f>
        <v>#REF!</v>
      </c>
      <c r="HF65" t="e">
        <f>#REF!+";Hb!%/z"</f>
        <v>#REF!</v>
      </c>
      <c r="HG65" t="e">
        <f>#REF!+";Hb!%/{"</f>
        <v>#REF!</v>
      </c>
      <c r="HH65" t="e">
        <f>#REF!+";Hb!%/|"</f>
        <v>#REF!</v>
      </c>
      <c r="HI65" t="e">
        <f>#REF!+";Hb!%/}"</f>
        <v>#REF!</v>
      </c>
      <c r="HJ65" t="e">
        <f>#REF!+";Hb!%/~"</f>
        <v>#REF!</v>
      </c>
      <c r="HK65" t="e">
        <f>#REF!+";Hb!%0#"</f>
        <v>#REF!</v>
      </c>
      <c r="HL65" t="e">
        <f>#REF!+";Hb!%0$"</f>
        <v>#REF!</v>
      </c>
      <c r="HM65" t="e">
        <f>#REF!+";Hb!%0%"</f>
        <v>#REF!</v>
      </c>
      <c r="HN65" t="e">
        <f>#REF!+";Hb!%0&amp;"</f>
        <v>#REF!</v>
      </c>
      <c r="HO65" t="e">
        <f>#REF!+";Hb!%0'"</f>
        <v>#REF!</v>
      </c>
      <c r="HP65" t="e">
        <f>#REF!+";Hb!%0("</f>
        <v>#REF!</v>
      </c>
      <c r="HQ65" t="e">
        <f>#REF!+";Hb!%0)"</f>
        <v>#REF!</v>
      </c>
      <c r="HR65" t="e">
        <f>#REF!+";Hb!%0."</f>
        <v>#REF!</v>
      </c>
      <c r="HS65" t="e">
        <f>#REF!+";Hb!%0/"</f>
        <v>#REF!</v>
      </c>
      <c r="HT65" t="e">
        <f>#REF!+";Hb!%00"</f>
        <v>#REF!</v>
      </c>
      <c r="HU65" t="e">
        <f>#REF!+";Hb!%01"</f>
        <v>#REF!</v>
      </c>
      <c r="HV65" t="e">
        <f>#REF!+";Hb!%02"</f>
        <v>#REF!</v>
      </c>
      <c r="HW65" t="e">
        <f>#REF!+";Hb!%03"</f>
        <v>#REF!</v>
      </c>
      <c r="HX65" t="e">
        <f>#REF!+";Hb!%04"</f>
        <v>#REF!</v>
      </c>
      <c r="HY65" t="e">
        <f>#REF!+";Hb!%05"</f>
        <v>#REF!</v>
      </c>
      <c r="HZ65" t="e">
        <f>#REF!+";Hb!%06"</f>
        <v>#REF!</v>
      </c>
      <c r="IA65" t="e">
        <f>#REF!+";Hb!%07"</f>
        <v>#REF!</v>
      </c>
      <c r="IB65" t="e">
        <f>#REF!+";Hb!%08"</f>
        <v>#REF!</v>
      </c>
      <c r="IC65" t="e">
        <f>#REF!+";Hb!%09"</f>
        <v>#REF!</v>
      </c>
      <c r="ID65" t="e">
        <f>#REF!+";Hb!%0:"</f>
        <v>#REF!</v>
      </c>
      <c r="IE65" t="e">
        <f>#REF!+";Hb!%0;"</f>
        <v>#REF!</v>
      </c>
      <c r="IF65" t="e">
        <f>#REF!+";Hb!%0&lt;"</f>
        <v>#REF!</v>
      </c>
      <c r="IG65" t="e">
        <f>#REF!+";Hb!%0="</f>
        <v>#REF!</v>
      </c>
      <c r="IH65" t="e">
        <f>#REF!+";Hb!%0&gt;"</f>
        <v>#REF!</v>
      </c>
      <c r="II65" t="e">
        <f>#REF!+";Hb!%0?"</f>
        <v>#REF!</v>
      </c>
      <c r="IJ65" t="e">
        <f>#REF!+";Hb!%0@"</f>
        <v>#REF!</v>
      </c>
      <c r="IK65" t="e">
        <f>#REF!+";Hb!%0A"</f>
        <v>#REF!</v>
      </c>
      <c r="IL65" t="e">
        <f>#REF!+";Hb!%0B"</f>
        <v>#REF!</v>
      </c>
      <c r="IM65" t="e">
        <f>#REF!+";Hb!%0C"</f>
        <v>#REF!</v>
      </c>
      <c r="IN65" t="e">
        <f>#REF!+";Hb!%0D"</f>
        <v>#REF!</v>
      </c>
      <c r="IO65" t="e">
        <f>#REF!+";Hb!%0E"</f>
        <v>#REF!</v>
      </c>
      <c r="IP65" t="e">
        <f>#REF!+";Hb!%0F"</f>
        <v>#REF!</v>
      </c>
      <c r="IQ65" t="e">
        <f>#REF!+";Hb!%0G"</f>
        <v>#REF!</v>
      </c>
      <c r="IR65" t="e">
        <f>#REF!+";Hb!%0H"</f>
        <v>#REF!</v>
      </c>
      <c r="IS65" t="e">
        <f>#REF!+";Hb!%0I"</f>
        <v>#REF!</v>
      </c>
      <c r="IT65" t="e">
        <f>#REF!+";Hb!%0J"</f>
        <v>#REF!</v>
      </c>
      <c r="IU65" t="e">
        <f>#REF!+";Hb!%0K"</f>
        <v>#REF!</v>
      </c>
      <c r="IV65" t="e">
        <f>#REF!+";Hb!%0L"</f>
        <v>#REF!</v>
      </c>
    </row>
    <row r="66" spans="6:256" x14ac:dyDescent="0.25">
      <c r="F66" t="e">
        <f>#REF!+";Hb!%0M"</f>
        <v>#REF!</v>
      </c>
      <c r="G66" t="e">
        <f>#REF!+";Hb!%0N"</f>
        <v>#REF!</v>
      </c>
      <c r="H66" t="e">
        <f>#REF!+";Hb!%0O"</f>
        <v>#REF!</v>
      </c>
      <c r="I66" t="e">
        <f>#REF!+";Hb!%0P"</f>
        <v>#REF!</v>
      </c>
      <c r="J66" t="e">
        <f>#REF!+";Hb!%0Q"</f>
        <v>#REF!</v>
      </c>
      <c r="K66" t="e">
        <f>#REF!+";Hb!%0R"</f>
        <v>#REF!</v>
      </c>
      <c r="L66" t="e">
        <f>#REF!+";Hb!%0S"</f>
        <v>#REF!</v>
      </c>
      <c r="M66" t="e">
        <f>#REF!+";Hb!%0T"</f>
        <v>#REF!</v>
      </c>
      <c r="N66" t="e">
        <f>#REF!+";Hb!%0U"</f>
        <v>#REF!</v>
      </c>
      <c r="O66" t="e">
        <f>#REF!+";Hb!%0V"</f>
        <v>#REF!</v>
      </c>
      <c r="P66" t="e">
        <f>#REF!+";Hb!%0W"</f>
        <v>#REF!</v>
      </c>
      <c r="Q66" t="e">
        <f>#REF!+";Hb!%0X"</f>
        <v>#REF!</v>
      </c>
      <c r="R66" t="e">
        <f>#REF!+";Hb!%0Y"</f>
        <v>#REF!</v>
      </c>
      <c r="S66" t="e">
        <f>#REF!+";Hb!%0Z"</f>
        <v>#REF!</v>
      </c>
      <c r="T66" t="e">
        <f>#REF!+";Hb!%0["</f>
        <v>#REF!</v>
      </c>
      <c r="U66" t="e">
        <f>#REF!+";Hb!%0\"</f>
        <v>#REF!</v>
      </c>
      <c r="V66" t="e">
        <f>#REF!+";Hb!%0]"</f>
        <v>#REF!</v>
      </c>
      <c r="W66" t="e">
        <f>#REF!+";Hb!%0^"</f>
        <v>#REF!</v>
      </c>
      <c r="X66" t="e">
        <f>#REF!+";Hb!%0_"</f>
        <v>#REF!</v>
      </c>
      <c r="Y66" t="e">
        <f>#REF!+";Hb!%0`"</f>
        <v>#REF!</v>
      </c>
      <c r="Z66" t="e">
        <f>#REF!+";Hb!%0a"</f>
        <v>#REF!</v>
      </c>
      <c r="AA66" t="e">
        <f>#REF!+";Hb!%0b"</f>
        <v>#REF!</v>
      </c>
      <c r="AB66" t="e">
        <f>#REF!+";Hb!%0c"</f>
        <v>#REF!</v>
      </c>
      <c r="AC66" t="e">
        <f>#REF!+";Hb!%0d"</f>
        <v>#REF!</v>
      </c>
      <c r="AD66" t="e">
        <f>#REF!+";Hb!%0e"</f>
        <v>#REF!</v>
      </c>
      <c r="AE66" t="e">
        <f>#REF!+";Hb!%0f"</f>
        <v>#REF!</v>
      </c>
      <c r="AF66" t="e">
        <f>#REF!+";Hb!%0g"</f>
        <v>#REF!</v>
      </c>
      <c r="AG66" t="e">
        <f>#REF!+";Hb!%0h"</f>
        <v>#REF!</v>
      </c>
      <c r="AH66" t="e">
        <f>#REF!+";Hb!%0i"</f>
        <v>#REF!</v>
      </c>
      <c r="AI66" t="e">
        <f>#REF!+";Hb!%0j"</f>
        <v>#REF!</v>
      </c>
      <c r="AJ66" t="e">
        <f>#REF!+";Hb!%0k"</f>
        <v>#REF!</v>
      </c>
      <c r="AK66" t="e">
        <f>#REF!+";Hb!%0l"</f>
        <v>#REF!</v>
      </c>
      <c r="AL66" t="e">
        <f>#REF!+";Hb!%0m"</f>
        <v>#REF!</v>
      </c>
      <c r="AM66" t="e">
        <f>#REF!+";Hb!%0n"</f>
        <v>#REF!</v>
      </c>
      <c r="AN66" t="e">
        <f>#REF!+";Hb!%0o"</f>
        <v>#REF!</v>
      </c>
      <c r="AO66" t="e">
        <f>#REF!+";Hb!%0p"</f>
        <v>#REF!</v>
      </c>
      <c r="AP66" t="e">
        <f>#REF!+";Hb!%0q"</f>
        <v>#REF!</v>
      </c>
      <c r="AQ66" t="e">
        <f>#REF!+";Hb!%0r"</f>
        <v>#REF!</v>
      </c>
      <c r="AR66" t="e">
        <f>#REF!+";Hb!%0s"</f>
        <v>#REF!</v>
      </c>
      <c r="AS66" t="e">
        <f>#REF!+";Hb!%0t"</f>
        <v>#REF!</v>
      </c>
      <c r="AT66" t="e">
        <f>#REF!+";Hb!%0u"</f>
        <v>#REF!</v>
      </c>
      <c r="AU66" t="e">
        <f>#REF!+";Hb!%0v"</f>
        <v>#REF!</v>
      </c>
      <c r="AV66" t="e">
        <f>#REF!+";Hb!%0w"</f>
        <v>#REF!</v>
      </c>
      <c r="AW66" t="e">
        <f>#REF!+";Hb!%0x"</f>
        <v>#REF!</v>
      </c>
      <c r="AX66" t="e">
        <f>#REF!+";Hb!%0y"</f>
        <v>#REF!</v>
      </c>
      <c r="AY66" t="e">
        <f>#REF!+";Hb!%0z"</f>
        <v>#REF!</v>
      </c>
      <c r="AZ66" t="e">
        <f>#REF!+";Hb!%0{"</f>
        <v>#REF!</v>
      </c>
      <c r="BA66" t="e">
        <f>#REF!+";Hb!%0|"</f>
        <v>#REF!</v>
      </c>
      <c r="BB66" t="e">
        <f>#REF!+";Hb!%0}"</f>
        <v>#REF!</v>
      </c>
      <c r="BC66" t="e">
        <f>#REF!+";Hb!%0~"</f>
        <v>#REF!</v>
      </c>
      <c r="BD66" t="e">
        <f>#REF!+";Hb!%1#"</f>
        <v>#REF!</v>
      </c>
      <c r="BE66" t="e">
        <f>#REF!+";Hb!%1$"</f>
        <v>#REF!</v>
      </c>
      <c r="BF66" t="e">
        <f>#REF!+";Hb!%1%"</f>
        <v>#REF!</v>
      </c>
      <c r="BG66" t="e">
        <f>#REF!+";Hb!%1&amp;"</f>
        <v>#REF!</v>
      </c>
      <c r="BH66" t="e">
        <f>#REF!+";Hb!%1'"</f>
        <v>#REF!</v>
      </c>
      <c r="BI66" t="e">
        <f>#REF!+";Hb!%1("</f>
        <v>#REF!</v>
      </c>
      <c r="BJ66" t="e">
        <f>#REF!+";Hb!%1)"</f>
        <v>#REF!</v>
      </c>
      <c r="BK66" t="e">
        <f>#REF!+";Hb!%1."</f>
        <v>#REF!</v>
      </c>
      <c r="BL66" t="e">
        <f>#REF!+";Hb!%1/"</f>
        <v>#REF!</v>
      </c>
      <c r="BM66" t="e">
        <f>#REF!+";Hb!%10"</f>
        <v>#REF!</v>
      </c>
      <c r="BN66" t="e">
        <f>#REF!+";Hb!%11"</f>
        <v>#REF!</v>
      </c>
      <c r="BO66" t="e">
        <f>#REF!+";Hb!%12"</f>
        <v>#REF!</v>
      </c>
      <c r="BP66" t="e">
        <f>#REF!+";Hb!%13"</f>
        <v>#REF!</v>
      </c>
      <c r="BQ66" t="e">
        <f>#REF!+";Hb!%14"</f>
        <v>#REF!</v>
      </c>
      <c r="BR66" t="e">
        <f>#REF!+";Hb!%15"</f>
        <v>#REF!</v>
      </c>
      <c r="BS66" t="e">
        <f>#REF!+";Hb!%16"</f>
        <v>#REF!</v>
      </c>
      <c r="BT66" t="e">
        <f>#REF!+";Hb!%17"</f>
        <v>#REF!</v>
      </c>
      <c r="BU66" t="e">
        <f>#REF!+";Hb!%18"</f>
        <v>#REF!</v>
      </c>
      <c r="BV66" t="e">
        <f>#REF!+";Hb!%19"</f>
        <v>#REF!</v>
      </c>
      <c r="BW66" t="e">
        <f>#REF!+";Hb!%1:"</f>
        <v>#REF!</v>
      </c>
      <c r="BX66" t="e">
        <f>#REF!+";Hb!%1;"</f>
        <v>#REF!</v>
      </c>
      <c r="BY66" t="e">
        <f>#REF!+";Hb!%1&lt;"</f>
        <v>#REF!</v>
      </c>
      <c r="BZ66" t="e">
        <f>#REF!+";Hb!%1="</f>
        <v>#REF!</v>
      </c>
      <c r="CA66" t="e">
        <f>#REF!+";Hb!%1&gt;"</f>
        <v>#REF!</v>
      </c>
      <c r="CB66" t="e">
        <f>#REF!+";Hb!%1?"</f>
        <v>#REF!</v>
      </c>
      <c r="CC66" t="e">
        <f>#REF!+";Hb!%1@"</f>
        <v>#REF!</v>
      </c>
      <c r="CD66" t="e">
        <f>#REF!+";Hb!%1A"</f>
        <v>#REF!</v>
      </c>
      <c r="CE66" t="e">
        <f>#REF!+";Hb!%1B"</f>
        <v>#REF!</v>
      </c>
      <c r="CF66" t="e">
        <f>#REF!+";Hb!%1C"</f>
        <v>#REF!</v>
      </c>
      <c r="CG66" t="e">
        <f>#REF!+";Hb!%1D"</f>
        <v>#REF!</v>
      </c>
      <c r="CH66" t="e">
        <f>#REF!+";Hb!%1E"</f>
        <v>#REF!</v>
      </c>
      <c r="CI66" t="e">
        <f>#REF!+";Hb!%1F"</f>
        <v>#REF!</v>
      </c>
      <c r="CJ66" t="e">
        <f>#REF!+";Hb!%1G"</f>
        <v>#REF!</v>
      </c>
      <c r="CK66" t="e">
        <f>#REF!+";Hb!%1H"</f>
        <v>#REF!</v>
      </c>
      <c r="CL66" t="e">
        <f>#REF!+";Hb!%1I"</f>
        <v>#REF!</v>
      </c>
      <c r="CM66" t="e">
        <f>#REF!+";Hb!%1J"</f>
        <v>#REF!</v>
      </c>
      <c r="CN66" t="e">
        <f>#REF!+";Hb!%1K"</f>
        <v>#REF!</v>
      </c>
      <c r="CO66" t="e">
        <f>#REF!+";Hb!%1L"</f>
        <v>#REF!</v>
      </c>
      <c r="CP66" t="e">
        <f>#REF!+";Hb!%1M"</f>
        <v>#REF!</v>
      </c>
      <c r="CQ66" t="e">
        <f>#REF!+";Hb!%1N"</f>
        <v>#REF!</v>
      </c>
      <c r="CR66" t="e">
        <f>#REF!+";Hb!%1O"</f>
        <v>#REF!</v>
      </c>
      <c r="CS66" t="e">
        <f>#REF!+";Hb!%1P"</f>
        <v>#REF!</v>
      </c>
      <c r="CT66" t="e">
        <f>#REF!+";Hb!%1Q"</f>
        <v>#REF!</v>
      </c>
      <c r="CU66" t="e">
        <f>#REF!+";Hb!%1R"</f>
        <v>#REF!</v>
      </c>
      <c r="CV66" t="e">
        <f>#REF!+";Hb!%1S"</f>
        <v>#REF!</v>
      </c>
      <c r="CW66" t="e">
        <f>#REF!+";Hb!%1T"</f>
        <v>#REF!</v>
      </c>
      <c r="CX66" t="e">
        <f>#REF!+";Hb!%1U"</f>
        <v>#REF!</v>
      </c>
      <c r="CY66" t="e">
        <f>#REF!+";Hb!%1V"</f>
        <v>#REF!</v>
      </c>
      <c r="CZ66" t="e">
        <f>#REF!+";Hb!%1W"</f>
        <v>#REF!</v>
      </c>
      <c r="DA66" t="e">
        <f>#REF!+";Hb!%1X"</f>
        <v>#REF!</v>
      </c>
      <c r="DB66" t="e">
        <f>#REF!+";Hb!%1Y"</f>
        <v>#REF!</v>
      </c>
      <c r="DC66" t="e">
        <f>#REF!+";Hb!%1Z"</f>
        <v>#REF!</v>
      </c>
      <c r="DD66" t="e">
        <f>#REF!+";Hb!%1["</f>
        <v>#REF!</v>
      </c>
      <c r="DE66" t="e">
        <f>#REF!+";Hb!%1\"</f>
        <v>#REF!</v>
      </c>
      <c r="DF66" t="e">
        <f>#REF!+";Hb!%1]"</f>
        <v>#REF!</v>
      </c>
      <c r="DG66" t="e">
        <f>#REF!+";Hb!%1^"</f>
        <v>#REF!</v>
      </c>
      <c r="DH66" t="e">
        <f>#REF!+";Hb!%1_"</f>
        <v>#REF!</v>
      </c>
      <c r="DI66" t="e">
        <f>#REF!+";Hb!%1`"</f>
        <v>#REF!</v>
      </c>
      <c r="DJ66" t="e">
        <f>#REF!+";Hb!%1a"</f>
        <v>#REF!</v>
      </c>
      <c r="DK66" t="e">
        <f>#REF!+";Hb!%1b"</f>
        <v>#REF!</v>
      </c>
      <c r="DL66" t="e">
        <f>#REF!+";Hb!%1c"</f>
        <v>#REF!</v>
      </c>
      <c r="DM66" t="e">
        <f>#REF!+";Hb!%1d"</f>
        <v>#REF!</v>
      </c>
      <c r="DN66" t="e">
        <f>#REF!+";Hb!%1e"</f>
        <v>#REF!</v>
      </c>
      <c r="DO66" t="e">
        <f>#REF!+";Hb!%1f"</f>
        <v>#REF!</v>
      </c>
      <c r="DP66" t="e">
        <f>#REF!+";Hb!%1g"</f>
        <v>#REF!</v>
      </c>
      <c r="DQ66" t="e">
        <f>#REF!+";Hb!%1h"</f>
        <v>#REF!</v>
      </c>
      <c r="DR66" t="e">
        <f>#REF!+";Hb!%1i"</f>
        <v>#REF!</v>
      </c>
      <c r="DS66" t="e">
        <f>#REF!+";Hb!%1j"</f>
        <v>#REF!</v>
      </c>
      <c r="DT66" t="e">
        <f>#REF!+";Hb!%1k"</f>
        <v>#REF!</v>
      </c>
      <c r="DU66" t="e">
        <f>#REF!+";Hb!%1l"</f>
        <v>#REF!</v>
      </c>
      <c r="DV66" t="e">
        <f>#REF!+";Hb!%1m"</f>
        <v>#REF!</v>
      </c>
      <c r="DW66" t="e">
        <f>#REF!+";Hb!%1n"</f>
        <v>#REF!</v>
      </c>
      <c r="DX66" t="e">
        <f>#REF!+";Hb!%1o"</f>
        <v>#REF!</v>
      </c>
      <c r="DY66" t="e">
        <f>#REF!+";Hb!%1p"</f>
        <v>#REF!</v>
      </c>
      <c r="DZ66" t="e">
        <f>#REF!+";Hb!%1q"</f>
        <v>#REF!</v>
      </c>
      <c r="EA66" t="e">
        <f>#REF!+";Hb!%1r"</f>
        <v>#REF!</v>
      </c>
      <c r="EB66" t="e">
        <f>#REF!+";Hb!%1s"</f>
        <v>#REF!</v>
      </c>
      <c r="EC66" t="e">
        <f>#REF!+";Hb!%1t"</f>
        <v>#REF!</v>
      </c>
      <c r="ED66" t="e">
        <f>#REF!+";Hb!%1u"</f>
        <v>#REF!</v>
      </c>
      <c r="EE66" t="e">
        <f>#REF!+";Hb!%1v"</f>
        <v>#REF!</v>
      </c>
      <c r="EF66" t="e">
        <f>#REF!+";Hb!%1w"</f>
        <v>#REF!</v>
      </c>
      <c r="EG66" t="e">
        <f>#REF!+";Hb!%1x"</f>
        <v>#REF!</v>
      </c>
      <c r="EH66" t="e">
        <f>#REF!+";Hb!%1y"</f>
        <v>#REF!</v>
      </c>
      <c r="EI66" t="e">
        <f>#REF!+";Hb!%1z"</f>
        <v>#REF!</v>
      </c>
      <c r="EJ66" t="e">
        <f>#REF!+";Hb!%1{"</f>
        <v>#REF!</v>
      </c>
      <c r="EK66" t="e">
        <f>#REF!+";Hb!%1|"</f>
        <v>#REF!</v>
      </c>
      <c r="EL66" t="e">
        <f>#REF!+";Hb!%1}"</f>
        <v>#REF!</v>
      </c>
      <c r="EM66" t="e">
        <f>#REF!+";Hb!%1~"</f>
        <v>#REF!</v>
      </c>
      <c r="EN66" t="e">
        <f>#REF!+";Hb!%2#"</f>
        <v>#REF!</v>
      </c>
      <c r="EO66" t="e">
        <f>#REF!+";Hb!%2$"</f>
        <v>#REF!</v>
      </c>
      <c r="EP66" t="e">
        <f>#REF!+";Hb!%2%"</f>
        <v>#REF!</v>
      </c>
      <c r="EQ66" t="e">
        <f>#REF!+";Hb!%2&amp;"</f>
        <v>#REF!</v>
      </c>
      <c r="ER66" t="e">
        <f>#REF!+";Hb!%2'"</f>
        <v>#REF!</v>
      </c>
      <c r="ES66" t="e">
        <f>#REF!+";Hb!%2("</f>
        <v>#REF!</v>
      </c>
      <c r="ET66" t="e">
        <f>#REF!+";Hb!%2)"</f>
        <v>#REF!</v>
      </c>
      <c r="EU66" t="e">
        <f>#REF!+";Hb!%2."</f>
        <v>#REF!</v>
      </c>
      <c r="EV66" t="e">
        <f>#REF!+";Hb!%2/"</f>
        <v>#REF!</v>
      </c>
      <c r="EW66" t="e">
        <f>#REF!+";Hb!%20"</f>
        <v>#REF!</v>
      </c>
      <c r="EX66" t="e">
        <f>#REF!+";Hb!%21"</f>
        <v>#REF!</v>
      </c>
      <c r="EY66" t="e">
        <f>#REF!+";Hb!%22"</f>
        <v>#REF!</v>
      </c>
      <c r="EZ66" t="e">
        <f>#REF!+";Hb!%23"</f>
        <v>#REF!</v>
      </c>
      <c r="FA66" t="e">
        <f>#REF!+";Hb!%24"</f>
        <v>#REF!</v>
      </c>
      <c r="FB66" t="e">
        <f>#REF!+";Hb!%25"</f>
        <v>#REF!</v>
      </c>
      <c r="FC66" t="e">
        <f>#REF!+";Hb!%26"</f>
        <v>#REF!</v>
      </c>
      <c r="FD66" t="e">
        <f>#REF!+";Hb!%27"</f>
        <v>#REF!</v>
      </c>
      <c r="FE66" t="e">
        <f>#REF!+";Hb!%28"</f>
        <v>#REF!</v>
      </c>
      <c r="FF66" t="e">
        <f>#REF!+";Hb!%29"</f>
        <v>#REF!</v>
      </c>
      <c r="FG66" t="e">
        <f>#REF!+";Hb!%2:"</f>
        <v>#REF!</v>
      </c>
      <c r="FH66" t="e">
        <f>#REF!+";Hb!%2;"</f>
        <v>#REF!</v>
      </c>
      <c r="FI66" t="e">
        <f>#REF!+";Hb!%2&lt;"</f>
        <v>#REF!</v>
      </c>
      <c r="FJ66" t="e">
        <f>#REF!+";Hb!%2="</f>
        <v>#REF!</v>
      </c>
      <c r="FK66" t="e">
        <f>#REF!+";Hb!%2&gt;"</f>
        <v>#REF!</v>
      </c>
      <c r="FL66" t="e">
        <f>#REF!+";Hb!%2?"</f>
        <v>#REF!</v>
      </c>
      <c r="FM66" t="e">
        <f>#REF!+";Hb!%2@"</f>
        <v>#REF!</v>
      </c>
      <c r="FN66" t="e">
        <f>#REF!+";Hb!%2A"</f>
        <v>#REF!</v>
      </c>
      <c r="FO66" t="e">
        <f>#REF!+";Hb!%2B"</f>
        <v>#REF!</v>
      </c>
      <c r="FP66" t="e">
        <f>#REF!+";Hb!%2C"</f>
        <v>#REF!</v>
      </c>
      <c r="FQ66" t="e">
        <f>#REF!+";Hb!%2D"</f>
        <v>#REF!</v>
      </c>
      <c r="FR66" t="e">
        <f>#REF!+";Hb!%2E"</f>
        <v>#REF!</v>
      </c>
      <c r="FS66" t="e">
        <f>#REF!+";Hb!%2F"</f>
        <v>#REF!</v>
      </c>
      <c r="FT66" t="e">
        <f>#REF!+";Hb!%2G"</f>
        <v>#REF!</v>
      </c>
      <c r="FU66" t="e">
        <f>#REF!+";Hb!%2H"</f>
        <v>#REF!</v>
      </c>
      <c r="FV66" t="e">
        <f>#REF!+";Hb!%2I"</f>
        <v>#REF!</v>
      </c>
      <c r="FW66" t="e">
        <f>#REF!+";Hb!%2J"</f>
        <v>#REF!</v>
      </c>
      <c r="FX66" t="e">
        <f>#REF!+";Hb!%2K"</f>
        <v>#REF!</v>
      </c>
      <c r="FY66" t="e">
        <f>#REF!+";Hb!%2L"</f>
        <v>#REF!</v>
      </c>
      <c r="FZ66" t="e">
        <f>#REF!+";Hb!%2M"</f>
        <v>#REF!</v>
      </c>
      <c r="GA66" t="e">
        <f>#REF!+";Hb!%2N"</f>
        <v>#REF!</v>
      </c>
      <c r="GB66" t="e">
        <f>#REF!+";Hb!%2O"</f>
        <v>#REF!</v>
      </c>
      <c r="GC66" t="e">
        <f>#REF!+";Hb!%2P"</f>
        <v>#REF!</v>
      </c>
      <c r="GD66" t="e">
        <f>#REF!+";Hb!%2Q"</f>
        <v>#REF!</v>
      </c>
      <c r="GE66" t="e">
        <f>#REF!+";Hb!%2R"</f>
        <v>#REF!</v>
      </c>
      <c r="GF66" t="e">
        <f>#REF!+";Hb!%2S"</f>
        <v>#REF!</v>
      </c>
      <c r="GG66" t="e">
        <f>#REF!+";Hb!%2T"</f>
        <v>#REF!</v>
      </c>
      <c r="GH66" t="e">
        <f>#REF!+";Hb!%2U"</f>
        <v>#REF!</v>
      </c>
      <c r="GI66" t="e">
        <f>#REF!+";Hb!%2V"</f>
        <v>#REF!</v>
      </c>
      <c r="GJ66" t="e">
        <f>#REF!+";Hb!%2W"</f>
        <v>#REF!</v>
      </c>
      <c r="GK66" t="e">
        <f>#REF!+";Hb!%2X"</f>
        <v>#REF!</v>
      </c>
      <c r="GL66" t="e">
        <f>#REF!+";Hb!%2Y"</f>
        <v>#REF!</v>
      </c>
      <c r="GM66" t="e">
        <f>#REF!+";Hb!%2Z"</f>
        <v>#REF!</v>
      </c>
      <c r="GN66" t="e">
        <f>#REF!+";Hb!%2["</f>
        <v>#REF!</v>
      </c>
      <c r="GO66" t="e">
        <f>#REF!+";Hb!%2\"</f>
        <v>#REF!</v>
      </c>
      <c r="GP66" t="e">
        <f>#REF!+";Hb!%2]"</f>
        <v>#REF!</v>
      </c>
      <c r="GQ66" t="e">
        <f>#REF!+";Hb!%2^"</f>
        <v>#REF!</v>
      </c>
      <c r="GR66" t="e">
        <f>#REF!+";Hb!%2_"</f>
        <v>#REF!</v>
      </c>
      <c r="GS66" t="e">
        <f>#REF!+";Hb!%2`"</f>
        <v>#REF!</v>
      </c>
      <c r="GT66" t="e">
        <f>#REF!+";Hb!%2a"</f>
        <v>#REF!</v>
      </c>
      <c r="GU66" t="e">
        <f>#REF!+";Hb!%2b"</f>
        <v>#REF!</v>
      </c>
      <c r="GV66" t="e">
        <f>#REF!+";Hb!%2c"</f>
        <v>#REF!</v>
      </c>
      <c r="GW66" t="e">
        <f>#REF!+";Hb!%2d"</f>
        <v>#REF!</v>
      </c>
      <c r="GX66" t="e">
        <f>#REF!+";Hb!%2e"</f>
        <v>#REF!</v>
      </c>
      <c r="GY66" t="e">
        <f>#REF!+";Hb!%2f"</f>
        <v>#REF!</v>
      </c>
      <c r="GZ66" t="e">
        <f>#REF!+";Hb!%2g"</f>
        <v>#REF!</v>
      </c>
      <c r="HA66" t="e">
        <f>#REF!+";Hb!%2h"</f>
        <v>#REF!</v>
      </c>
      <c r="HB66" t="e">
        <f>#REF!+";Hb!%2i"</f>
        <v>#REF!</v>
      </c>
      <c r="HC66" t="e">
        <f>#REF!+";Hb!%2j"</f>
        <v>#REF!</v>
      </c>
      <c r="HD66" t="e">
        <f>#REF!+";Hb!%2k"</f>
        <v>#REF!</v>
      </c>
      <c r="HE66" t="e">
        <f>#REF!+";Hb!%2l"</f>
        <v>#REF!</v>
      </c>
      <c r="HF66" t="e">
        <f>#REF!+";Hb!%2m"</f>
        <v>#REF!</v>
      </c>
      <c r="HG66" t="e">
        <f>#REF!+";Hb!%2n"</f>
        <v>#REF!</v>
      </c>
      <c r="HH66" t="e">
        <f>#REF!+";Hb!%2o"</f>
        <v>#REF!</v>
      </c>
      <c r="HI66" t="e">
        <f>#REF!+";Hb!%2p"</f>
        <v>#REF!</v>
      </c>
      <c r="HJ66" t="e">
        <f>#REF!+";Hb!%2q"</f>
        <v>#REF!</v>
      </c>
      <c r="HK66" t="e">
        <f>#REF!+";Hb!%2r"</f>
        <v>#REF!</v>
      </c>
      <c r="HL66" t="e">
        <f>#REF!+";Hb!%2s"</f>
        <v>#REF!</v>
      </c>
      <c r="HM66" t="e">
        <f>#REF!+";Hb!%2t"</f>
        <v>#REF!</v>
      </c>
      <c r="HN66" t="e">
        <f>#REF!+";Hb!%2u"</f>
        <v>#REF!</v>
      </c>
      <c r="HO66" t="e">
        <f>#REF!+";Hb!%2v"</f>
        <v>#REF!</v>
      </c>
      <c r="HP66" t="e">
        <f>#REF!+";Hb!%2w"</f>
        <v>#REF!</v>
      </c>
      <c r="HQ66" t="e">
        <f>#REF!+";Hb!%2x"</f>
        <v>#REF!</v>
      </c>
      <c r="HR66" t="e">
        <f>#REF!+";Hb!%2y"</f>
        <v>#REF!</v>
      </c>
      <c r="HS66" t="e">
        <f>#REF!+";Hb!%2z"</f>
        <v>#REF!</v>
      </c>
      <c r="HT66" t="e">
        <f>#REF!+";Hb!%2{"</f>
        <v>#REF!</v>
      </c>
      <c r="HU66" t="e">
        <f>#REF!+";Hb!%2|"</f>
        <v>#REF!</v>
      </c>
      <c r="HV66" t="e">
        <f>#REF!+";Hb!%2}"</f>
        <v>#REF!</v>
      </c>
      <c r="HW66" t="e">
        <f>#REF!+";Hb!%2~"</f>
        <v>#REF!</v>
      </c>
      <c r="HX66" t="e">
        <f>#REF!+";Hb!%3#"</f>
        <v>#REF!</v>
      </c>
      <c r="HY66" t="e">
        <f>#REF!+";Hb!%3$"</f>
        <v>#REF!</v>
      </c>
      <c r="HZ66" t="e">
        <f>#REF!+";Hb!%3%"</f>
        <v>#REF!</v>
      </c>
      <c r="IA66" t="e">
        <f>#REF!+";Hb!%3&amp;"</f>
        <v>#REF!</v>
      </c>
      <c r="IB66" t="e">
        <f>#REF!+";Hb!%3'"</f>
        <v>#REF!</v>
      </c>
      <c r="IC66" t="e">
        <f>#REF!+";Hb!%3("</f>
        <v>#REF!</v>
      </c>
      <c r="ID66" t="e">
        <f>#REF!+";Hb!%3)"</f>
        <v>#REF!</v>
      </c>
      <c r="IE66" t="e">
        <f>#REF!+";Hb!%3."</f>
        <v>#REF!</v>
      </c>
      <c r="IF66" t="e">
        <f>#REF!+";Hb!%3/"</f>
        <v>#REF!</v>
      </c>
      <c r="IG66" t="e">
        <f>#REF!+";Hb!%30"</f>
        <v>#REF!</v>
      </c>
      <c r="IH66" t="e">
        <f>#REF!+";Hb!%31"</f>
        <v>#REF!</v>
      </c>
      <c r="II66" t="e">
        <f>#REF!+";Hb!%32"</f>
        <v>#REF!</v>
      </c>
      <c r="IJ66" t="e">
        <f>#REF!+";Hb!%33"</f>
        <v>#REF!</v>
      </c>
      <c r="IK66" t="e">
        <f>#REF!+";Hb!%34"</f>
        <v>#REF!</v>
      </c>
      <c r="IL66" t="e">
        <f>#REF!+";Hb!%35"</f>
        <v>#REF!</v>
      </c>
      <c r="IM66" t="e">
        <f>#REF!+";Hb!%36"</f>
        <v>#REF!</v>
      </c>
      <c r="IN66" t="e">
        <f>#REF!+";Hb!%37"</f>
        <v>#REF!</v>
      </c>
      <c r="IO66" t="e">
        <f>#REF!+";Hb!%38"</f>
        <v>#REF!</v>
      </c>
      <c r="IP66" t="e">
        <f>#REF!+";Hb!%39"</f>
        <v>#REF!</v>
      </c>
      <c r="IQ66" t="e">
        <f>#REF!+";Hb!%3:"</f>
        <v>#REF!</v>
      </c>
      <c r="IR66" t="e">
        <f>#REF!+";Hb!%3;"</f>
        <v>#REF!</v>
      </c>
      <c r="IS66" t="e">
        <f>#REF!+";Hb!%3&lt;"</f>
        <v>#REF!</v>
      </c>
      <c r="IT66" t="e">
        <f>#REF!+";Hb!%3="</f>
        <v>#REF!</v>
      </c>
      <c r="IU66" t="e">
        <f>#REF!+";Hb!%3&gt;"</f>
        <v>#REF!</v>
      </c>
      <c r="IV66" t="e">
        <f>#REF!+";Hb!%3?"</f>
        <v>#REF!</v>
      </c>
    </row>
    <row r="67" spans="6:256" x14ac:dyDescent="0.25">
      <c r="F67" t="e">
        <f>#REF!+";Hb!%3@"</f>
        <v>#REF!</v>
      </c>
      <c r="G67" t="e">
        <f>#REF!+";Hb!%3A"</f>
        <v>#REF!</v>
      </c>
      <c r="H67" t="e">
        <f>#REF!+";Hb!%3B"</f>
        <v>#REF!</v>
      </c>
      <c r="I67" t="e">
        <f>#REF!+";Hb!%3C"</f>
        <v>#REF!</v>
      </c>
      <c r="J67" t="e">
        <f>#REF!+";Hb!%3D"</f>
        <v>#REF!</v>
      </c>
      <c r="K67" t="e">
        <f>#REF!+";Hb!%3E"</f>
        <v>#REF!</v>
      </c>
      <c r="L67" t="e">
        <f>#REF!+";Hb!%3F"</f>
        <v>#REF!</v>
      </c>
      <c r="M67" t="e">
        <f>#REF!+";Hb!%3G"</f>
        <v>#REF!</v>
      </c>
      <c r="N67" t="e">
        <f>#REF!+";Hb!%3H"</f>
        <v>#REF!</v>
      </c>
      <c r="O67" t="e">
        <f>#REF!+";Hb!%3I"</f>
        <v>#REF!</v>
      </c>
      <c r="P67" t="e">
        <f>#REF!+";Hb!%3J"</f>
        <v>#REF!</v>
      </c>
      <c r="Q67" t="e">
        <f>#REF!+";Hb!%3K"</f>
        <v>#REF!</v>
      </c>
      <c r="R67" t="e">
        <f>#REF!+";Hb!%3L"</f>
        <v>#REF!</v>
      </c>
      <c r="S67" t="e">
        <f>#REF!+";Hb!%3M"</f>
        <v>#REF!</v>
      </c>
      <c r="T67" t="e">
        <f>#REF!+";Hb!%3N"</f>
        <v>#REF!</v>
      </c>
      <c r="U67" t="e">
        <f>#REF!+";Hb!%3O"</f>
        <v>#REF!</v>
      </c>
      <c r="V67" t="e">
        <f>#REF!+";Hb!%3P"</f>
        <v>#REF!</v>
      </c>
      <c r="W67" t="e">
        <f>#REF!+";Hb!%3Q"</f>
        <v>#REF!</v>
      </c>
      <c r="X67" t="e">
        <f>#REF!+";Hb!%3R"</f>
        <v>#REF!</v>
      </c>
      <c r="Y67" t="e">
        <f>#REF!+";Hb!%3S"</f>
        <v>#REF!</v>
      </c>
      <c r="Z67" t="e">
        <f>#REF!+";Hb!%3T"</f>
        <v>#REF!</v>
      </c>
      <c r="AA67" t="e">
        <f>#REF!+";Hb!%3U"</f>
        <v>#REF!</v>
      </c>
      <c r="AB67" t="e">
        <f>#REF!+";Hb!%3V"</f>
        <v>#REF!</v>
      </c>
      <c r="AC67" t="e">
        <f>#REF!+";Hb!%3W"</f>
        <v>#REF!</v>
      </c>
      <c r="AD67" t="e">
        <f>#REF!+";Hb!%3X"</f>
        <v>#REF!</v>
      </c>
      <c r="AE67" t="e">
        <f>#REF!+";Hb!%3Y"</f>
        <v>#REF!</v>
      </c>
      <c r="AF67" t="e">
        <f>#REF!+";Hb!%3Z"</f>
        <v>#REF!</v>
      </c>
      <c r="AG67" t="e">
        <f>#REF!+";Hb!%3["</f>
        <v>#REF!</v>
      </c>
      <c r="AH67" t="e">
        <f>#REF!+";Hb!%3\"</f>
        <v>#REF!</v>
      </c>
      <c r="AI67" t="e">
        <f>#REF!+";Hb!%3]"</f>
        <v>#REF!</v>
      </c>
      <c r="AJ67" t="e">
        <f>#REF!+";Hb!%3^"</f>
        <v>#REF!</v>
      </c>
      <c r="AK67" t="e">
        <f>#REF!+";Hb!%3_"</f>
        <v>#REF!</v>
      </c>
      <c r="AL67" t="e">
        <f>#REF!+";Hb!%3`"</f>
        <v>#REF!</v>
      </c>
      <c r="AM67" t="e">
        <f>#REF!+";Hb!%3a"</f>
        <v>#REF!</v>
      </c>
      <c r="AN67" t="e">
        <f>#REF!+";Hb!%3b"</f>
        <v>#REF!</v>
      </c>
      <c r="AO67" t="e">
        <f>#REF!+";Hb!%3c"</f>
        <v>#REF!</v>
      </c>
      <c r="AP67" t="e">
        <f>#REF!+";Hb!%3d"</f>
        <v>#REF!</v>
      </c>
      <c r="AQ67" t="e">
        <f>#REF!+";Hb!%3e"</f>
        <v>#REF!</v>
      </c>
      <c r="AR67" t="e">
        <f>#REF!+";Hb!%3f"</f>
        <v>#REF!</v>
      </c>
      <c r="AS67" t="e">
        <f>#REF!+";Hb!%3g"</f>
        <v>#REF!</v>
      </c>
      <c r="AT67" t="e">
        <f>#REF!+";Hb!%3h"</f>
        <v>#REF!</v>
      </c>
      <c r="AU67" t="e">
        <f>#REF!+";Hb!%3i"</f>
        <v>#REF!</v>
      </c>
      <c r="AV67" t="e">
        <f>#REF!+";Hb!%3j"</f>
        <v>#REF!</v>
      </c>
      <c r="AW67" t="e">
        <f>#REF!+";Hb!%3k"</f>
        <v>#REF!</v>
      </c>
      <c r="AX67" t="e">
        <f>#REF!+";Hb!%3l"</f>
        <v>#REF!</v>
      </c>
      <c r="AY67" t="e">
        <f>#REF!+";Hb!%3m"</f>
        <v>#REF!</v>
      </c>
      <c r="AZ67" t="e">
        <f>#REF!+";Hb!%3n"</f>
        <v>#REF!</v>
      </c>
      <c r="BA67" t="e">
        <f>#REF!+";Hb!%3o"</f>
        <v>#REF!</v>
      </c>
      <c r="BB67" t="e">
        <f>#REF!+";Hb!%3p"</f>
        <v>#REF!</v>
      </c>
      <c r="BC67" t="e">
        <f>#REF!+";Hb!%3q"</f>
        <v>#REF!</v>
      </c>
      <c r="BD67" t="e">
        <f>#REF!+";Hb!%3r"</f>
        <v>#REF!</v>
      </c>
      <c r="BE67" t="e">
        <f>#REF!+";Hb!%3s"</f>
        <v>#REF!</v>
      </c>
      <c r="BF67" t="e">
        <f>#REF!+";Hb!%3t"</f>
        <v>#REF!</v>
      </c>
      <c r="BG67" t="e">
        <f>#REF!+";Hb!%3u"</f>
        <v>#REF!</v>
      </c>
      <c r="BH67" t="e">
        <f>#REF!+";Hb!%3v"</f>
        <v>#REF!</v>
      </c>
      <c r="BI67" t="e">
        <f>#REF!+";Hb!%3w"</f>
        <v>#REF!</v>
      </c>
      <c r="BJ67" t="e">
        <f>#REF!+";Hb!%3x"</f>
        <v>#REF!</v>
      </c>
      <c r="BK67" s="3" t="e">
        <f>#REF!+";Hb!%3y"</f>
        <v>#REF!</v>
      </c>
      <c r="BL67" t="e">
        <f>#REF!+";Hb!%3z"</f>
        <v>#REF!</v>
      </c>
      <c r="BM67" t="e">
        <f>#REF!+";Hb!%3{"</f>
        <v>#REF!</v>
      </c>
      <c r="BN67" s="3" t="e">
        <f>#REF!+";Hb!%3|"</f>
        <v>#REF!</v>
      </c>
      <c r="BO67" t="e">
        <f>#REF!+";Hb!%3}"</f>
        <v>#REF!</v>
      </c>
      <c r="BP67" t="e">
        <f>#REF!+";Hb!%3~"</f>
        <v>#REF!</v>
      </c>
      <c r="BQ67" s="3" t="e">
        <f>#REF!+";Hb!%4#"</f>
        <v>#REF!</v>
      </c>
      <c r="BR67" t="e">
        <f>#REF!+";Hb!%4$"</f>
        <v>#REF!</v>
      </c>
      <c r="BS67" t="e">
        <f>#REF!+";Hb!%4%"</f>
        <v>#REF!</v>
      </c>
      <c r="BT67" t="e">
        <f>#REF!+";Hb!%4&amp;"</f>
        <v>#REF!</v>
      </c>
      <c r="BU67" t="e">
        <f>#REF!+";Hb!%4'"</f>
        <v>#REF!</v>
      </c>
      <c r="BV67" t="e">
        <f>#REF!+";Hb!%4("</f>
        <v>#REF!</v>
      </c>
      <c r="BW67" t="e">
        <f>#REF!+";Hb!%4)"</f>
        <v>#REF!</v>
      </c>
      <c r="BX67" t="e">
        <f>#REF!+";Hb!%4."</f>
        <v>#REF!</v>
      </c>
      <c r="BY67" t="e">
        <f>#REF!+";Hb!%4/"</f>
        <v>#REF!</v>
      </c>
      <c r="BZ67" t="e">
        <f>#REF!+";Hb!%40"</f>
        <v>#REF!</v>
      </c>
      <c r="CA67" t="e">
        <f>#REF!+";Hb!%41"</f>
        <v>#REF!</v>
      </c>
      <c r="CB67" t="e">
        <f>#REF!+";Hb!%42"</f>
        <v>#REF!</v>
      </c>
      <c r="CC67" t="e">
        <f>#REF!+";Hb!%43"</f>
        <v>#REF!</v>
      </c>
      <c r="CD67" t="e">
        <f>#REF!+";Hb!%44"</f>
        <v>#REF!</v>
      </c>
      <c r="CE67" t="e">
        <f>#REF!+";Hb!%45"</f>
        <v>#REF!</v>
      </c>
      <c r="CF67" t="e">
        <f>#REF!+";Hb!%46"</f>
        <v>#REF!</v>
      </c>
      <c r="CG67" t="e">
        <f>#REF!+";Hb!%47"</f>
        <v>#REF!</v>
      </c>
      <c r="CH67" t="e">
        <f>#REF!+";Hb!%48"</f>
        <v>#REF!</v>
      </c>
      <c r="CI67" t="e">
        <f>#REF!+";Hb!%49"</f>
        <v>#REF!</v>
      </c>
      <c r="CJ67" t="e">
        <f>#REF!+";Hb!%4:"</f>
        <v>#REF!</v>
      </c>
      <c r="CK67" t="e">
        <f>#REF!+";Hb!%4;"</f>
        <v>#REF!</v>
      </c>
      <c r="CL67" t="e">
        <f>#REF!+";Hb!%4&lt;"</f>
        <v>#REF!</v>
      </c>
      <c r="CM67" t="e">
        <f>#REF!+";Hb!%4="</f>
        <v>#REF!</v>
      </c>
      <c r="CN67" t="e">
        <f>#REF!+";Hb!%4&gt;"</f>
        <v>#REF!</v>
      </c>
      <c r="CO67" t="e">
        <f>#REF!+";Hb!%4?"</f>
        <v>#REF!</v>
      </c>
      <c r="CP67" t="e">
        <f>#REF!+";Hb!%4@"</f>
        <v>#REF!</v>
      </c>
      <c r="CQ67" t="e">
        <f>#REF!+";Hb!%4A"</f>
        <v>#REF!</v>
      </c>
      <c r="CR67" t="e">
        <f>#REF!+";Hb!%4B"</f>
        <v>#REF!</v>
      </c>
      <c r="CS67" t="e">
        <f>#REF!+";Hb!%4C"</f>
        <v>#REF!</v>
      </c>
      <c r="CT67" t="e">
        <f>#REF!+";Hb!%4D"</f>
        <v>#REF!</v>
      </c>
      <c r="CU67" t="e">
        <f>#REF!+";Hb!%4E"</f>
        <v>#REF!</v>
      </c>
      <c r="CV67" t="e">
        <f>#REF!+";Hb!%4F"</f>
        <v>#REF!</v>
      </c>
      <c r="CW67" t="e">
        <f>#REF!+";Hb!%4G"</f>
        <v>#REF!</v>
      </c>
      <c r="CX67" t="e">
        <f>#REF!+";Hb!%4H"</f>
        <v>#REF!</v>
      </c>
      <c r="CY67" t="e">
        <f>#REF!+";Hb!%4I"</f>
        <v>#REF!</v>
      </c>
      <c r="CZ67" t="e">
        <f>#REF!+";Hb!%4J"</f>
        <v>#REF!</v>
      </c>
      <c r="DA67" t="e">
        <f>#REF!+";Hb!%4K"</f>
        <v>#REF!</v>
      </c>
      <c r="DB67" t="e">
        <f>#REF!+";Hb!%4L"</f>
        <v>#REF!</v>
      </c>
      <c r="DC67" t="e">
        <f>#REF!+";Hb!%4M"</f>
        <v>#REF!</v>
      </c>
      <c r="DD67" t="e">
        <f>#REF!+";Hb!%4N"</f>
        <v>#REF!</v>
      </c>
      <c r="DE67" t="e">
        <f>#REF!+";Hb!%4O"</f>
        <v>#REF!</v>
      </c>
      <c r="DF67" t="e">
        <f>#REF!+";Hb!%4P"</f>
        <v>#REF!</v>
      </c>
      <c r="DG67" t="e">
        <f>#REF!+";Hb!%4Q"</f>
        <v>#REF!</v>
      </c>
      <c r="DH67" t="e">
        <f>#REF!+";Hb!%4R"</f>
        <v>#REF!</v>
      </c>
      <c r="DI67" t="e">
        <f>#REF!+";Hb!%4S"</f>
        <v>#REF!</v>
      </c>
      <c r="DJ67" t="e">
        <f>#REF!+";Hb!%4T"</f>
        <v>#REF!</v>
      </c>
      <c r="DK67" t="e">
        <f>#REF!+";Hb!%4U"</f>
        <v>#REF!</v>
      </c>
      <c r="DL67" t="e">
        <f>#REF!+";Hb!%4V"</f>
        <v>#REF!</v>
      </c>
      <c r="DM67" t="e">
        <f>#REF!+";Hb!%4W"</f>
        <v>#REF!</v>
      </c>
      <c r="DN67" t="e">
        <f>#REF!+";Hb!%4X"</f>
        <v>#REF!</v>
      </c>
      <c r="DO67" t="e">
        <f>#REF!+";Hb!%4Y"</f>
        <v>#REF!</v>
      </c>
      <c r="DP67" t="e">
        <f>#REF!+";Hb!%4Z"</f>
        <v>#REF!</v>
      </c>
      <c r="DQ67" t="e">
        <f>#REF!+";Hb!%4["</f>
        <v>#REF!</v>
      </c>
      <c r="DR67" t="e">
        <f>#REF!+";Hb!%4\"</f>
        <v>#REF!</v>
      </c>
      <c r="DS67" t="e">
        <f>#REF!+";Hb!%4]"</f>
        <v>#REF!</v>
      </c>
      <c r="DT67" t="e">
        <f>#REF!+";Hb!%4^"</f>
        <v>#REF!</v>
      </c>
      <c r="DU67" t="e">
        <f>#REF!+";Hb!%4_"</f>
        <v>#REF!</v>
      </c>
      <c r="DV67" t="e">
        <f>#REF!+";Hb!%4`"</f>
        <v>#REF!</v>
      </c>
      <c r="DW67" t="e">
        <f>#REF!+";Hb!%4a"</f>
        <v>#REF!</v>
      </c>
      <c r="DX67" t="e">
        <f>#REF!+";Hb!%4b"</f>
        <v>#REF!</v>
      </c>
      <c r="DY67" t="e">
        <f>#REF!+";Hb!%4c"</f>
        <v>#REF!</v>
      </c>
      <c r="DZ67" t="e">
        <f>#REF!+";Hb!%4d"</f>
        <v>#REF!</v>
      </c>
      <c r="EA67" t="e">
        <f>#REF!+";Hb!%4e"</f>
        <v>#REF!</v>
      </c>
      <c r="EB67" t="e">
        <f>#REF!+";Hb!%4f"</f>
        <v>#REF!</v>
      </c>
      <c r="EC67" t="e">
        <f>#REF!+";Hb!%4g"</f>
        <v>#REF!</v>
      </c>
      <c r="ED67" t="e">
        <f>#REF!+";Hb!%4h"</f>
        <v>#REF!</v>
      </c>
      <c r="EE67" t="e">
        <f>#REF!+";Hb!%4i"</f>
        <v>#REF!</v>
      </c>
      <c r="EF67" t="e">
        <f>#REF!+";Hb!%4j"</f>
        <v>#REF!</v>
      </c>
      <c r="EG67" t="e">
        <f>#REF!+";Hb!%4k"</f>
        <v>#REF!</v>
      </c>
      <c r="EH67" t="e">
        <f>#REF!+";Hb!%4l"</f>
        <v>#REF!</v>
      </c>
      <c r="EI67" t="e">
        <f>#REF!+";Hb!%4m"</f>
        <v>#REF!</v>
      </c>
      <c r="EJ67" t="e">
        <f>#REF!+";Hb!%4n"</f>
        <v>#REF!</v>
      </c>
      <c r="EK67" t="e">
        <f>#REF!+";Hb!%4o"</f>
        <v>#REF!</v>
      </c>
      <c r="EL67" t="e">
        <f>#REF!+";Hb!%4p"</f>
        <v>#REF!</v>
      </c>
      <c r="EM67" t="e">
        <f>#REF!+";Hb!%4q"</f>
        <v>#REF!</v>
      </c>
      <c r="EN67" t="e">
        <f>#REF!+";Hb!%4r"</f>
        <v>#REF!</v>
      </c>
      <c r="EO67" t="e">
        <f>#REF!+";Hb!%4s"</f>
        <v>#REF!</v>
      </c>
      <c r="EP67" t="e">
        <f>#REF!+";Hb!%4t"</f>
        <v>#REF!</v>
      </c>
      <c r="EQ67" t="e">
        <f>#REF!+";Hb!%4u"</f>
        <v>#REF!</v>
      </c>
      <c r="ER67" t="e">
        <f>#REF!+";Hb!%4v"</f>
        <v>#REF!</v>
      </c>
      <c r="ES67" t="e">
        <f>#REF!+";Hb!%4w"</f>
        <v>#REF!</v>
      </c>
      <c r="ET67" t="e">
        <f>#REF!+";Hb!%4x"</f>
        <v>#REF!</v>
      </c>
      <c r="EU67" t="e">
        <f>#REF!+";Hb!%4y"</f>
        <v>#REF!</v>
      </c>
      <c r="EV67" t="e">
        <f>#REF!+";Hb!%4z"</f>
        <v>#REF!</v>
      </c>
      <c r="EW67" t="e">
        <f>#REF!+";Hb!%4{"</f>
        <v>#REF!</v>
      </c>
      <c r="EX67" t="e">
        <f>#REF!+";Hb!%4|"</f>
        <v>#REF!</v>
      </c>
      <c r="EY67" t="e">
        <f>#REF!+";Hb!%4}"</f>
        <v>#REF!</v>
      </c>
      <c r="EZ67" t="e">
        <f>#REF!+";Hb!%4~"</f>
        <v>#REF!</v>
      </c>
      <c r="FA67" t="e">
        <f>#REF!+";Hb!%5#"</f>
        <v>#REF!</v>
      </c>
      <c r="FB67" t="e">
        <f>#REF!+";Hb!%5$"</f>
        <v>#REF!</v>
      </c>
      <c r="FC67" t="e">
        <f>#REF!+";Hb!%5%"</f>
        <v>#REF!</v>
      </c>
      <c r="FD67" t="e">
        <f>#REF!+";Hb!%5&amp;"</f>
        <v>#REF!</v>
      </c>
      <c r="FE67" t="e">
        <f>#REF!+";Hb!%5'"</f>
        <v>#REF!</v>
      </c>
      <c r="FF67" t="e">
        <f>#REF!+";Hb!%5("</f>
        <v>#REF!</v>
      </c>
      <c r="FG67" t="e">
        <f>#REF!+";Hb!%5)"</f>
        <v>#REF!</v>
      </c>
      <c r="FH67" t="e">
        <f>#REF!+";Hb!%5."</f>
        <v>#REF!</v>
      </c>
      <c r="FI67" t="e">
        <f>#REF!+";Hb!%5/"</f>
        <v>#REF!</v>
      </c>
      <c r="FJ67" t="e">
        <f>#REF!+";Hb!%50"</f>
        <v>#REF!</v>
      </c>
      <c r="FK67" t="e">
        <f>#REF!+";Hb!%51"</f>
        <v>#REF!</v>
      </c>
      <c r="FL67" t="e">
        <f>#REF!+";Hb!%52"</f>
        <v>#REF!</v>
      </c>
      <c r="FM67" t="e">
        <f>#REF!+";Hb!%53"</f>
        <v>#REF!</v>
      </c>
      <c r="FN67" t="e">
        <f>#REF!+";Hb!%54"</f>
        <v>#REF!</v>
      </c>
      <c r="FO67" t="e">
        <f>#REF!+";Hb!%55"</f>
        <v>#REF!</v>
      </c>
      <c r="FP67" t="e">
        <f>#REF!+";Hb!%56"</f>
        <v>#REF!</v>
      </c>
      <c r="FQ67" t="e">
        <f>#REF!+";Hb!%57"</f>
        <v>#REF!</v>
      </c>
      <c r="FR67" t="e">
        <f>#REF!+";Hb!%58"</f>
        <v>#REF!</v>
      </c>
      <c r="FS67" t="e">
        <f>#REF!+";Hb!%59"</f>
        <v>#REF!</v>
      </c>
      <c r="FT67" t="e">
        <f>#REF!+";Hb!%5:"</f>
        <v>#REF!</v>
      </c>
      <c r="FU67" t="e">
        <f>#REF!+";Hb!%5;"</f>
        <v>#REF!</v>
      </c>
      <c r="FV67" t="e">
        <f>#REF!+";Hb!%5&lt;"</f>
        <v>#REF!</v>
      </c>
      <c r="FW67" t="e">
        <f>#REF!+";Hb!%5="</f>
        <v>#REF!</v>
      </c>
      <c r="FX67" t="e">
        <f>#REF!+";Hb!%5&gt;"</f>
        <v>#REF!</v>
      </c>
      <c r="FY67" t="e">
        <f>#REF!+";Hb!%5?"</f>
        <v>#REF!</v>
      </c>
      <c r="FZ67" t="e">
        <f>#REF!+";Hb!%5@"</f>
        <v>#REF!</v>
      </c>
      <c r="GA67" t="e">
        <f>#REF!+";Hb!%5A"</f>
        <v>#REF!</v>
      </c>
      <c r="GB67" t="e">
        <f>#REF!+";Hb!%5B"</f>
        <v>#REF!</v>
      </c>
      <c r="GC67" t="e">
        <f>#REF!+";Hb!%5C"</f>
        <v>#REF!</v>
      </c>
      <c r="GD67" t="e">
        <f>#REF!+";Hb!%5D"</f>
        <v>#REF!</v>
      </c>
      <c r="GE67" t="e">
        <f>#REF!+";Hb!%5E"</f>
        <v>#REF!</v>
      </c>
      <c r="GF67" t="e">
        <f>#REF!+";Hb!%5F"</f>
        <v>#REF!</v>
      </c>
      <c r="GG67" t="e">
        <f>#REF!+";Hb!%5G"</f>
        <v>#REF!</v>
      </c>
      <c r="GH67" t="e">
        <f>#REF!+";Hb!%5H"</f>
        <v>#REF!</v>
      </c>
      <c r="GI67" t="e">
        <f>#REF!+";Hb!%5I"</f>
        <v>#REF!</v>
      </c>
      <c r="GJ67" t="e">
        <f>#REF!+";Hb!%5J"</f>
        <v>#REF!</v>
      </c>
      <c r="GK67" t="e">
        <f>#REF!+";Hb!%5K"</f>
        <v>#REF!</v>
      </c>
      <c r="GL67" t="e">
        <f>#REF!+";Hb!%5L"</f>
        <v>#REF!</v>
      </c>
      <c r="GM67" t="e">
        <f>#REF!+";Hb!%5M"</f>
        <v>#REF!</v>
      </c>
      <c r="GN67" t="e">
        <f>#REF!+";Hb!%5N"</f>
        <v>#REF!</v>
      </c>
      <c r="GO67" t="e">
        <f>#REF!+";Hb!%5O"</f>
        <v>#REF!</v>
      </c>
      <c r="GP67" t="e">
        <f>#REF!+";Hb!%5P"</f>
        <v>#REF!</v>
      </c>
      <c r="GQ67" t="e">
        <f>#REF!+";Hb!%5Q"</f>
        <v>#REF!</v>
      </c>
      <c r="GR67" t="e">
        <f>#REF!+";Hb!%5R"</f>
        <v>#REF!</v>
      </c>
      <c r="GS67" t="e">
        <f>#REF!+";Hb!%5S"</f>
        <v>#REF!</v>
      </c>
      <c r="GT67" t="e">
        <f>#REF!+";Hb!%5T"</f>
        <v>#REF!</v>
      </c>
      <c r="GU67" t="e">
        <f>#REF!+";Hb!%5U"</f>
        <v>#REF!</v>
      </c>
      <c r="GV67" t="e">
        <f>#REF!+";Hb!%5V"</f>
        <v>#REF!</v>
      </c>
      <c r="GW67" t="e">
        <f>#REF!+";Hb!%5W"</f>
        <v>#REF!</v>
      </c>
      <c r="GX67" t="e">
        <f>#REF!+";Hb!%5X"</f>
        <v>#REF!</v>
      </c>
      <c r="GY67" t="e">
        <f>#REF!+";Hb!%5Y"</f>
        <v>#REF!</v>
      </c>
      <c r="GZ67" t="e">
        <f>#REF!+";Hb!%5Z"</f>
        <v>#REF!</v>
      </c>
      <c r="HA67" t="e">
        <f>#REF!+";Hb!%5["</f>
        <v>#REF!</v>
      </c>
      <c r="HB67" t="e">
        <f>#REF!+";Hb!%5\"</f>
        <v>#REF!</v>
      </c>
      <c r="HC67" t="e">
        <f>#REF!+";Hb!%5]"</f>
        <v>#REF!</v>
      </c>
      <c r="HD67" t="e">
        <f>#REF!+";Hb!%5^"</f>
        <v>#REF!</v>
      </c>
      <c r="HE67" t="e">
        <f>#REF!+";Hb!%5_"</f>
        <v>#REF!</v>
      </c>
      <c r="HF67" t="e">
        <f>#REF!+";Hb!%5`"</f>
        <v>#REF!</v>
      </c>
      <c r="HG67" t="e">
        <f>#REF!+";Hb!%5a"</f>
        <v>#REF!</v>
      </c>
      <c r="HH67" t="e">
        <f>#REF!+";Hb!%5b"</f>
        <v>#REF!</v>
      </c>
      <c r="HI67" t="e">
        <f>#REF!+";Hb!%5c"</f>
        <v>#REF!</v>
      </c>
      <c r="HJ67" t="e">
        <f>#REF!+";Hb!%5d"</f>
        <v>#REF!</v>
      </c>
      <c r="HK67" t="e">
        <f>#REF!+";Hb!%5e"</f>
        <v>#REF!</v>
      </c>
      <c r="HL67" t="e">
        <f>#REF!+";Hb!%5f"</f>
        <v>#REF!</v>
      </c>
      <c r="HM67" t="e">
        <f>#REF!+";Hb!%5g"</f>
        <v>#REF!</v>
      </c>
      <c r="HN67" t="e">
        <f>#REF!+";Hb!%5h"</f>
        <v>#REF!</v>
      </c>
      <c r="HO67" t="e">
        <f>#REF!+";Hb!%5i"</f>
        <v>#REF!</v>
      </c>
      <c r="HP67" t="e">
        <f>#REF!+";Hb!%5j"</f>
        <v>#REF!</v>
      </c>
      <c r="HQ67" t="e">
        <f>#REF!+";Hb!%5k"</f>
        <v>#REF!</v>
      </c>
      <c r="HR67" t="e">
        <f>#REF!+";Hb!%5l"</f>
        <v>#REF!</v>
      </c>
      <c r="HS67" t="e">
        <f>#REF!+";Hb!%5m"</f>
        <v>#REF!</v>
      </c>
      <c r="HT67" t="e">
        <f>#REF!+";Hb!%5n"</f>
        <v>#REF!</v>
      </c>
      <c r="HU67" t="e">
        <f>#REF!+";Hb!%5o"</f>
        <v>#REF!</v>
      </c>
      <c r="HV67" t="e">
        <f>#REF!+";Hb!%5p"</f>
        <v>#REF!</v>
      </c>
      <c r="HW67" t="e">
        <f>#REF!+";Hb!%5q"</f>
        <v>#REF!</v>
      </c>
      <c r="HX67" t="e">
        <f>#REF!+";Hb!%5r"</f>
        <v>#REF!</v>
      </c>
      <c r="HY67" t="e">
        <f>#REF!+";Hb!%5s"</f>
        <v>#REF!</v>
      </c>
      <c r="HZ67" t="e">
        <f>#REF!+";Hb!%5t"</f>
        <v>#REF!</v>
      </c>
      <c r="IA67" t="e">
        <f>#REF!+";Hb!%5u"</f>
        <v>#REF!</v>
      </c>
      <c r="IB67" t="e">
        <f>#REF!+";Hb!%5v"</f>
        <v>#REF!</v>
      </c>
      <c r="IC67" t="e">
        <f>#REF!+";Hb!%5w"</f>
        <v>#REF!</v>
      </c>
      <c r="ID67" t="e">
        <f>#REF!+";Hb!%5x"</f>
        <v>#REF!</v>
      </c>
      <c r="IE67" t="e">
        <f>#REF!+";Hb!%5y"</f>
        <v>#REF!</v>
      </c>
      <c r="IF67" t="e">
        <f>#REF!+";Hb!%5z"</f>
        <v>#REF!</v>
      </c>
      <c r="IG67" t="e">
        <f>#REF!+";Hb!%5{"</f>
        <v>#REF!</v>
      </c>
      <c r="IH67" t="e">
        <f>#REF!+";Hb!%5|"</f>
        <v>#REF!</v>
      </c>
      <c r="II67" t="e">
        <f>#REF!+";Hb!%5}"</f>
        <v>#REF!</v>
      </c>
      <c r="IJ67" t="e">
        <f>#REF!+";Hb!%5~"</f>
        <v>#REF!</v>
      </c>
      <c r="IK67" t="e">
        <f>#REF!+";Hb!%6#"</f>
        <v>#REF!</v>
      </c>
      <c r="IL67" t="e">
        <f>#REF!+";Hb!%6$"</f>
        <v>#REF!</v>
      </c>
      <c r="IM67" t="e">
        <f>#REF!+";Hb!%6%"</f>
        <v>#REF!</v>
      </c>
      <c r="IN67" t="e">
        <f>#REF!+";Hb!%6&amp;"</f>
        <v>#REF!</v>
      </c>
      <c r="IO67" t="e">
        <f>#REF!+";Hb!%6'"</f>
        <v>#REF!</v>
      </c>
      <c r="IP67" t="e">
        <f>#REF!+";Hb!%6("</f>
        <v>#REF!</v>
      </c>
      <c r="IQ67" t="e">
        <f>#REF!+";Hb!%6)"</f>
        <v>#REF!</v>
      </c>
      <c r="IR67" t="e">
        <f>#REF!+";Hb!%6."</f>
        <v>#REF!</v>
      </c>
      <c r="IS67" t="e">
        <f>#REF!+";Hb!%6/"</f>
        <v>#REF!</v>
      </c>
      <c r="IT67" t="e">
        <f>#REF!+";Hb!%60"</f>
        <v>#REF!</v>
      </c>
      <c r="IU67" t="e">
        <f>#REF!+";Hb!%61"</f>
        <v>#REF!</v>
      </c>
      <c r="IV67" t="e">
        <f>#REF!+";Hb!%62"</f>
        <v>#REF!</v>
      </c>
    </row>
    <row r="68" spans="6:256" x14ac:dyDescent="0.25">
      <c r="F68" t="e">
        <f>#REF!+";Hb!%63"</f>
        <v>#REF!</v>
      </c>
      <c r="G68" t="e">
        <f>#REF!+";Hb!%64"</f>
        <v>#REF!</v>
      </c>
      <c r="H68" t="e">
        <f>#REF!+";Hb!%65"</f>
        <v>#REF!</v>
      </c>
      <c r="I68" t="e">
        <f>#REF!+";Hb!%66"</f>
        <v>#REF!</v>
      </c>
      <c r="J68" t="e">
        <f>#REF!+";Hb!%67"</f>
        <v>#REF!</v>
      </c>
      <c r="K68" t="e">
        <f>#REF!+";Hb!%68"</f>
        <v>#REF!</v>
      </c>
      <c r="L68" t="e">
        <f>#REF!+";Hb!%69"</f>
        <v>#REF!</v>
      </c>
      <c r="M68" t="e">
        <f>#REF!+";Hb!%6:"</f>
        <v>#REF!</v>
      </c>
      <c r="N68" t="e">
        <f>#REF!+";Hb!%6;"</f>
        <v>#REF!</v>
      </c>
      <c r="O68" t="e">
        <f>#REF!+";Hb!%6&lt;"</f>
        <v>#REF!</v>
      </c>
      <c r="P68" t="e">
        <f>#REF!+";Hb!%6="</f>
        <v>#REF!</v>
      </c>
      <c r="Q68" t="e">
        <f>#REF!+";Hb!%6&gt;"</f>
        <v>#REF!</v>
      </c>
      <c r="R68" t="e">
        <f>#REF!+";Hb!%6?"</f>
        <v>#REF!</v>
      </c>
      <c r="S68" t="e">
        <f>#REF!+";Hb!%6@"</f>
        <v>#REF!</v>
      </c>
      <c r="T68" t="e">
        <f>#REF!+";Hb!%6A"</f>
        <v>#REF!</v>
      </c>
      <c r="U68" t="e">
        <f>#REF!+";Hb!%6B"</f>
        <v>#REF!</v>
      </c>
      <c r="V68" t="e">
        <f>#REF!+";Hb!%6C"</f>
        <v>#REF!</v>
      </c>
      <c r="W68" t="e">
        <f>#REF!+";Hb!%6D"</f>
        <v>#REF!</v>
      </c>
      <c r="X68" t="e">
        <f>#REF!+";Hb!%6E"</f>
        <v>#REF!</v>
      </c>
      <c r="Y68" t="e">
        <f>#REF!+";Hb!%6F"</f>
        <v>#REF!</v>
      </c>
      <c r="Z68" t="e">
        <f>#REF!+";Hb!%6G"</f>
        <v>#REF!</v>
      </c>
      <c r="AA68" t="e">
        <f>#REF!+";Hb!%6H"</f>
        <v>#REF!</v>
      </c>
      <c r="AB68" t="e">
        <f>#REF!+";Hb!%6I"</f>
        <v>#REF!</v>
      </c>
      <c r="AC68" t="e">
        <f>#REF!+";Hb!%6J"</f>
        <v>#REF!</v>
      </c>
      <c r="AD68" t="e">
        <f>#REF!+";Hb!%6K"</f>
        <v>#REF!</v>
      </c>
      <c r="AE68" t="e">
        <f>#REF!+";Hb!%6L"</f>
        <v>#REF!</v>
      </c>
      <c r="AF68" t="e">
        <f>#REF!+";Hb!%6M"</f>
        <v>#REF!</v>
      </c>
      <c r="AG68" t="e">
        <f>#REF!+";Hb!%6N"</f>
        <v>#REF!</v>
      </c>
      <c r="AH68" t="e">
        <f>#REF!+";Hb!%6O"</f>
        <v>#REF!</v>
      </c>
      <c r="AI68" t="e">
        <f>#REF!+";Hb!%6P"</f>
        <v>#REF!</v>
      </c>
      <c r="AJ68" t="e">
        <f>#REF!+";Hb!%6Q"</f>
        <v>#REF!</v>
      </c>
      <c r="AK68" t="e">
        <f>#REF!+";Hb!%6R"</f>
        <v>#REF!</v>
      </c>
      <c r="AL68" t="e">
        <f>#REF!+";Hb!%6S"</f>
        <v>#REF!</v>
      </c>
      <c r="AM68" t="e">
        <f>#REF!+";Hb!%6T"</f>
        <v>#REF!</v>
      </c>
      <c r="AN68" t="e">
        <f>#REF!+";Hb!%6U"</f>
        <v>#REF!</v>
      </c>
      <c r="AO68" t="e">
        <f>#REF!+";Hb!%6V"</f>
        <v>#REF!</v>
      </c>
      <c r="AP68" t="e">
        <f>#REF!+";Hb!%6W"</f>
        <v>#REF!</v>
      </c>
      <c r="AQ68" t="e">
        <f>#REF!+";Hb!%6X"</f>
        <v>#REF!</v>
      </c>
      <c r="AR68" t="e">
        <f>#REF!+";Hb!%6Y"</f>
        <v>#REF!</v>
      </c>
      <c r="AS68" t="e">
        <f>#REF!+";Hb!%6Z"</f>
        <v>#REF!</v>
      </c>
      <c r="AT68" t="e">
        <f>#REF!+";Hb!%6["</f>
        <v>#REF!</v>
      </c>
      <c r="AU68" t="e">
        <f>#REF!+";Hb!%6\"</f>
        <v>#REF!</v>
      </c>
      <c r="AV68" t="e">
        <f>#REF!+";Hb!%6]"</f>
        <v>#REF!</v>
      </c>
      <c r="AW68" t="e">
        <f>#REF!+";Hb!%6^"</f>
        <v>#REF!</v>
      </c>
      <c r="AX68" t="e">
        <f>#REF!+";Hb!%6_"</f>
        <v>#REF!</v>
      </c>
      <c r="AY68" t="e">
        <f>#REF!+";Hb!%6`"</f>
        <v>#REF!</v>
      </c>
      <c r="AZ68" t="e">
        <f>#REF!+";Hb!%6a"</f>
        <v>#REF!</v>
      </c>
      <c r="BA68" t="e">
        <f>#REF!+";Hb!%6b"</f>
        <v>#REF!</v>
      </c>
      <c r="BB68" t="e">
        <f>#REF!+";Hb!%6c"</f>
        <v>#REF!</v>
      </c>
      <c r="BC68" t="e">
        <f>#REF!+";Hb!%6d"</f>
        <v>#REF!</v>
      </c>
      <c r="BD68" t="e">
        <f>#REF!+";Hb!%6e"</f>
        <v>#REF!</v>
      </c>
      <c r="BE68" t="e">
        <f>#REF!+";Hb!%6f"</f>
        <v>#REF!</v>
      </c>
      <c r="BF68" t="e">
        <f>#REF!+";Hb!%6g"</f>
        <v>#REF!</v>
      </c>
      <c r="BG68" t="e">
        <f>#REF!+";Hb!%6h"</f>
        <v>#REF!</v>
      </c>
      <c r="BH68" t="e">
        <f>#REF!+";Hb!%6i"</f>
        <v>#REF!</v>
      </c>
      <c r="BI68" t="e">
        <f>#REF!+";Hb!%6j"</f>
        <v>#REF!</v>
      </c>
      <c r="BJ68" t="e">
        <f>#REF!+";Hb!%6k"</f>
        <v>#REF!</v>
      </c>
      <c r="BK68" t="e">
        <f>#REF!+";Hb!%6l"</f>
        <v>#REF!</v>
      </c>
      <c r="BL68" t="e">
        <f>#REF!+";Hb!%6m"</f>
        <v>#REF!</v>
      </c>
      <c r="BM68" t="e">
        <f>#REF!+";Hb!%6n"</f>
        <v>#REF!</v>
      </c>
      <c r="BN68" t="e">
        <f>#REF!+";Hb!%6o"</f>
        <v>#REF!</v>
      </c>
      <c r="BO68" t="e">
        <f>#REF!+";Hb!%6p"</f>
        <v>#REF!</v>
      </c>
      <c r="BP68" t="e">
        <f>#REF!+";Hb!%6q"</f>
        <v>#REF!</v>
      </c>
      <c r="BQ68" t="e">
        <f>#REF!+";Hb!%6r"</f>
        <v>#REF!</v>
      </c>
      <c r="BR68" t="e">
        <f>#REF!+";Hb!%6s"</f>
        <v>#REF!</v>
      </c>
      <c r="BS68" t="e">
        <f>#REF!+";Hb!%6t"</f>
        <v>#REF!</v>
      </c>
      <c r="BT68" t="e">
        <f>#REF!+";Hb!%6u"</f>
        <v>#REF!</v>
      </c>
      <c r="BU68" t="e">
        <f>#REF!+";Hb!%6v"</f>
        <v>#REF!</v>
      </c>
      <c r="BV68" t="e">
        <f>#REF!+";Hb!%6w"</f>
        <v>#REF!</v>
      </c>
      <c r="BW68" t="e">
        <f>#REF!+";Hb!%6x"</f>
        <v>#REF!</v>
      </c>
      <c r="BX68" t="e">
        <f>#REF!+";Hb!%6y"</f>
        <v>#REF!</v>
      </c>
      <c r="BY68" t="e">
        <f>#REF!+";Hb!%6z"</f>
        <v>#REF!</v>
      </c>
      <c r="BZ68" t="e">
        <f>#REF!+";Hb!%6{"</f>
        <v>#REF!</v>
      </c>
      <c r="CA68" t="e">
        <f>#REF!+";Hb!%6|"</f>
        <v>#REF!</v>
      </c>
      <c r="CB68" t="e">
        <f>#REF!+";Hb!%6}"</f>
        <v>#REF!</v>
      </c>
      <c r="CC68" t="e">
        <f>#REF!+";Hb!%6~"</f>
        <v>#REF!</v>
      </c>
      <c r="CD68" t="e">
        <f>#REF!+";Hb!%7#"</f>
        <v>#REF!</v>
      </c>
      <c r="CE68" t="e">
        <f>#REF!+";Hb!%7$"</f>
        <v>#REF!</v>
      </c>
      <c r="CF68" t="e">
        <f>#REF!+";Hb!%7%"</f>
        <v>#REF!</v>
      </c>
      <c r="CG68" t="e">
        <f>#REF!+";Hb!%7&amp;"</f>
        <v>#REF!</v>
      </c>
      <c r="CH68" t="e">
        <f>#REF!+";Hb!%7'"</f>
        <v>#REF!</v>
      </c>
      <c r="CI68" t="e">
        <f>#REF!+";Hb!%7("</f>
        <v>#REF!</v>
      </c>
      <c r="CJ68" t="e">
        <f>#REF!+";Hb!%7)"</f>
        <v>#REF!</v>
      </c>
      <c r="CK68" t="e">
        <f>#REF!+";Hb!%7."</f>
        <v>#REF!</v>
      </c>
      <c r="CL68" t="e">
        <f>#REF!+";Hb!%7/"</f>
        <v>#REF!</v>
      </c>
      <c r="CM68" t="e">
        <f>#REF!+";Hb!%70"</f>
        <v>#REF!</v>
      </c>
      <c r="CN68" t="e">
        <f>#REF!+";Hb!%71"</f>
        <v>#REF!</v>
      </c>
      <c r="CO68" t="e">
        <f>#REF!+";Hb!%72"</f>
        <v>#REF!</v>
      </c>
      <c r="CP68" t="e">
        <f>#REF!+";Hb!%73"</f>
        <v>#REF!</v>
      </c>
      <c r="CQ68" t="e">
        <f>#REF!+";Hb!%74"</f>
        <v>#REF!</v>
      </c>
      <c r="CR68" t="e">
        <f>#REF!+";Hb!%75"</f>
        <v>#REF!</v>
      </c>
      <c r="CS68" t="e">
        <f>#REF!+";Hb!%76"</f>
        <v>#REF!</v>
      </c>
      <c r="CT68" t="e">
        <f>#REF!+";Hb!%77"</f>
        <v>#REF!</v>
      </c>
      <c r="CU68" t="e">
        <f>#REF!+";Hb!%78"</f>
        <v>#REF!</v>
      </c>
      <c r="CV68" t="e">
        <f>#REF!+";Hb!%79"</f>
        <v>#REF!</v>
      </c>
      <c r="CW68" t="e">
        <f>#REF!+";Hb!%7:"</f>
        <v>#REF!</v>
      </c>
      <c r="CX68" t="e">
        <f>#REF!+";Hb!%7;"</f>
        <v>#REF!</v>
      </c>
      <c r="CY68" t="e">
        <f>#REF!+";Hb!%7&lt;"</f>
        <v>#REF!</v>
      </c>
      <c r="CZ68" t="e">
        <f>#REF!+";Hb!%7="</f>
        <v>#REF!</v>
      </c>
      <c r="DA68" t="e">
        <f>#REF!+";Hb!%7&gt;"</f>
        <v>#REF!</v>
      </c>
      <c r="DB68" t="e">
        <f>#REF!+";Hb!%7?"</f>
        <v>#REF!</v>
      </c>
      <c r="DC68" t="e">
        <f>#REF!+";Hb!%7@"</f>
        <v>#REF!</v>
      </c>
      <c r="DD68" t="e">
        <f>#REF!+";Hb!%7A"</f>
        <v>#REF!</v>
      </c>
      <c r="DE68" t="e">
        <f>#REF!+";Hb!%7B"</f>
        <v>#REF!</v>
      </c>
      <c r="DF68" t="e">
        <f>#REF!+";Hb!%7C"</f>
        <v>#REF!</v>
      </c>
      <c r="DG68" t="e">
        <f>#REF!+";Hb!%7D"</f>
        <v>#REF!</v>
      </c>
      <c r="DH68" t="e">
        <f>#REF!+";Hb!%7E"</f>
        <v>#REF!</v>
      </c>
      <c r="DI68" t="e">
        <f>#REF!+";Hb!%7F"</f>
        <v>#REF!</v>
      </c>
      <c r="DJ68" t="e">
        <f>#REF!+";Hb!%7G"</f>
        <v>#REF!</v>
      </c>
      <c r="DK68" t="e">
        <f>#REF!+";Hb!%7H"</f>
        <v>#REF!</v>
      </c>
      <c r="DL68" t="e">
        <f>#REF!+";Hb!%7I"</f>
        <v>#REF!</v>
      </c>
      <c r="DM68" t="e">
        <f>#REF!+";Hb!%7J"</f>
        <v>#REF!</v>
      </c>
      <c r="DN68" t="e">
        <f>#REF!+";Hb!%7K"</f>
        <v>#REF!</v>
      </c>
      <c r="DO68" t="e">
        <f>#REF!+";Hb!%7L"</f>
        <v>#REF!</v>
      </c>
      <c r="DP68" t="e">
        <f>#REF!+";Hb!%7M"</f>
        <v>#REF!</v>
      </c>
      <c r="DQ68" t="e">
        <f>#REF!+";Hb!%7N"</f>
        <v>#REF!</v>
      </c>
      <c r="DR68" t="e">
        <f>#REF!+";Hb!%7O"</f>
        <v>#REF!</v>
      </c>
      <c r="DS68" t="e">
        <f>#REF!+";Hb!%7P"</f>
        <v>#REF!</v>
      </c>
      <c r="DT68" t="e">
        <f>#REF!+";Hb!%7Q"</f>
        <v>#REF!</v>
      </c>
      <c r="DU68" t="e">
        <f>#REF!+";Hb!%7R"</f>
        <v>#REF!</v>
      </c>
      <c r="DV68" t="e">
        <f>#REF!+";Hb!%7S"</f>
        <v>#REF!</v>
      </c>
      <c r="DW68" t="e">
        <f>#REF!+";Hb!%7T"</f>
        <v>#REF!</v>
      </c>
      <c r="DX68" t="e">
        <f>#REF!+";Hb!%7U"</f>
        <v>#REF!</v>
      </c>
      <c r="DY68" t="e">
        <f>#REF!+";Hb!%7V"</f>
        <v>#REF!</v>
      </c>
      <c r="DZ68" t="e">
        <f>#REF!+";Hb!%7W"</f>
        <v>#REF!</v>
      </c>
      <c r="EA68" t="e">
        <f>#REF!+";Hb!%7X"</f>
        <v>#REF!</v>
      </c>
      <c r="EB68" t="e">
        <f>#REF!+";Hb!%7Y"</f>
        <v>#REF!</v>
      </c>
      <c r="EC68" t="e">
        <f>#REF!+";Hb!%7Z"</f>
        <v>#REF!</v>
      </c>
      <c r="ED68" t="e">
        <f>#REF!+";Hb!%7["</f>
        <v>#REF!</v>
      </c>
      <c r="EE68" t="e">
        <f>#REF!+";Hb!%7\"</f>
        <v>#REF!</v>
      </c>
      <c r="EF68" t="e">
        <f>#REF!+";Hb!%7]"</f>
        <v>#REF!</v>
      </c>
      <c r="EG68" t="e">
        <f>#REF!+";Hb!%7^"</f>
        <v>#REF!</v>
      </c>
      <c r="EH68" t="e">
        <f>#REF!+";Hb!%7_"</f>
        <v>#REF!</v>
      </c>
      <c r="EI68" t="e">
        <f>#REF!+";Hb!%7`"</f>
        <v>#REF!</v>
      </c>
      <c r="EJ68" t="e">
        <f>#REF!+";Hb!%7a"</f>
        <v>#REF!</v>
      </c>
      <c r="EK68" t="e">
        <f>#REF!+";Hb!%7b"</f>
        <v>#REF!</v>
      </c>
      <c r="EL68" t="e">
        <f>#REF!+";Hb!%7c"</f>
        <v>#REF!</v>
      </c>
      <c r="EM68" t="e">
        <f>#REF!+";Hb!%7d"</f>
        <v>#REF!</v>
      </c>
      <c r="EN68" t="e">
        <f>#REF!+";Hb!%7e"</f>
        <v>#REF!</v>
      </c>
      <c r="EO68" t="e">
        <f>#REF!+";Hb!%7f"</f>
        <v>#REF!</v>
      </c>
      <c r="EP68" t="e">
        <f>#REF!+";Hb!%7g"</f>
        <v>#REF!</v>
      </c>
      <c r="EQ68" t="e">
        <f>#REF!+";Hb!%7h"</f>
        <v>#REF!</v>
      </c>
      <c r="ER68" t="e">
        <f>#REF!+";Hb!%7i"</f>
        <v>#REF!</v>
      </c>
      <c r="ES68" t="e">
        <f>#REF!+";Hb!%7j"</f>
        <v>#REF!</v>
      </c>
      <c r="ET68" t="e">
        <f>#REF!+";Hb!%7k"</f>
        <v>#REF!</v>
      </c>
      <c r="EU68" t="e">
        <f>#REF!+";Hb!%7l"</f>
        <v>#REF!</v>
      </c>
      <c r="EV68" t="e">
        <f>#REF!+";Hb!%7m"</f>
        <v>#REF!</v>
      </c>
      <c r="EW68" t="e">
        <f>#REF!+";Hb!%7n"</f>
        <v>#REF!</v>
      </c>
      <c r="EX68" t="e">
        <f>#REF!+";Hb!%7o"</f>
        <v>#REF!</v>
      </c>
      <c r="EY68" t="e">
        <f>#REF!+";Hb!%7p"</f>
        <v>#REF!</v>
      </c>
      <c r="EZ68" t="e">
        <f>#REF!+";Hb!%7q"</f>
        <v>#REF!</v>
      </c>
      <c r="FA68" t="e">
        <f>#REF!+";Hb!%7r"</f>
        <v>#REF!</v>
      </c>
      <c r="FB68" t="e">
        <f>#REF!+";Hb!%7s"</f>
        <v>#REF!</v>
      </c>
      <c r="FC68" t="e">
        <f>#REF!+";Hb!%7t"</f>
        <v>#REF!</v>
      </c>
      <c r="FD68" t="e">
        <f>#REF!+";Hb!%7u"</f>
        <v>#REF!</v>
      </c>
      <c r="FE68" t="e">
        <f>#REF!+";Hb!%7v"</f>
        <v>#REF!</v>
      </c>
      <c r="FF68" t="e">
        <f>#REF!+";Hb!%7w"</f>
        <v>#REF!</v>
      </c>
      <c r="FG68" t="e">
        <f>#REF!+";Hb!%7x"</f>
        <v>#REF!</v>
      </c>
      <c r="FH68" t="e">
        <f>#REF!+";Hb!%7y"</f>
        <v>#REF!</v>
      </c>
      <c r="FI68" t="e">
        <f>#REF!+";Hb!%7z"</f>
        <v>#REF!</v>
      </c>
      <c r="FJ68" t="e">
        <f>#REF!+";Hb!%7{"</f>
        <v>#REF!</v>
      </c>
      <c r="FK68" t="e">
        <f>#REF!+";Hb!%7|"</f>
        <v>#REF!</v>
      </c>
      <c r="FL68" t="e">
        <f>#REF!+";Hb!%7}"</f>
        <v>#REF!</v>
      </c>
      <c r="FM68" t="e">
        <f>#REF!+";Hb!%7~"</f>
        <v>#REF!</v>
      </c>
      <c r="FN68" t="e">
        <f>#REF!+";Hb!%8#"</f>
        <v>#REF!</v>
      </c>
      <c r="FO68" t="e">
        <f>#REF!+";Hb!%8$"</f>
        <v>#REF!</v>
      </c>
      <c r="FP68" t="e">
        <f>#REF!+";Hb!%8%"</f>
        <v>#REF!</v>
      </c>
      <c r="FQ68" t="e">
        <f>#REF!+";Hb!%8&amp;"</f>
        <v>#REF!</v>
      </c>
      <c r="FR68" t="e">
        <f>#REF!+";Hb!%8'"</f>
        <v>#REF!</v>
      </c>
      <c r="FS68" t="e">
        <f>#REF!+";Hb!%8("</f>
        <v>#REF!</v>
      </c>
      <c r="FT68" t="e">
        <f>#REF!+";Hb!%8)"</f>
        <v>#REF!</v>
      </c>
      <c r="FU68" t="e">
        <f>#REF!+";Hb!%8."</f>
        <v>#REF!</v>
      </c>
      <c r="FV68" t="e">
        <f>#REF!+";Hb!%8/"</f>
        <v>#REF!</v>
      </c>
      <c r="FW68" t="e">
        <f>#REF!+";Hb!%80"</f>
        <v>#REF!</v>
      </c>
      <c r="FX68" t="e">
        <f>#REF!+";Hb!%81"</f>
        <v>#REF!</v>
      </c>
      <c r="FY68" t="e">
        <f>#REF!+";Hb!%82"</f>
        <v>#REF!</v>
      </c>
      <c r="FZ68" t="e">
        <f>#REF!+";Hb!%83"</f>
        <v>#REF!</v>
      </c>
      <c r="GA68" t="e">
        <f>#REF!+";Hb!%84"</f>
        <v>#REF!</v>
      </c>
      <c r="GB68" t="e">
        <f>#REF!+";Hb!%85"</f>
        <v>#REF!</v>
      </c>
      <c r="GC68" t="e">
        <f>#REF!+";Hb!%86"</f>
        <v>#REF!</v>
      </c>
      <c r="GD68" t="e">
        <f>#REF!+";Hb!%87"</f>
        <v>#REF!</v>
      </c>
      <c r="GE68" t="e">
        <f>#REF!+";Hb!%88"</f>
        <v>#REF!</v>
      </c>
      <c r="GF68" t="e">
        <f>#REF!+";Hb!%89"</f>
        <v>#REF!</v>
      </c>
      <c r="GG68" t="e">
        <f>#REF!+";Hb!%8:"</f>
        <v>#REF!</v>
      </c>
      <c r="GH68" t="e">
        <f>#REF!+";Hb!%8;"</f>
        <v>#REF!</v>
      </c>
      <c r="GI68" t="e">
        <f>#REF!+";Hb!%8&lt;"</f>
        <v>#REF!</v>
      </c>
      <c r="GJ68" t="e">
        <f>#REF!+";Hb!%8="</f>
        <v>#REF!</v>
      </c>
      <c r="GK68" t="e">
        <f>#REF!+";Hb!%8&gt;"</f>
        <v>#REF!</v>
      </c>
      <c r="GL68" t="e">
        <f>#REF!+";Hb!%8?"</f>
        <v>#REF!</v>
      </c>
      <c r="GM68" t="e">
        <f>#REF!+";Hb!%8@"</f>
        <v>#REF!</v>
      </c>
      <c r="GN68" t="e">
        <f>#REF!+";Hb!%8A"</f>
        <v>#REF!</v>
      </c>
      <c r="GO68" t="e">
        <f>#REF!+";Hb!%8B"</f>
        <v>#REF!</v>
      </c>
      <c r="GP68" t="e">
        <f>#REF!+";Hb!%8C"</f>
        <v>#REF!</v>
      </c>
      <c r="GQ68" t="e">
        <f>#REF!+";Hb!%8D"</f>
        <v>#REF!</v>
      </c>
      <c r="GR68" t="e">
        <f>#REF!+";Hb!%8E"</f>
        <v>#REF!</v>
      </c>
      <c r="GS68" t="e">
        <f>#REF!+";Hb!%8F"</f>
        <v>#REF!</v>
      </c>
      <c r="GT68" t="e">
        <f>#REF!+";Hb!%8G"</f>
        <v>#REF!</v>
      </c>
      <c r="GU68" t="e">
        <f>#REF!+";Hb!%8H"</f>
        <v>#REF!</v>
      </c>
      <c r="GV68" t="e">
        <f>#REF!+";Hb!%8I"</f>
        <v>#REF!</v>
      </c>
      <c r="GW68" t="e">
        <f>#REF!+";Hb!%8J"</f>
        <v>#REF!</v>
      </c>
      <c r="GX68" t="e">
        <f>#REF!+";Hb!%8K"</f>
        <v>#REF!</v>
      </c>
      <c r="GY68" t="e">
        <f>#REF!+";Hb!%8L"</f>
        <v>#REF!</v>
      </c>
      <c r="GZ68" t="e">
        <f>#REF!+";Hb!%8M"</f>
        <v>#REF!</v>
      </c>
      <c r="HA68" t="e">
        <f>#REF!+";Hb!%8N"</f>
        <v>#REF!</v>
      </c>
      <c r="HB68" t="e">
        <f>#REF!+";Hb!%8O"</f>
        <v>#REF!</v>
      </c>
      <c r="HC68" t="e">
        <f>#REF!+";Hb!%8P"</f>
        <v>#REF!</v>
      </c>
      <c r="HD68" t="e">
        <f>#REF!+";Hb!%8Q"</f>
        <v>#REF!</v>
      </c>
      <c r="HE68" t="e">
        <f>#REF!+";Hb!%8R"</f>
        <v>#REF!</v>
      </c>
      <c r="HF68" t="e">
        <f>#REF!+";Hb!%8S"</f>
        <v>#REF!</v>
      </c>
      <c r="HG68" t="e">
        <f>#REF!+";Hb!%8T"</f>
        <v>#REF!</v>
      </c>
      <c r="HH68" t="e">
        <f>#REF!+";Hb!%8U"</f>
        <v>#REF!</v>
      </c>
      <c r="HI68" t="e">
        <f>#REF!+";Hb!%8V"</f>
        <v>#REF!</v>
      </c>
      <c r="HJ68" t="e">
        <f>#REF!+";Hb!%8W"</f>
        <v>#REF!</v>
      </c>
      <c r="HK68" t="e">
        <f>#REF!+";Hb!%8X"</f>
        <v>#REF!</v>
      </c>
      <c r="HL68" t="e">
        <f>#REF!+";Hb!%8Y"</f>
        <v>#REF!</v>
      </c>
      <c r="HM68" t="e">
        <f>#REF!+";Hb!%8Z"</f>
        <v>#REF!</v>
      </c>
      <c r="HN68" t="e">
        <f>#REF!+";Hb!%8["</f>
        <v>#REF!</v>
      </c>
      <c r="HO68" t="e">
        <f>#REF!+";Hb!%8\"</f>
        <v>#REF!</v>
      </c>
      <c r="HP68" t="e">
        <f>#REF!+";Hb!%8]"</f>
        <v>#REF!</v>
      </c>
      <c r="HQ68" t="e">
        <f>#REF!+";Hb!%8^"</f>
        <v>#REF!</v>
      </c>
      <c r="HR68" t="e">
        <f>#REF!+";Hb!%8_"</f>
        <v>#REF!</v>
      </c>
      <c r="HS68" t="e">
        <f>#REF!+";Hb!%8`"</f>
        <v>#REF!</v>
      </c>
      <c r="HT68" t="e">
        <f>#REF!+";Hb!%8a"</f>
        <v>#REF!</v>
      </c>
      <c r="HU68" t="e">
        <f>#REF!+";Hb!%8b"</f>
        <v>#REF!</v>
      </c>
      <c r="HV68" t="e">
        <f>#REF!+";Hb!%8c"</f>
        <v>#REF!</v>
      </c>
      <c r="HW68" t="e">
        <f>#REF!+";Hb!%8d"</f>
        <v>#REF!</v>
      </c>
      <c r="HX68" t="e">
        <f>#REF!+";Hb!%8e"</f>
        <v>#REF!</v>
      </c>
      <c r="HY68" t="e">
        <f>#REF!+";Hb!%8f"</f>
        <v>#REF!</v>
      </c>
      <c r="HZ68" t="e">
        <f>#REF!+";Hb!%8g"</f>
        <v>#REF!</v>
      </c>
      <c r="IA68" t="e">
        <f>#REF!+";Hb!%8h"</f>
        <v>#REF!</v>
      </c>
      <c r="IB68" t="e">
        <f>#REF!+";Hb!%8i"</f>
        <v>#REF!</v>
      </c>
      <c r="IC68" t="e">
        <f>#REF!+";Hb!%8j"</f>
        <v>#REF!</v>
      </c>
      <c r="ID68" t="e">
        <f>#REF!+";Hb!%8k"</f>
        <v>#REF!</v>
      </c>
      <c r="IE68" t="e">
        <f>#REF!+";Hb!%8l"</f>
        <v>#REF!</v>
      </c>
      <c r="IF68" t="e">
        <f>#REF!+";Hb!%8m"</f>
        <v>#REF!</v>
      </c>
      <c r="IG68" t="e">
        <f>#REF!+";Hb!%8n"</f>
        <v>#REF!</v>
      </c>
      <c r="IH68" t="e">
        <f>#REF!+";Hb!%8o"</f>
        <v>#REF!</v>
      </c>
      <c r="II68" t="e">
        <f>#REF!+";Hb!%8p"</f>
        <v>#REF!</v>
      </c>
      <c r="IJ68" t="e">
        <f>#REF!+";Hb!%8q"</f>
        <v>#REF!</v>
      </c>
      <c r="IK68" t="e">
        <f>#REF!+";Hb!%8r"</f>
        <v>#REF!</v>
      </c>
      <c r="IL68" t="e">
        <f>#REF!+";Hb!%8s"</f>
        <v>#REF!</v>
      </c>
      <c r="IM68" t="e">
        <f>#REF!+";Hb!%8t"</f>
        <v>#REF!</v>
      </c>
      <c r="IN68" t="e">
        <f>#REF!+";Hb!%8u"</f>
        <v>#REF!</v>
      </c>
      <c r="IO68" t="e">
        <f>#REF!+";Hb!%8v"</f>
        <v>#REF!</v>
      </c>
      <c r="IP68" t="e">
        <f>#REF!+";Hb!%8w"</f>
        <v>#REF!</v>
      </c>
      <c r="IQ68" t="e">
        <f>#REF!+";Hb!%8x"</f>
        <v>#REF!</v>
      </c>
      <c r="IR68" t="e">
        <f>#REF!+";Hb!%8y"</f>
        <v>#REF!</v>
      </c>
      <c r="IS68" t="e">
        <f>#REF!+";Hb!%8z"</f>
        <v>#REF!</v>
      </c>
      <c r="IT68" t="e">
        <f>#REF!+";Hb!%8{"</f>
        <v>#REF!</v>
      </c>
      <c r="IU68" t="e">
        <f>#REF!+";Hb!%8|"</f>
        <v>#REF!</v>
      </c>
      <c r="IV68" t="e">
        <f>#REF!+";Hb!%8}"</f>
        <v>#REF!</v>
      </c>
    </row>
    <row r="69" spans="6:256" x14ac:dyDescent="0.25">
      <c r="F69" t="e">
        <f>#REF!+";Hb!%8~"</f>
        <v>#REF!</v>
      </c>
      <c r="G69" t="e">
        <f>#REF!+";Hb!%9#"</f>
        <v>#REF!</v>
      </c>
      <c r="H69" t="e">
        <f>#REF!+";Hb!%9$"</f>
        <v>#REF!</v>
      </c>
      <c r="I69" t="e">
        <f>#REF!+";Hb!%9%"</f>
        <v>#REF!</v>
      </c>
      <c r="J69" t="e">
        <f>#REF!+";Hb!%9&amp;"</f>
        <v>#REF!</v>
      </c>
      <c r="K69" t="e">
        <f>#REF!+";Hb!%9'"</f>
        <v>#REF!</v>
      </c>
      <c r="L69" t="e">
        <f>#REF!+";Hb!%9("</f>
        <v>#REF!</v>
      </c>
      <c r="M69" t="e">
        <f>#REF!+";Hb!%9)"</f>
        <v>#REF!</v>
      </c>
      <c r="N69" t="e">
        <f>#REF!+";Hb!%9."</f>
        <v>#REF!</v>
      </c>
      <c r="O69" t="e">
        <f>#REF!+";Hb!%9/"</f>
        <v>#REF!</v>
      </c>
      <c r="P69" t="e">
        <f>#REF!+";Hb!%90"</f>
        <v>#REF!</v>
      </c>
      <c r="Q69" t="e">
        <f>#REF!+";Hb!%91"</f>
        <v>#REF!</v>
      </c>
      <c r="R69" t="e">
        <f>#REF!+";Hb!%92"</f>
        <v>#REF!</v>
      </c>
      <c r="S69" t="e">
        <f>#REF!+";Hb!%93"</f>
        <v>#REF!</v>
      </c>
      <c r="T69" t="e">
        <f>#REF!+";Hb!%94"</f>
        <v>#REF!</v>
      </c>
      <c r="U69" t="e">
        <f>#REF!+";Hb!%95"</f>
        <v>#REF!</v>
      </c>
      <c r="V69" t="e">
        <f>#REF!+";Hb!%96"</f>
        <v>#REF!</v>
      </c>
      <c r="W69" t="e">
        <f>#REF!+";Hb!%97"</f>
        <v>#REF!</v>
      </c>
      <c r="X69" t="e">
        <f>#REF!+";Hb!%98"</f>
        <v>#REF!</v>
      </c>
      <c r="Y69" t="e">
        <f>#REF!+";Hb!%99"</f>
        <v>#REF!</v>
      </c>
      <c r="Z69" t="e">
        <f>#REF!+";Hb!%9:"</f>
        <v>#REF!</v>
      </c>
      <c r="AA69" t="e">
        <f>#REF!+";Hb!%9;"</f>
        <v>#REF!</v>
      </c>
      <c r="AB69" t="e">
        <f>#REF!+";Hb!%9&lt;"</f>
        <v>#REF!</v>
      </c>
      <c r="AC69" t="e">
        <f>#REF!+";Hb!%9="</f>
        <v>#REF!</v>
      </c>
      <c r="AD69" t="e">
        <f>#REF!+";Hb!%9&gt;"</f>
        <v>#REF!</v>
      </c>
      <c r="AE69" t="e">
        <f>#REF!+";Hb!%9?"</f>
        <v>#REF!</v>
      </c>
      <c r="AF69" t="e">
        <f>#REF!+";Hb!%9@"</f>
        <v>#REF!</v>
      </c>
      <c r="AG69" t="e">
        <f>#REF!+";Hb!%9A"</f>
        <v>#REF!</v>
      </c>
      <c r="AH69" t="e">
        <f>#REF!+";Hb!%9B"</f>
        <v>#REF!</v>
      </c>
      <c r="AI69" t="e">
        <f>#REF!+";Hb!%9C"</f>
        <v>#REF!</v>
      </c>
      <c r="AJ69" t="e">
        <f>#REF!+";Hb!%9D"</f>
        <v>#REF!</v>
      </c>
      <c r="AK69" t="e">
        <f>#REF!+";Hb!%9E"</f>
        <v>#REF!</v>
      </c>
      <c r="AL69" t="e">
        <f>#REF!+";Hb!%9F"</f>
        <v>#REF!</v>
      </c>
      <c r="AM69" t="e">
        <f>#REF!+";Hb!%9G"</f>
        <v>#REF!</v>
      </c>
      <c r="AN69" t="e">
        <f>#REF!+";Hb!%9H"</f>
        <v>#REF!</v>
      </c>
      <c r="AO69" t="e">
        <f>#REF!+";Hb!%9I"</f>
        <v>#REF!</v>
      </c>
      <c r="AP69" t="e">
        <f>#REF!+";Hb!%9J"</f>
        <v>#REF!</v>
      </c>
      <c r="AQ69" t="e">
        <f>#REF!+";Hb!%9K"</f>
        <v>#REF!</v>
      </c>
      <c r="AR69" t="e">
        <f>#REF!+";Hb!%9L"</f>
        <v>#REF!</v>
      </c>
      <c r="AS69" t="e">
        <f>#REF!+";Hb!%9M"</f>
        <v>#REF!</v>
      </c>
      <c r="AT69" t="e">
        <f>#REF!+";Hb!%9N"</f>
        <v>#REF!</v>
      </c>
      <c r="AU69" t="e">
        <f>#REF!+";Hb!%9O"</f>
        <v>#REF!</v>
      </c>
      <c r="AV69" t="e">
        <f>#REF!+";Hb!%9P"</f>
        <v>#REF!</v>
      </c>
      <c r="AW69" t="e">
        <f>#REF!+";Hb!%9Q"</f>
        <v>#REF!</v>
      </c>
      <c r="AX69" t="e">
        <f>#REF!+";Hb!%9R"</f>
        <v>#REF!</v>
      </c>
      <c r="AY69" t="e">
        <f>#REF!+";Hb!%9S"</f>
        <v>#REF!</v>
      </c>
      <c r="AZ69" t="e">
        <f>#REF!+";Hb!%9T"</f>
        <v>#REF!</v>
      </c>
      <c r="BA69" t="e">
        <f>#REF!+";Hb!%9U"</f>
        <v>#REF!</v>
      </c>
      <c r="BB69" t="e">
        <f>#REF!+";Hb!%9V"</f>
        <v>#REF!</v>
      </c>
      <c r="BC69" t="e">
        <f>#REF!+";Hb!%9W"</f>
        <v>#REF!</v>
      </c>
      <c r="BD69" t="e">
        <f>#REF!+";Hb!%9X"</f>
        <v>#REF!</v>
      </c>
      <c r="BE69" t="e">
        <f>#REF!+";Hb!%9Y"</f>
        <v>#REF!</v>
      </c>
      <c r="BF69" t="e">
        <f>#REF!+";Hb!%9Z"</f>
        <v>#REF!</v>
      </c>
      <c r="BG69" t="e">
        <f>#REF!+";Hb!%9["</f>
        <v>#REF!</v>
      </c>
      <c r="BH69" t="e">
        <f>#REF!+";Hb!%9\"</f>
        <v>#REF!</v>
      </c>
      <c r="BI69" t="e">
        <f>#REF!+";Hb!%9]"</f>
        <v>#REF!</v>
      </c>
      <c r="BJ69" t="e">
        <f>#REF!+";Hb!%9^"</f>
        <v>#REF!</v>
      </c>
      <c r="BK69" t="e">
        <f>#REF!+";Hb!%9_"</f>
        <v>#REF!</v>
      </c>
      <c r="BL69" t="e">
        <f>#REF!+";Hb!%9`"</f>
        <v>#REF!</v>
      </c>
      <c r="BM69" t="e">
        <f>#REF!+";Hb!%9a"</f>
        <v>#REF!</v>
      </c>
      <c r="BN69" t="e">
        <f>#REF!+";Hb!%9b"</f>
        <v>#REF!</v>
      </c>
      <c r="BO69" t="e">
        <f>#REF!+";Hb!%9c"</f>
        <v>#REF!</v>
      </c>
      <c r="BP69" t="e">
        <f>#REF!+";Hb!%9d"</f>
        <v>#REF!</v>
      </c>
      <c r="BQ69" t="e">
        <f>#REF!+";Hb!%9e"</f>
        <v>#REF!</v>
      </c>
      <c r="BR69" t="e">
        <f>#REF!+";Hb!%9f"</f>
        <v>#REF!</v>
      </c>
      <c r="BS69" t="e">
        <f>#REF!+";Hb!%9g"</f>
        <v>#REF!</v>
      </c>
      <c r="BT69" t="e">
        <f>#REF!+";Hb!%9h"</f>
        <v>#REF!</v>
      </c>
      <c r="BU69" t="e">
        <f>#REF!+";Hb!%9i"</f>
        <v>#REF!</v>
      </c>
      <c r="BV69" t="e">
        <f>#REF!+";Hb!%9j"</f>
        <v>#REF!</v>
      </c>
      <c r="BW69" t="e">
        <f>#REF!+";Hb!%9k"</f>
        <v>#REF!</v>
      </c>
      <c r="BX69" t="e">
        <f>#REF!+";Hb!%9l"</f>
        <v>#REF!</v>
      </c>
      <c r="BY69" t="e">
        <f>#REF!+";Hb!%9m"</f>
        <v>#REF!</v>
      </c>
      <c r="BZ69" t="e">
        <f>#REF!+";Hb!%9n"</f>
        <v>#REF!</v>
      </c>
      <c r="CA69" t="e">
        <f>#REF!+";Hb!%9o"</f>
        <v>#REF!</v>
      </c>
      <c r="CB69" t="e">
        <f>#REF!+";Hb!%9p"</f>
        <v>#REF!</v>
      </c>
      <c r="CC69" t="e">
        <f>#REF!+";Hb!%9q"</f>
        <v>#REF!</v>
      </c>
      <c r="CD69" t="e">
        <f>#REF!+";Hb!%9r"</f>
        <v>#REF!</v>
      </c>
      <c r="CE69" t="e">
        <f>#REF!+";Hb!%9s"</f>
        <v>#REF!</v>
      </c>
      <c r="CF69" t="e">
        <f>#REF!+";Hb!%9t"</f>
        <v>#REF!</v>
      </c>
      <c r="CG69" t="e">
        <f>#REF!+";Hb!%9u"</f>
        <v>#REF!</v>
      </c>
      <c r="CH69" t="e">
        <f>#REF!+";Hb!%9v"</f>
        <v>#REF!</v>
      </c>
      <c r="CI69" t="e">
        <f>#REF!+";Hb!%9w"</f>
        <v>#REF!</v>
      </c>
      <c r="CJ69" t="e">
        <f>#REF!+";Hb!%9x"</f>
        <v>#REF!</v>
      </c>
      <c r="CK69" t="e">
        <f>#REF!+";Hb!%9y"</f>
        <v>#REF!</v>
      </c>
      <c r="CL69" t="e">
        <f>#REF!+";Hb!%9z"</f>
        <v>#REF!</v>
      </c>
      <c r="CM69" t="e">
        <f>#REF!+";Hb!%9{"</f>
        <v>#REF!</v>
      </c>
      <c r="CN69" t="e">
        <f>#REF!+";Hb!%9|"</f>
        <v>#REF!</v>
      </c>
      <c r="CO69" t="e">
        <f>#REF!+";Hb!%9}"</f>
        <v>#REF!</v>
      </c>
      <c r="CP69" t="e">
        <f>#REF!+";Hb!%9~"</f>
        <v>#REF!</v>
      </c>
      <c r="CQ69" t="e">
        <f>#REF!+";Hb!%:#"</f>
        <v>#REF!</v>
      </c>
      <c r="CR69" t="e">
        <f>#REF!+";Hb!%:$"</f>
        <v>#REF!</v>
      </c>
      <c r="CS69" t="e">
        <f>#REF!+";Hb!%:%"</f>
        <v>#REF!</v>
      </c>
      <c r="CT69" t="e">
        <f>#REF!+";Hb!%:&amp;"</f>
        <v>#REF!</v>
      </c>
      <c r="CU69" t="e">
        <f>#REF!+";Hb!%:'"</f>
        <v>#REF!</v>
      </c>
      <c r="CV69" t="e">
        <f>#REF!+";Hb!%:("</f>
        <v>#REF!</v>
      </c>
      <c r="CW69" t="e">
        <f>#REF!+";Hb!%:)"</f>
        <v>#REF!</v>
      </c>
      <c r="CX69" t="e">
        <f>#REF!+";Hb!%:."</f>
        <v>#REF!</v>
      </c>
      <c r="CY69" t="e">
        <f>#REF!+";Hb!%:/"</f>
        <v>#REF!</v>
      </c>
      <c r="CZ69" t="e">
        <f>#REF!+";Hb!%:0"</f>
        <v>#REF!</v>
      </c>
      <c r="DA69" t="e">
        <f>#REF!+";Hb!%:1"</f>
        <v>#REF!</v>
      </c>
      <c r="DB69" t="e">
        <f>#REF!+";Hb!%:2"</f>
        <v>#REF!</v>
      </c>
      <c r="DC69" t="e">
        <f>#REF!+";Hb!%:3"</f>
        <v>#REF!</v>
      </c>
      <c r="DD69" t="e">
        <f>#REF!+";Hb!%:4"</f>
        <v>#REF!</v>
      </c>
      <c r="DE69" t="e">
        <f>#REF!+";Hb!%:5"</f>
        <v>#REF!</v>
      </c>
      <c r="DF69" t="e">
        <f>#REF!+";Hb!%:6"</f>
        <v>#REF!</v>
      </c>
      <c r="DG69" t="e">
        <f>#REF!+";Hb!%:7"</f>
        <v>#REF!</v>
      </c>
      <c r="DH69" t="e">
        <f>#REF!+";Hb!%:8"</f>
        <v>#REF!</v>
      </c>
      <c r="DI69" t="e">
        <f>#REF!+";Hb!%:9"</f>
        <v>#REF!</v>
      </c>
      <c r="DJ69" t="e">
        <f>#REF!+";Hb!%::"</f>
        <v>#REF!</v>
      </c>
      <c r="DK69" t="e">
        <f>#REF!+";Hb!%:;"</f>
        <v>#REF!</v>
      </c>
      <c r="DL69" t="e">
        <f>#REF!+";Hb!%:&lt;"</f>
        <v>#REF!</v>
      </c>
      <c r="DM69" t="e">
        <f>#REF!+";Hb!%:="</f>
        <v>#REF!</v>
      </c>
      <c r="DN69" t="e">
        <f>#REF!+";Hb!%:&gt;"</f>
        <v>#REF!</v>
      </c>
      <c r="DO69" t="e">
        <f>#REF!+";Hb!%:?"</f>
        <v>#REF!</v>
      </c>
      <c r="DP69" t="e">
        <f>#REF!+";Hb!%:@"</f>
        <v>#REF!</v>
      </c>
      <c r="DQ69" t="e">
        <f>#REF!+";Hb!%:A"</f>
        <v>#REF!</v>
      </c>
      <c r="DR69" t="e">
        <f>#REF!+";Hb!%:B"</f>
        <v>#REF!</v>
      </c>
      <c r="DS69" t="e">
        <f>#REF!+";Hb!%:C"</f>
        <v>#REF!</v>
      </c>
      <c r="DT69" t="e">
        <f>#REF!+";Hb!%:D"</f>
        <v>#REF!</v>
      </c>
      <c r="DU69" t="e">
        <f>#REF!+";Hb!%:E"</f>
        <v>#REF!</v>
      </c>
      <c r="DV69" t="e">
        <f>#REF!+";Hb!%:F"</f>
        <v>#REF!</v>
      </c>
      <c r="DW69" t="e">
        <f>#REF!+";Hb!%:G"</f>
        <v>#REF!</v>
      </c>
      <c r="DX69" t="e">
        <f>#REF!+";Hb!%:H"</f>
        <v>#REF!</v>
      </c>
      <c r="DY69" t="e">
        <f>#REF!+";Hb!%:I"</f>
        <v>#REF!</v>
      </c>
      <c r="DZ69" t="e">
        <f>#REF!+";Hb!%:J"</f>
        <v>#REF!</v>
      </c>
      <c r="EA69" t="e">
        <f>#REF!+";Hb!%:K"</f>
        <v>#REF!</v>
      </c>
      <c r="EB69" t="e">
        <f>#REF!+";Hb!%:L"</f>
        <v>#REF!</v>
      </c>
      <c r="EC69" t="e">
        <f>#REF!+";Hb!%:M"</f>
        <v>#REF!</v>
      </c>
      <c r="ED69" t="e">
        <f>#REF!+";Hb!%:N"</f>
        <v>#REF!</v>
      </c>
      <c r="EE69" t="e">
        <f>#REF!+";Hb!%:O"</f>
        <v>#REF!</v>
      </c>
      <c r="EF69" t="e">
        <f>#REF!+";Hb!%:P"</f>
        <v>#REF!</v>
      </c>
      <c r="EG69" t="e">
        <f>#REF!+";Hb!%:Q"</f>
        <v>#REF!</v>
      </c>
      <c r="EH69" t="e">
        <f>#REF!+";Hb!%:R"</f>
        <v>#REF!</v>
      </c>
      <c r="EI69" t="e">
        <f>#REF!+";Hb!%:S"</f>
        <v>#REF!</v>
      </c>
      <c r="EJ69" t="e">
        <f>#REF!+";Hb!%:T"</f>
        <v>#REF!</v>
      </c>
      <c r="EK69" t="e">
        <f>#REF!+";Hb!%:U"</f>
        <v>#REF!</v>
      </c>
      <c r="EL69" t="e">
        <f>#REF!+";Hb!%:V"</f>
        <v>#REF!</v>
      </c>
      <c r="EM69" t="e">
        <f>#REF!+";Hb!%:W"</f>
        <v>#REF!</v>
      </c>
      <c r="EN69" t="e">
        <f>#REF!+";Hb!%:X"</f>
        <v>#REF!</v>
      </c>
      <c r="EO69" t="e">
        <f>#REF!+";Hb!%:Y"</f>
        <v>#REF!</v>
      </c>
      <c r="EP69" t="e">
        <f>#REF!+";Hb!%:Z"</f>
        <v>#REF!</v>
      </c>
      <c r="EQ69" t="e">
        <f>#REF!+";Hb!%:["</f>
        <v>#REF!</v>
      </c>
      <c r="ER69" t="e">
        <f>#REF!+";Hb!%:\"</f>
        <v>#REF!</v>
      </c>
      <c r="ES69" t="e">
        <f>#REF!+";Hb!%:]"</f>
        <v>#REF!</v>
      </c>
      <c r="ET69" t="e">
        <f>#REF!+";Hb!%:^"</f>
        <v>#REF!</v>
      </c>
      <c r="EU69" t="e">
        <f>#REF!+";Hb!%:_"</f>
        <v>#REF!</v>
      </c>
      <c r="EV69" t="e">
        <f>#REF!+";Hb!%:`"</f>
        <v>#REF!</v>
      </c>
      <c r="EW69" t="e">
        <f>#REF!+";Hb!%:a"</f>
        <v>#REF!</v>
      </c>
      <c r="EX69" t="e">
        <f>#REF!+";Hb!%:b"</f>
        <v>#REF!</v>
      </c>
      <c r="EY69" t="e">
        <f>#REF!+";Hb!%:c"</f>
        <v>#REF!</v>
      </c>
      <c r="EZ69" t="e">
        <f>#REF!+";Hb!%:d"</f>
        <v>#REF!</v>
      </c>
      <c r="FA69" t="e">
        <f>#REF!+";Hb!%:e"</f>
        <v>#REF!</v>
      </c>
      <c r="FB69" t="e">
        <f>#REF!+";Hb!%:f"</f>
        <v>#REF!</v>
      </c>
      <c r="FC69" t="e">
        <f>#REF!+";Hb!%:g"</f>
        <v>#REF!</v>
      </c>
      <c r="FD69" t="e">
        <f>#REF!+";Hb!%:h"</f>
        <v>#REF!</v>
      </c>
      <c r="FE69" t="e">
        <f>#REF!+";Hb!%:i"</f>
        <v>#REF!</v>
      </c>
      <c r="FF69" t="e">
        <f>#REF!+";Hb!%:j"</f>
        <v>#REF!</v>
      </c>
      <c r="FG69" t="e">
        <f>#REF!+";Hb!%:k"</f>
        <v>#REF!</v>
      </c>
      <c r="FH69" t="e">
        <f>#REF!+";Hb!%:l"</f>
        <v>#REF!</v>
      </c>
      <c r="FI69" t="e">
        <f>#REF!+";Hb!%:m"</f>
        <v>#REF!</v>
      </c>
      <c r="FJ69" t="e">
        <f>#REF!+";Hb!%:n"</f>
        <v>#REF!</v>
      </c>
      <c r="FK69" t="e">
        <f>#REF!+";Hb!%:o"</f>
        <v>#REF!</v>
      </c>
      <c r="FL69" t="e">
        <f>#REF!+";Hb!%:p"</f>
        <v>#REF!</v>
      </c>
      <c r="FM69" t="e">
        <f>#REF!+";Hb!%:q"</f>
        <v>#REF!</v>
      </c>
      <c r="FN69" t="e">
        <f>#REF!+";Hb!%:r"</f>
        <v>#REF!</v>
      </c>
      <c r="FO69" t="e">
        <f>#REF!+";Hb!%:s"</f>
        <v>#REF!</v>
      </c>
      <c r="FP69" t="e">
        <f>#REF!+";Hb!%:t"</f>
        <v>#REF!</v>
      </c>
      <c r="FQ69" t="e">
        <f>#REF!+";Hb!%:u"</f>
        <v>#REF!</v>
      </c>
      <c r="FR69" t="e">
        <f>#REF!+";Hb!%:v"</f>
        <v>#REF!</v>
      </c>
      <c r="FS69" t="e">
        <f>#REF!+";Hb!%:w"</f>
        <v>#REF!</v>
      </c>
      <c r="FT69" t="e">
        <f>#REF!+";Hb!%:x"</f>
        <v>#REF!</v>
      </c>
      <c r="FU69" t="e">
        <f>#REF!+";Hb!%:y"</f>
        <v>#REF!</v>
      </c>
      <c r="FV69" t="e">
        <f>#REF!+";Hb!%:z"</f>
        <v>#REF!</v>
      </c>
      <c r="FW69" t="e">
        <f>#REF!+";Hb!%:{"</f>
        <v>#REF!</v>
      </c>
      <c r="FX69" t="e">
        <f>#REF!+";Hb!%:|"</f>
        <v>#REF!</v>
      </c>
      <c r="FY69" t="e">
        <f>#REF!+";Hb!%:}"</f>
        <v>#REF!</v>
      </c>
      <c r="FZ69" t="e">
        <f>#REF!+";Hb!%:~"</f>
        <v>#REF!</v>
      </c>
      <c r="GA69" t="e">
        <f>#REF!+";Hb!%;#"</f>
        <v>#REF!</v>
      </c>
      <c r="GB69" t="e">
        <f>#REF!+";Hb!%;$"</f>
        <v>#REF!</v>
      </c>
      <c r="GC69" t="e">
        <f>#REF!+";Hb!%;%"</f>
        <v>#REF!</v>
      </c>
      <c r="GD69" t="e">
        <f>#REF!+";Hb!%;&amp;"</f>
        <v>#REF!</v>
      </c>
      <c r="GE69" t="e">
        <f>#REF!+";Hb!%;'"</f>
        <v>#REF!</v>
      </c>
      <c r="GF69" t="e">
        <f>#REF!+";Hb!%;("</f>
        <v>#REF!</v>
      </c>
      <c r="GG69" t="e">
        <f>#REF!+";Hb!%;)"</f>
        <v>#REF!</v>
      </c>
      <c r="GH69" t="e">
        <f>#REF!+";Hb!%;."</f>
        <v>#REF!</v>
      </c>
      <c r="GI69" t="e">
        <f>#REF!+";Hb!%;/"</f>
        <v>#REF!</v>
      </c>
      <c r="GJ69" t="e">
        <f>#REF!+";Hb!%;0"</f>
        <v>#REF!</v>
      </c>
      <c r="GK69" t="e">
        <f>#REF!+";Hb!%;1"</f>
        <v>#REF!</v>
      </c>
      <c r="GL69" t="e">
        <f>#REF!+";Hb!%;2"</f>
        <v>#REF!</v>
      </c>
      <c r="GM69" t="e">
        <f>#REF!+";Hb!%;3"</f>
        <v>#REF!</v>
      </c>
      <c r="GN69" t="e">
        <f>#REF!+";Hb!%;4"</f>
        <v>#REF!</v>
      </c>
      <c r="GO69" t="e">
        <f>#REF!+";Hb!%;5"</f>
        <v>#REF!</v>
      </c>
      <c r="GP69" t="e">
        <f>#REF!+";Hb!%;6"</f>
        <v>#REF!</v>
      </c>
      <c r="GQ69" t="e">
        <f>#REF!+";Hb!%;7"</f>
        <v>#REF!</v>
      </c>
      <c r="GR69" t="e">
        <f>#REF!+";Hb!%;8"</f>
        <v>#REF!</v>
      </c>
      <c r="GS69" t="e">
        <f>#REF!+";Hb!%;9"</f>
        <v>#REF!</v>
      </c>
      <c r="GT69" t="e">
        <f>#REF!+";Hb!%;:"</f>
        <v>#REF!</v>
      </c>
      <c r="GU69" t="e">
        <f>#REF!+";Hb!%;;"</f>
        <v>#REF!</v>
      </c>
      <c r="GV69" t="e">
        <f>#REF!+";Hb!%;&lt;"</f>
        <v>#REF!</v>
      </c>
      <c r="GW69" t="e">
        <f>#REF!+";Hb!%;="</f>
        <v>#REF!</v>
      </c>
      <c r="GX69" t="e">
        <f>#REF!+";Hb!%;&gt;"</f>
        <v>#REF!</v>
      </c>
      <c r="GY69" t="e">
        <f>#REF!+";Hb!%;?"</f>
        <v>#REF!</v>
      </c>
      <c r="GZ69" t="e">
        <f>#REF!+";Hb!%;@"</f>
        <v>#REF!</v>
      </c>
      <c r="HA69" t="e">
        <f>#REF!+";Hb!%;A"</f>
        <v>#REF!</v>
      </c>
      <c r="HB69" t="e">
        <f>#REF!+";Hb!%;B"</f>
        <v>#REF!</v>
      </c>
      <c r="HC69" t="e">
        <f>#REF!+";Hb!%;C"</f>
        <v>#REF!</v>
      </c>
      <c r="HD69" t="e">
        <f>#REF!+";Hb!%;D"</f>
        <v>#REF!</v>
      </c>
      <c r="HE69" t="e">
        <f>#REF!+";Hb!%;E"</f>
        <v>#REF!</v>
      </c>
      <c r="HF69" t="e">
        <f>#REF!+";Hb!%;F"</f>
        <v>#REF!</v>
      </c>
      <c r="HG69" t="e">
        <f>#REF!+";Hb!%;G"</f>
        <v>#REF!</v>
      </c>
      <c r="HH69" t="e">
        <f>#REF!+";Hb!%;H"</f>
        <v>#REF!</v>
      </c>
      <c r="HI69" t="e">
        <f>#REF!+";Hb!%;I"</f>
        <v>#REF!</v>
      </c>
      <c r="HJ69" t="e">
        <f>#REF!+";Hb!%;J"</f>
        <v>#REF!</v>
      </c>
      <c r="HK69" t="e">
        <f>#REF!+";Hb!%;K"</f>
        <v>#REF!</v>
      </c>
      <c r="HL69" t="e">
        <f>#REF!+";Hb!%;L"</f>
        <v>#REF!</v>
      </c>
      <c r="HM69" t="e">
        <f>#REF!+";Hb!%;M"</f>
        <v>#REF!</v>
      </c>
      <c r="HN69" t="e">
        <f>#REF!+";Hb!%;N"</f>
        <v>#REF!</v>
      </c>
      <c r="HO69" t="e">
        <f>#REF!+";Hb!%;O"</f>
        <v>#REF!</v>
      </c>
      <c r="HP69" t="e">
        <f>#REF!+";Hb!%;P"</f>
        <v>#REF!</v>
      </c>
      <c r="HQ69" t="e">
        <f>#REF!+";Hb!%;Q"</f>
        <v>#REF!</v>
      </c>
      <c r="HR69" t="e">
        <f>#REF!+";Hb!%;R"</f>
        <v>#REF!</v>
      </c>
      <c r="HS69" t="e">
        <f>#REF!+";Hb!%;S"</f>
        <v>#REF!</v>
      </c>
      <c r="HT69" t="e">
        <f>#REF!+";Hb!%;T"</f>
        <v>#REF!</v>
      </c>
      <c r="HU69" t="e">
        <f>#REF!+";Hb!%;U"</f>
        <v>#REF!</v>
      </c>
      <c r="HV69" t="e">
        <f>#REF!+";Hb!%;V"</f>
        <v>#REF!</v>
      </c>
      <c r="HW69" t="e">
        <f>#REF!+";Hb!%;W"</f>
        <v>#REF!</v>
      </c>
      <c r="HX69" t="e">
        <f>#REF!+";Hb!%;X"</f>
        <v>#REF!</v>
      </c>
      <c r="HY69" t="e">
        <f>#REF!+";Hb!%;Y"</f>
        <v>#REF!</v>
      </c>
      <c r="HZ69" t="e">
        <f>#REF!+";Hb!%;Z"</f>
        <v>#REF!</v>
      </c>
      <c r="IA69" t="e">
        <f>#REF!+";Hb!%;["</f>
        <v>#REF!</v>
      </c>
      <c r="IB69" t="e">
        <f>#REF!+";Hb!%;\"</f>
        <v>#REF!</v>
      </c>
      <c r="IC69" t="e">
        <f>#REF!+";Hb!%;]"</f>
        <v>#REF!</v>
      </c>
      <c r="ID69" t="e">
        <f>#REF!+";Hb!%;^"</f>
        <v>#REF!</v>
      </c>
      <c r="IE69" t="e">
        <f>#REF!+";Hb!%;_"</f>
        <v>#REF!</v>
      </c>
      <c r="IF69" t="e">
        <f>#REF!+";Hb!%;`"</f>
        <v>#REF!</v>
      </c>
      <c r="IG69" t="e">
        <f>#REF!+";Hb!%;a"</f>
        <v>#REF!</v>
      </c>
      <c r="IH69" t="e">
        <f>#REF!+";Hb!%;b"</f>
        <v>#REF!</v>
      </c>
      <c r="II69" t="e">
        <f>#REF!+";Hb!%;c"</f>
        <v>#REF!</v>
      </c>
      <c r="IJ69" t="e">
        <f>#REF!+";Hb!%;d"</f>
        <v>#REF!</v>
      </c>
      <c r="IK69" t="e">
        <f>#REF!+";Hb!%;e"</f>
        <v>#REF!</v>
      </c>
      <c r="IL69" t="e">
        <f>#REF!+";Hb!%;f"</f>
        <v>#REF!</v>
      </c>
      <c r="IM69" t="e">
        <f>#REF!+";Hb!%;g"</f>
        <v>#REF!</v>
      </c>
      <c r="IN69" t="e">
        <f>#REF!+";Hb!%;h"</f>
        <v>#REF!</v>
      </c>
      <c r="IO69" t="e">
        <f>#REF!+";Hb!%;i"</f>
        <v>#REF!</v>
      </c>
      <c r="IP69" t="e">
        <f>#REF!+";Hb!%;j"</f>
        <v>#REF!</v>
      </c>
      <c r="IQ69" t="e">
        <f>#REF!+";Hb!%;k"</f>
        <v>#REF!</v>
      </c>
      <c r="IR69" t="e">
        <f>#REF!+";Hb!%;l"</f>
        <v>#REF!</v>
      </c>
      <c r="IS69" t="e">
        <f>#REF!+";Hb!%;m"</f>
        <v>#REF!</v>
      </c>
      <c r="IT69" t="e">
        <f>#REF!+";Hb!%;n"</f>
        <v>#REF!</v>
      </c>
      <c r="IU69" t="e">
        <f>#REF!+";Hb!%;o"</f>
        <v>#REF!</v>
      </c>
      <c r="IV69" t="e">
        <f>#REF!+";Hb!%;p"</f>
        <v>#REF!</v>
      </c>
    </row>
    <row r="70" spans="6:256" x14ac:dyDescent="0.25">
      <c r="F70" t="e">
        <f>#REF!+";Hb!%;q"</f>
        <v>#REF!</v>
      </c>
      <c r="G70" t="e">
        <f>#REF!+";Hb!%;r"</f>
        <v>#REF!</v>
      </c>
      <c r="H70" t="e">
        <f>#REF!+";Hb!%;s"</f>
        <v>#REF!</v>
      </c>
      <c r="I70" t="e">
        <f>#REF!+";Hb!%;t"</f>
        <v>#REF!</v>
      </c>
      <c r="J70" t="e">
        <f>#REF!+";Hb!%;u"</f>
        <v>#REF!</v>
      </c>
      <c r="K70" t="e">
        <f>#REF!+";Hb!%;v"</f>
        <v>#REF!</v>
      </c>
      <c r="L70" t="e">
        <f>#REF!+";Hb!%;w"</f>
        <v>#REF!</v>
      </c>
      <c r="M70" t="e">
        <f>#REF!+";Hb!%;x"</f>
        <v>#REF!</v>
      </c>
      <c r="N70" t="e">
        <f>#REF!+";Hb!%;y"</f>
        <v>#REF!</v>
      </c>
      <c r="O70" t="e">
        <f>#REF!+";Hb!%;z"</f>
        <v>#REF!</v>
      </c>
      <c r="P70" t="e">
        <f>#REF!+";Hb!%;{"</f>
        <v>#REF!</v>
      </c>
      <c r="Q70" t="e">
        <f>#REF!+";Hb!%;|"</f>
        <v>#REF!</v>
      </c>
      <c r="R70" t="e">
        <f>#REF!+";Hb!%;}"</f>
        <v>#REF!</v>
      </c>
      <c r="S70" t="e">
        <f>#REF!+";Hb!%;~"</f>
        <v>#REF!</v>
      </c>
      <c r="T70" t="e">
        <f>#REF!+";Hb!%&lt;#"</f>
        <v>#REF!</v>
      </c>
      <c r="U70" t="e">
        <f>#REF!+";Hb!%&lt;$"</f>
        <v>#REF!</v>
      </c>
      <c r="V70" t="e">
        <f>#REF!+";Hb!%&lt;%"</f>
        <v>#REF!</v>
      </c>
      <c r="W70" t="e">
        <f>#REF!+";Hb!%&lt;&amp;"</f>
        <v>#REF!</v>
      </c>
      <c r="X70" t="e">
        <f>#REF!+";Hb!%&lt;'"</f>
        <v>#REF!</v>
      </c>
      <c r="Y70" t="e">
        <f>#REF!+";Hb!%&lt;("</f>
        <v>#REF!</v>
      </c>
      <c r="Z70" t="e">
        <f>#REF!+";Hb!%&lt;)"</f>
        <v>#REF!</v>
      </c>
      <c r="AA70" t="e">
        <f>#REF!+";Hb!%&lt;."</f>
        <v>#REF!</v>
      </c>
      <c r="AB70" t="e">
        <f>#REF!+";Hb!%&lt;/"</f>
        <v>#REF!</v>
      </c>
      <c r="AC70" t="e">
        <f>#REF!+";Hb!%&lt;0"</f>
        <v>#REF!</v>
      </c>
      <c r="AD70" t="e">
        <f>#REF!+";Hb!%&lt;1"</f>
        <v>#REF!</v>
      </c>
      <c r="AE70" t="e">
        <f>#REF!+";Hb!%&lt;2"</f>
        <v>#REF!</v>
      </c>
      <c r="AF70" t="e">
        <f>#REF!+";Hb!%&lt;3"</f>
        <v>#REF!</v>
      </c>
      <c r="AG70" t="e">
        <f>#REF!+";Hb!%&lt;4"</f>
        <v>#REF!</v>
      </c>
      <c r="AH70" t="e">
        <f>#REF!+";Hb!%&lt;5"</f>
        <v>#REF!</v>
      </c>
      <c r="AI70" t="e">
        <f>#REF!+";Hb!%&lt;6"</f>
        <v>#REF!</v>
      </c>
      <c r="AJ70" t="e">
        <f>#REF!+";Hb!%&lt;7"</f>
        <v>#REF!</v>
      </c>
      <c r="AK70" t="e">
        <f>#REF!+";Hb!%&lt;8"</f>
        <v>#REF!</v>
      </c>
      <c r="AL70" t="e">
        <f>#REF!+";Hb!%&lt;9"</f>
        <v>#REF!</v>
      </c>
      <c r="AM70" t="e">
        <f>#REF!+";Hb!%&lt;:"</f>
        <v>#REF!</v>
      </c>
      <c r="AN70" t="e">
        <f>#REF!+";Hb!%&lt;;"</f>
        <v>#REF!</v>
      </c>
      <c r="AO70" t="e">
        <f>#REF!+";Hb!%&lt;&lt;"</f>
        <v>#REF!</v>
      </c>
      <c r="AP70" t="e">
        <f>#REF!+";Hb!%&lt;="</f>
        <v>#REF!</v>
      </c>
      <c r="AQ70" t="e">
        <f>#REF!+";Hb!%&lt;&gt;"</f>
        <v>#REF!</v>
      </c>
      <c r="AR70" t="e">
        <f>#REF!+";Hb!%&lt;?"</f>
        <v>#REF!</v>
      </c>
      <c r="AS70" t="e">
        <f>#REF!+";Hb!%&lt;@"</f>
        <v>#REF!</v>
      </c>
      <c r="AT70" t="e">
        <f>#REF!+";Hb!%&lt;A"</f>
        <v>#REF!</v>
      </c>
      <c r="AU70" t="e">
        <f>#REF!+";Hb!%&lt;B"</f>
        <v>#REF!</v>
      </c>
      <c r="AV70" t="e">
        <f>#REF!+";Hb!%&lt;C"</f>
        <v>#REF!</v>
      </c>
      <c r="AW70" t="e">
        <f>#REF!+";Hb!%&lt;D"</f>
        <v>#REF!</v>
      </c>
      <c r="AX70" t="e">
        <f>#REF!+";Hb!%&lt;E"</f>
        <v>#REF!</v>
      </c>
      <c r="AY70" t="e">
        <f>#REF!+";Hb!%&lt;F"</f>
        <v>#REF!</v>
      </c>
      <c r="AZ70" t="e">
        <f>#REF!+";Hb!%&lt;G"</f>
        <v>#REF!</v>
      </c>
      <c r="BA70" t="e">
        <f>#REF!+";Hb!%&lt;H"</f>
        <v>#REF!</v>
      </c>
      <c r="BB70" t="e">
        <f>#REF!+";Hb!%&lt;I"</f>
        <v>#REF!</v>
      </c>
      <c r="BC70" t="e">
        <f>#REF!+";Hb!%&lt;J"</f>
        <v>#REF!</v>
      </c>
      <c r="BD70" t="e">
        <f>#REF!+";Hb!%&lt;K"</f>
        <v>#REF!</v>
      </c>
      <c r="BE70" t="e">
        <f>#REF!+";Hb!%&lt;L"</f>
        <v>#REF!</v>
      </c>
      <c r="BF70" t="e">
        <f>#REF!+";Hb!%&lt;M"</f>
        <v>#REF!</v>
      </c>
      <c r="BG70" t="e">
        <f>#REF!+";Hb!%&lt;N"</f>
        <v>#REF!</v>
      </c>
      <c r="BH70" t="e">
        <f>#REF!+";Hb!%&lt;O"</f>
        <v>#REF!</v>
      </c>
      <c r="BI70" t="e">
        <f>#REF!+";Hb!%&lt;P"</f>
        <v>#REF!</v>
      </c>
      <c r="BJ70" t="e">
        <f>#REF!+";Hb!%&lt;Q"</f>
        <v>#REF!</v>
      </c>
      <c r="BK70" t="e">
        <f>#REF!+";Hb!%&lt;R"</f>
        <v>#REF!</v>
      </c>
      <c r="BL70" t="e">
        <f>#REF!+";Hb!%&lt;S"</f>
        <v>#REF!</v>
      </c>
      <c r="BM70" t="e">
        <f>#REF!+";Hb!%&lt;T"</f>
        <v>#REF!</v>
      </c>
      <c r="BN70" t="e">
        <f>#REF!+";Hb!%&lt;U"</f>
        <v>#REF!</v>
      </c>
      <c r="BO70" t="e">
        <f>#REF!+";Hb!%&lt;V"</f>
        <v>#REF!</v>
      </c>
      <c r="BP70" t="e">
        <f>#REF!+";Hb!%&lt;W"</f>
        <v>#REF!</v>
      </c>
      <c r="BQ70" t="e">
        <f>#REF!+";Hb!%&lt;X"</f>
        <v>#REF!</v>
      </c>
      <c r="BR70" t="e">
        <f>#REF!+";Hb!%&lt;Y"</f>
        <v>#REF!</v>
      </c>
      <c r="BS70" t="e">
        <f>#REF!+";Hb!%&lt;Z"</f>
        <v>#REF!</v>
      </c>
      <c r="BT70" t="e">
        <f>#REF!+";Hb!%&lt;["</f>
        <v>#REF!</v>
      </c>
      <c r="BU70" t="e">
        <f>#REF!+";Hb!%&lt;\"</f>
        <v>#REF!</v>
      </c>
      <c r="BV70" t="e">
        <f>#REF!+";Hb!%&lt;]"</f>
        <v>#REF!</v>
      </c>
      <c r="BW70" t="e">
        <f>#REF!+";Hb!%&lt;^"</f>
        <v>#REF!</v>
      </c>
      <c r="BX70" t="e">
        <f>#REF!+";Hb!%&lt;_"</f>
        <v>#REF!</v>
      </c>
      <c r="BY70" t="e">
        <f>#REF!+";Hb!%&lt;`"</f>
        <v>#REF!</v>
      </c>
      <c r="BZ70" t="e">
        <f>#REF!+";Hb!%&lt;a"</f>
        <v>#REF!</v>
      </c>
      <c r="CA70" t="e">
        <f>#REF!+";Hb!%&lt;b"</f>
        <v>#REF!</v>
      </c>
      <c r="CB70" t="e">
        <f>#REF!+";Hb!%&lt;c"</f>
        <v>#REF!</v>
      </c>
      <c r="CC70" t="e">
        <f>#REF!+";Hb!%&lt;d"</f>
        <v>#REF!</v>
      </c>
      <c r="CD70" t="e">
        <f>#REF!+";Hb!%&lt;e"</f>
        <v>#REF!</v>
      </c>
      <c r="CE70" t="e">
        <f>#REF!+";Hb!%&lt;f"</f>
        <v>#REF!</v>
      </c>
      <c r="CF70" t="e">
        <f>#REF!+";Hb!%&lt;g"</f>
        <v>#REF!</v>
      </c>
      <c r="CG70" t="e">
        <f>#REF!+";Hb!%&lt;h"</f>
        <v>#REF!</v>
      </c>
      <c r="CH70" t="e">
        <f>#REF!+";Hb!%&lt;i"</f>
        <v>#REF!</v>
      </c>
      <c r="CI70" t="e">
        <f>#REF!+";Hb!%&lt;j"</f>
        <v>#REF!</v>
      </c>
      <c r="CJ70" t="e">
        <f>#REF!+";Hb!%&lt;k"</f>
        <v>#REF!</v>
      </c>
      <c r="CK70" t="e">
        <f>#REF!+";Hb!%&lt;l"</f>
        <v>#REF!</v>
      </c>
      <c r="CL70" t="e">
        <f>#REF!+";Hb!%&lt;m"</f>
        <v>#REF!</v>
      </c>
      <c r="CM70" t="e">
        <f>#REF!+";Hb!%&lt;n"</f>
        <v>#REF!</v>
      </c>
      <c r="CN70" t="e">
        <f>#REF!+";Hb!%&lt;o"</f>
        <v>#REF!</v>
      </c>
      <c r="CO70" t="e">
        <f>#REF!+";Hb!%&lt;p"</f>
        <v>#REF!</v>
      </c>
      <c r="CP70" t="e">
        <f>#REF!+";Hb!%&lt;q"</f>
        <v>#REF!</v>
      </c>
      <c r="CQ70" t="e">
        <f>#REF!+";Hb!%&lt;r"</f>
        <v>#REF!</v>
      </c>
      <c r="CR70" t="e">
        <f>#REF!+";Hb!%&lt;s"</f>
        <v>#REF!</v>
      </c>
      <c r="CS70" t="e">
        <f>#REF!+";Hb!%&lt;t"</f>
        <v>#REF!</v>
      </c>
      <c r="CT70" t="e">
        <f>#REF!+";Hb!%&lt;u"</f>
        <v>#REF!</v>
      </c>
      <c r="CU70" t="e">
        <f>#REF!+";Hb!%&lt;v"</f>
        <v>#REF!</v>
      </c>
      <c r="CV70" t="e">
        <f>#REF!+";Hb!%&lt;w"</f>
        <v>#REF!</v>
      </c>
      <c r="CW70" t="e">
        <f>#REF!+";Hb!%&lt;x"</f>
        <v>#REF!</v>
      </c>
      <c r="CX70" t="e">
        <f>#REF!+";Hb!%&lt;y"</f>
        <v>#REF!</v>
      </c>
      <c r="CY70" t="e">
        <f>#REF!+";Hb!%&lt;z"</f>
        <v>#REF!</v>
      </c>
      <c r="CZ70" t="e">
        <f>#REF!+";Hb!%&lt;{"</f>
        <v>#REF!</v>
      </c>
      <c r="DA70" t="e">
        <f>#REF!+";Hb!%&lt;|"</f>
        <v>#REF!</v>
      </c>
      <c r="DB70" t="e">
        <f>#REF!+";Hb!%&lt;}"</f>
        <v>#REF!</v>
      </c>
      <c r="DC70" t="e">
        <f>#REF!+";Hb!%&lt;~"</f>
        <v>#REF!</v>
      </c>
      <c r="DD70" t="e">
        <f>#REF!+";Hb!%=#"</f>
        <v>#REF!</v>
      </c>
      <c r="DE70" t="e">
        <f>#REF!+";Hb!%=$"</f>
        <v>#REF!</v>
      </c>
      <c r="DF70" t="e">
        <f>#REF!+";Hb!%=%"</f>
        <v>#REF!</v>
      </c>
      <c r="DG70" t="e">
        <f>#REF!+";Hb!%=&amp;"</f>
        <v>#REF!</v>
      </c>
      <c r="DH70" t="e">
        <f>#REF!+";Hb!%='"</f>
        <v>#REF!</v>
      </c>
      <c r="DI70" t="e">
        <f>#REF!+";Hb!%=("</f>
        <v>#REF!</v>
      </c>
      <c r="DJ70" t="e">
        <f>#REF!+";Hb!%=)"</f>
        <v>#REF!</v>
      </c>
      <c r="DK70" t="e">
        <f>#REF!+";Hb!%=."</f>
        <v>#REF!</v>
      </c>
      <c r="DL70" t="e">
        <f>#REF!+";Hb!%=/"</f>
        <v>#REF!</v>
      </c>
      <c r="DM70" t="e">
        <f>#REF!+";Hb!%=0"</f>
        <v>#REF!</v>
      </c>
      <c r="DN70" t="e">
        <f>#REF!+";Hb!%=1"</f>
        <v>#REF!</v>
      </c>
      <c r="DO70" t="e">
        <f>#REF!+";Hb!%=2"</f>
        <v>#REF!</v>
      </c>
      <c r="DP70" t="e">
        <f>#REF!+";Hb!%=3"</f>
        <v>#REF!</v>
      </c>
      <c r="DQ70" t="e">
        <f>#REF!+";Hb!%=4"</f>
        <v>#REF!</v>
      </c>
      <c r="DR70" t="e">
        <f>#REF!+";Hb!%=5"</f>
        <v>#REF!</v>
      </c>
      <c r="DS70" t="e">
        <f>#REF!+";Hb!%=6"</f>
        <v>#REF!</v>
      </c>
      <c r="DT70" t="e">
        <f>#REF!+";Hb!%=7"</f>
        <v>#REF!</v>
      </c>
      <c r="DU70" t="e">
        <f>#REF!+";Hb!%=8"</f>
        <v>#REF!</v>
      </c>
      <c r="DV70" t="e">
        <f>#REF!+";Hb!%=9"</f>
        <v>#REF!</v>
      </c>
      <c r="DW70" t="e">
        <f>#REF!+";Hb!%=:"</f>
        <v>#REF!</v>
      </c>
      <c r="DX70" t="e">
        <f>#REF!+";Hb!%=;"</f>
        <v>#REF!</v>
      </c>
      <c r="DY70" t="e">
        <f>#REF!+";Hb!%=&lt;"</f>
        <v>#REF!</v>
      </c>
      <c r="DZ70" t="e">
        <f>#REF!+";Hb!%=="</f>
        <v>#REF!</v>
      </c>
      <c r="EA70" t="e">
        <f>#REF!+";Hb!%=&gt;"</f>
        <v>#REF!</v>
      </c>
      <c r="EB70" t="e">
        <f>#REF!+";Hb!%=?"</f>
        <v>#REF!</v>
      </c>
      <c r="EC70" t="e">
        <f>#REF!+";Hb!%=@"</f>
        <v>#REF!</v>
      </c>
      <c r="ED70" t="e">
        <f>#REF!+";Hb!%=A"</f>
        <v>#REF!</v>
      </c>
      <c r="EE70" t="e">
        <f>#REF!+";Hb!%=B"</f>
        <v>#REF!</v>
      </c>
      <c r="EF70" t="e">
        <f>#REF!+";Hb!%=C"</f>
        <v>#REF!</v>
      </c>
      <c r="EG70" t="e">
        <f>#REF!+";Hb!%=D"</f>
        <v>#REF!</v>
      </c>
      <c r="EH70" t="e">
        <f>#REF!+";Hb!%=E"</f>
        <v>#REF!</v>
      </c>
      <c r="EI70" t="e">
        <f>#REF!+";Hb!%=F"</f>
        <v>#REF!</v>
      </c>
      <c r="EJ70" t="e">
        <f>#REF!+";Hb!%=G"</f>
        <v>#REF!</v>
      </c>
      <c r="EK70" t="e">
        <f>#REF!+";Hb!%=H"</f>
        <v>#REF!</v>
      </c>
      <c r="EL70" t="e">
        <f>#REF!+";Hb!%=I"</f>
        <v>#REF!</v>
      </c>
      <c r="EM70" t="e">
        <f>#REF!+";Hb!%=J"</f>
        <v>#REF!</v>
      </c>
      <c r="EN70" t="e">
        <f>#REF!+";Hb!%=K"</f>
        <v>#REF!</v>
      </c>
      <c r="EO70" t="e">
        <f>#REF!+";Hb!%=L"</f>
        <v>#REF!</v>
      </c>
      <c r="EP70" t="e">
        <f>#REF!+";Hb!%=M"</f>
        <v>#REF!</v>
      </c>
      <c r="EQ70" t="e">
        <f>#REF!+";Hb!%=N"</f>
        <v>#REF!</v>
      </c>
      <c r="ER70" t="e">
        <f>#REF!+";Hb!%=O"</f>
        <v>#REF!</v>
      </c>
      <c r="ES70" t="e">
        <f>#REF!+";Hb!%=P"</f>
        <v>#REF!</v>
      </c>
      <c r="ET70" t="e">
        <f>#REF!+";Hb!%=Q"</f>
        <v>#REF!</v>
      </c>
      <c r="EU70" t="e">
        <f>#REF!+";Hb!%=R"</f>
        <v>#REF!</v>
      </c>
      <c r="EV70" t="e">
        <f>#REF!+";Hb!%=S"</f>
        <v>#REF!</v>
      </c>
      <c r="EW70" t="e">
        <f>#REF!+";Hb!%=T"</f>
        <v>#REF!</v>
      </c>
      <c r="EX70" t="e">
        <f>#REF!+";Hb!%=U"</f>
        <v>#REF!</v>
      </c>
      <c r="EY70" t="e">
        <f>#REF!+";Hb!%=V"</f>
        <v>#REF!</v>
      </c>
      <c r="EZ70" t="e">
        <f>#REF!+";Hb!%=W"</f>
        <v>#REF!</v>
      </c>
      <c r="FA70" t="e">
        <f>#REF!+";Hb!%=X"</f>
        <v>#REF!</v>
      </c>
      <c r="FB70" t="e">
        <f>#REF!+";Hb!%=Y"</f>
        <v>#REF!</v>
      </c>
      <c r="FC70" t="e">
        <f>#REF!+";Hb!%=Z"</f>
        <v>#REF!</v>
      </c>
      <c r="FD70" t="e">
        <f>#REF!+";Hb!%=["</f>
        <v>#REF!</v>
      </c>
      <c r="FE70" t="e">
        <f>#REF!+";Hb!%=\"</f>
        <v>#REF!</v>
      </c>
      <c r="FF70" t="e">
        <f>#REF!+";Hb!%=]"</f>
        <v>#REF!</v>
      </c>
      <c r="FG70" t="e">
        <f>#REF!+";Hb!%=^"</f>
        <v>#REF!</v>
      </c>
      <c r="FH70" t="e">
        <f>#REF!+";Hb!%=_"</f>
        <v>#REF!</v>
      </c>
      <c r="FI70" t="e">
        <f>#REF!+";Hb!%=`"</f>
        <v>#REF!</v>
      </c>
      <c r="FJ70" t="e">
        <f>#REF!+";Hb!%=a"</f>
        <v>#REF!</v>
      </c>
      <c r="FK70" t="e">
        <f>#REF!+";Hb!%=b"</f>
        <v>#REF!</v>
      </c>
      <c r="FL70" t="e">
        <f>#REF!+";Hb!%=c"</f>
        <v>#REF!</v>
      </c>
      <c r="FM70" t="e">
        <f>#REF!+";Hb!%=d"</f>
        <v>#REF!</v>
      </c>
      <c r="FN70" t="e">
        <f>#REF!+";Hb!%=e"</f>
        <v>#REF!</v>
      </c>
      <c r="FO70" t="e">
        <f>#REF!+";Hb!%=f"</f>
        <v>#REF!</v>
      </c>
      <c r="FP70" t="e">
        <f>#REF!+";Hb!%=g"</f>
        <v>#REF!</v>
      </c>
      <c r="FQ70" t="e">
        <f>#REF!+";Hb!%=h"</f>
        <v>#REF!</v>
      </c>
      <c r="FR70" t="e">
        <f>#REF!+";Hb!%=i"</f>
        <v>#REF!</v>
      </c>
      <c r="FS70" t="e">
        <f>#REF!+";Hb!%=j"</f>
        <v>#REF!</v>
      </c>
      <c r="FT70" t="e">
        <f>#REF!+";Hb!%=k"</f>
        <v>#REF!</v>
      </c>
      <c r="FU70" t="e">
        <f>#REF!+";Hb!%=l"</f>
        <v>#REF!</v>
      </c>
      <c r="FV70" t="e">
        <f>#REF!+";Hb!%=m"</f>
        <v>#REF!</v>
      </c>
      <c r="FW70" t="e">
        <f>#REF!+";Hb!%=n"</f>
        <v>#REF!</v>
      </c>
      <c r="FX70" t="e">
        <f>#REF!+";Hb!%=o"</f>
        <v>#REF!</v>
      </c>
      <c r="FY70" t="e">
        <f>#REF!+";Hb!%=p"</f>
        <v>#REF!</v>
      </c>
      <c r="FZ70" t="e">
        <f>#REF!+";Hb!%=q"</f>
        <v>#REF!</v>
      </c>
      <c r="GA70" t="e">
        <f>#REF!+";Hb!%=r"</f>
        <v>#REF!</v>
      </c>
      <c r="GB70" t="e">
        <f>#REF!+";Hb!%=s"</f>
        <v>#REF!</v>
      </c>
      <c r="GC70" t="e">
        <f>#REF!+";Hb!%=t"</f>
        <v>#REF!</v>
      </c>
      <c r="GD70" t="e">
        <f>#REF!+";Hb!%=u"</f>
        <v>#REF!</v>
      </c>
      <c r="GE70" t="e">
        <f>#REF!+";Hb!%=v"</f>
        <v>#REF!</v>
      </c>
      <c r="GF70" t="e">
        <f>#REF!+";Hb!%=w"</f>
        <v>#REF!</v>
      </c>
      <c r="GG70" t="e">
        <f>#REF!+";Hb!%=x"</f>
        <v>#REF!</v>
      </c>
      <c r="GH70" t="e">
        <f>#REF!+";Hb!%=y"</f>
        <v>#REF!</v>
      </c>
      <c r="GI70" t="e">
        <f>#REF!+";Hb!%=z"</f>
        <v>#REF!</v>
      </c>
      <c r="GJ70" t="e">
        <f>#REF!+";Hb!%={"</f>
        <v>#REF!</v>
      </c>
      <c r="GK70" t="e">
        <f>#REF!+";Hb!%=|"</f>
        <v>#REF!</v>
      </c>
      <c r="GL70" t="e">
        <f>#REF!+";Hb!%=}"</f>
        <v>#REF!</v>
      </c>
      <c r="GM70" t="e">
        <f>#REF!+";Hb!%=~"</f>
        <v>#REF!</v>
      </c>
      <c r="GN70" t="e">
        <f>#REF!+";Hb!%&gt;#"</f>
        <v>#REF!</v>
      </c>
      <c r="GO70" t="e">
        <f>#REF!+";Hb!%&gt;$"</f>
        <v>#REF!</v>
      </c>
      <c r="GP70" t="e">
        <f>#REF!+";Hb!%&gt;%"</f>
        <v>#REF!</v>
      </c>
      <c r="GQ70" t="e">
        <f>#REF!+";Hb!%&gt;&amp;"</f>
        <v>#REF!</v>
      </c>
      <c r="GR70" t="e">
        <f>#REF!+";Hb!%&gt;'"</f>
        <v>#REF!</v>
      </c>
      <c r="GS70" t="e">
        <f>#REF!+";Hb!%&gt;("</f>
        <v>#REF!</v>
      </c>
      <c r="GT70" t="e">
        <f>#REF!+";Hb!%&gt;)"</f>
        <v>#REF!</v>
      </c>
      <c r="GU70" t="e">
        <f>#REF!+";Hb!%&gt;."</f>
        <v>#REF!</v>
      </c>
      <c r="GV70" t="e">
        <f>#REF!+";Hb!%&gt;/"</f>
        <v>#REF!</v>
      </c>
      <c r="GW70" t="e">
        <f>#REF!+";Hb!%&gt;0"</f>
        <v>#REF!</v>
      </c>
      <c r="GX70" t="e">
        <f>#REF!+";Hb!%&gt;1"</f>
        <v>#REF!</v>
      </c>
      <c r="GY70" t="e">
        <f>#REF!+";Hb!%&gt;2"</f>
        <v>#REF!</v>
      </c>
      <c r="GZ70" t="e">
        <f>#REF!+";Hb!%&gt;3"</f>
        <v>#REF!</v>
      </c>
      <c r="HA70" t="e">
        <f>#REF!+";Hb!%&gt;4"</f>
        <v>#REF!</v>
      </c>
      <c r="HB70" t="e">
        <f>#REF!+";Hb!%&gt;5"</f>
        <v>#REF!</v>
      </c>
      <c r="HC70" t="e">
        <f>#REF!+";Hb!%&gt;6"</f>
        <v>#REF!</v>
      </c>
      <c r="HD70" t="e">
        <f>#REF!+";Hb!%&gt;7"</f>
        <v>#REF!</v>
      </c>
      <c r="HE70" t="e">
        <f>#REF!+";Hb!%&gt;8"</f>
        <v>#REF!</v>
      </c>
      <c r="HF70" t="e">
        <f>#REF!+";Hb!%&gt;9"</f>
        <v>#REF!</v>
      </c>
      <c r="HG70" t="e">
        <f>#REF!+";Hb!%&gt;:"</f>
        <v>#REF!</v>
      </c>
      <c r="HH70" t="e">
        <f>#REF!+";Hb!%&gt;;"</f>
        <v>#REF!</v>
      </c>
      <c r="HI70" t="e">
        <f>#REF!+";Hb!%&gt;&lt;"</f>
        <v>#REF!</v>
      </c>
      <c r="HJ70" t="e">
        <f>#REF!+";Hb!%&gt;="</f>
        <v>#REF!</v>
      </c>
      <c r="HK70" t="e">
        <f>#REF!+";Hb!%&gt;&gt;"</f>
        <v>#REF!</v>
      </c>
      <c r="HL70" t="e">
        <f>#REF!+";Hb!%&gt;?"</f>
        <v>#REF!</v>
      </c>
      <c r="HM70" t="e">
        <f>#REF!+";Hb!%&gt;@"</f>
        <v>#REF!</v>
      </c>
      <c r="HN70" t="e">
        <f>#REF!+";Hb!%&gt;A"</f>
        <v>#REF!</v>
      </c>
      <c r="HO70" t="e">
        <f>#REF!+";Hb!%&gt;B"</f>
        <v>#REF!</v>
      </c>
      <c r="HP70" t="e">
        <f>#REF!+";Hb!%&gt;C"</f>
        <v>#REF!</v>
      </c>
      <c r="HQ70" t="e">
        <f>#REF!+";Hb!%&gt;D"</f>
        <v>#REF!</v>
      </c>
      <c r="HR70" t="e">
        <f>#REF!+";Hb!%&gt;E"</f>
        <v>#REF!</v>
      </c>
      <c r="HS70" t="e">
        <f>#REF!+";Hb!%&gt;F"</f>
        <v>#REF!</v>
      </c>
      <c r="HT70" t="e">
        <f>#REF!+";Hb!%&gt;G"</f>
        <v>#REF!</v>
      </c>
      <c r="HU70" t="e">
        <f>#REF!+";Hb!%&gt;H"</f>
        <v>#REF!</v>
      </c>
      <c r="HV70" t="e">
        <f>#REF!+";Hb!%&gt;I"</f>
        <v>#REF!</v>
      </c>
      <c r="HW70" t="e">
        <f>#REF!+";Hb!%&gt;J"</f>
        <v>#REF!</v>
      </c>
      <c r="HX70" t="e">
        <f>#REF!+";Hb!%&gt;K"</f>
        <v>#REF!</v>
      </c>
      <c r="HY70" t="e">
        <f>#REF!+";Hb!%&gt;L"</f>
        <v>#REF!</v>
      </c>
      <c r="HZ70" t="e">
        <f>#REF!+";Hb!%&gt;M"</f>
        <v>#REF!</v>
      </c>
      <c r="IA70" t="e">
        <f>#REF!+";Hb!%&gt;N"</f>
        <v>#REF!</v>
      </c>
      <c r="IB70" t="e">
        <f>#REF!+";Hb!%&gt;O"</f>
        <v>#REF!</v>
      </c>
      <c r="IC70" t="e">
        <f>#REF!+";Hb!%&gt;P"</f>
        <v>#REF!</v>
      </c>
      <c r="ID70" t="e">
        <f>#REF!+";Hb!%&gt;Q"</f>
        <v>#REF!</v>
      </c>
      <c r="IE70" t="e">
        <f>#REF!+";Hb!%&gt;R"</f>
        <v>#REF!</v>
      </c>
      <c r="IF70" t="e">
        <f>#REF!+";Hb!%&gt;S"</f>
        <v>#REF!</v>
      </c>
      <c r="IG70" t="e">
        <f>#REF!+";Hb!%&gt;T"</f>
        <v>#REF!</v>
      </c>
      <c r="IH70" t="e">
        <f>#REF!+";Hb!%&gt;U"</f>
        <v>#REF!</v>
      </c>
      <c r="II70" t="e">
        <f>#REF!+";Hb!%&gt;V"</f>
        <v>#REF!</v>
      </c>
      <c r="IJ70" t="e">
        <f>#REF!+";Hb!%&gt;W"</f>
        <v>#REF!</v>
      </c>
      <c r="IK70" t="e">
        <f>#REF!+";Hb!%&gt;X"</f>
        <v>#REF!</v>
      </c>
      <c r="IL70" t="e">
        <f>#REF!+";Hb!%&gt;Y"</f>
        <v>#REF!</v>
      </c>
      <c r="IM70" t="e">
        <f>#REF!+";Hb!%&gt;Z"</f>
        <v>#REF!</v>
      </c>
      <c r="IN70" t="e">
        <f>#REF!+";Hb!%&gt;["</f>
        <v>#REF!</v>
      </c>
      <c r="IO70" t="e">
        <f>#REF!+";Hb!%&gt;\"</f>
        <v>#REF!</v>
      </c>
      <c r="IP70" t="e">
        <f>#REF!+";Hb!%&gt;]"</f>
        <v>#REF!</v>
      </c>
      <c r="IQ70" t="e">
        <f>#REF!+";Hb!%&gt;^"</f>
        <v>#REF!</v>
      </c>
      <c r="IR70" t="e">
        <f>#REF!+";Hb!%&gt;_"</f>
        <v>#REF!</v>
      </c>
      <c r="IS70" t="e">
        <f>#REF!+";Hb!%&gt;`"</f>
        <v>#REF!</v>
      </c>
      <c r="IT70" t="e">
        <f>#REF!+";Hb!%&gt;a"</f>
        <v>#REF!</v>
      </c>
      <c r="IU70" t="e">
        <f>#REF!+";Hb!%&gt;b"</f>
        <v>#REF!</v>
      </c>
      <c r="IV70" t="e">
        <f>#REF!+";Hb!%&gt;c"</f>
        <v>#REF!</v>
      </c>
    </row>
    <row r="71" spans="6:256" x14ac:dyDescent="0.25">
      <c r="F71" t="e">
        <f>#REF!+";Hb!%&gt;d"</f>
        <v>#REF!</v>
      </c>
      <c r="G71" t="e">
        <f>#REF!+";Hb!%&gt;e"</f>
        <v>#REF!</v>
      </c>
      <c r="H71" t="e">
        <f>#REF!+";Hb!%&gt;f"</f>
        <v>#REF!</v>
      </c>
      <c r="I71" t="e">
        <f>#REF!+";Hb!%&gt;g"</f>
        <v>#REF!</v>
      </c>
      <c r="J71" t="e">
        <f>#REF!+";Hb!%&gt;h"</f>
        <v>#REF!</v>
      </c>
      <c r="K71" t="e">
        <f>#REF!+";Hb!%&gt;i"</f>
        <v>#REF!</v>
      </c>
      <c r="L71" t="e">
        <f>#REF!+";Hb!%&gt;j"</f>
        <v>#REF!</v>
      </c>
      <c r="M71" t="e">
        <f>#REF!+";Hb!%&gt;k"</f>
        <v>#REF!</v>
      </c>
      <c r="N71" t="e">
        <f>#REF!+";Hb!%&gt;l"</f>
        <v>#REF!</v>
      </c>
      <c r="O71" t="e">
        <f>#REF!+";Hb!%&gt;m"</f>
        <v>#REF!</v>
      </c>
      <c r="P71" t="e">
        <f>#REF!+";Hb!%&gt;n"</f>
        <v>#REF!</v>
      </c>
      <c r="Q71" t="e">
        <f>#REF!+";Hb!%&gt;o"</f>
        <v>#REF!</v>
      </c>
      <c r="R71" t="e">
        <f>#REF!+";Hb!%&gt;p"</f>
        <v>#REF!</v>
      </c>
      <c r="S71" t="e">
        <f>#REF!+";Hb!%&gt;q"</f>
        <v>#REF!</v>
      </c>
      <c r="T71" t="e">
        <f>#REF!+";Hb!%&gt;r"</f>
        <v>#REF!</v>
      </c>
      <c r="U71" t="e">
        <f>#REF!+";Hb!%&gt;s"</f>
        <v>#REF!</v>
      </c>
      <c r="V71" t="e">
        <f>#REF!+";Hb!%&gt;t"</f>
        <v>#REF!</v>
      </c>
      <c r="W71" t="e">
        <f>#REF!+";Hb!%&gt;u"</f>
        <v>#REF!</v>
      </c>
      <c r="X71" t="e">
        <f>#REF!+";Hb!%&gt;v"</f>
        <v>#REF!</v>
      </c>
      <c r="Y71" t="e">
        <f>#REF!+";Hb!%&gt;w"</f>
        <v>#REF!</v>
      </c>
      <c r="Z71" t="e">
        <f>#REF!+";Hb!%&gt;x"</f>
        <v>#REF!</v>
      </c>
      <c r="AA71" t="e">
        <f>#REF!+";Hb!%&gt;y"</f>
        <v>#REF!</v>
      </c>
      <c r="AB71" t="e">
        <f>#REF!+";Hb!%&gt;z"</f>
        <v>#REF!</v>
      </c>
      <c r="AC71" t="e">
        <f>#REF!+";Hb!%&gt;{"</f>
        <v>#REF!</v>
      </c>
      <c r="AD71" t="e">
        <f>#REF!+";Hb!%&gt;|"</f>
        <v>#REF!</v>
      </c>
      <c r="AE71" t="e">
        <f>#REF!+";Hb!%&gt;}"</f>
        <v>#REF!</v>
      </c>
      <c r="AF71" t="e">
        <f>#REF!+";Hb!%&gt;~"</f>
        <v>#REF!</v>
      </c>
      <c r="AG71" t="e">
        <f>#REF!+";Hb!%?#"</f>
        <v>#REF!</v>
      </c>
      <c r="AH71" t="e">
        <f>#REF!+";Hb!%?$"</f>
        <v>#REF!</v>
      </c>
      <c r="AI71" t="e">
        <f>#REF!+";Hb!%?%"</f>
        <v>#REF!</v>
      </c>
      <c r="AJ71" t="e">
        <f>#REF!+";Hb!%?&amp;"</f>
        <v>#REF!</v>
      </c>
      <c r="AK71" t="e">
        <f>#REF!+";Hb!%?'"</f>
        <v>#REF!</v>
      </c>
      <c r="AL71" t="e">
        <f>#REF!+";Hb!%?("</f>
        <v>#REF!</v>
      </c>
      <c r="AM71" t="e">
        <f>#REF!+";Hb!%?)"</f>
        <v>#REF!</v>
      </c>
      <c r="AN71" t="e">
        <f>#REF!+";Hb!%?."</f>
        <v>#REF!</v>
      </c>
      <c r="AO71" t="e">
        <f>#REF!+";Hb!%?/"</f>
        <v>#REF!</v>
      </c>
      <c r="AP71" t="e">
        <f>#REF!+";Hb!%?0"</f>
        <v>#REF!</v>
      </c>
      <c r="AQ71" t="e">
        <f>#REF!+";Hb!%?1"</f>
        <v>#REF!</v>
      </c>
      <c r="AR71" t="e">
        <f>#REF!+";Hb!%?2"</f>
        <v>#REF!</v>
      </c>
      <c r="AS71" t="e">
        <f>#REF!+";Hb!%?3"</f>
        <v>#REF!</v>
      </c>
      <c r="AT71" t="e">
        <f>#REF!+";Hb!%?4"</f>
        <v>#REF!</v>
      </c>
      <c r="AU71" t="e">
        <f>#REF!+";Hb!%?5"</f>
        <v>#REF!</v>
      </c>
      <c r="AV71" t="e">
        <f>#REF!+";Hb!%?6"</f>
        <v>#REF!</v>
      </c>
      <c r="AW71" t="e">
        <f>#REF!+";Hb!%?7"</f>
        <v>#REF!</v>
      </c>
      <c r="AX71" t="e">
        <f>#REF!+";Hb!%?8"</f>
        <v>#REF!</v>
      </c>
      <c r="AY71" t="e">
        <f>#REF!+";Hb!%?9"</f>
        <v>#REF!</v>
      </c>
      <c r="AZ71" t="e">
        <f>#REF!+";Hb!%?:"</f>
        <v>#REF!</v>
      </c>
      <c r="BA71" t="e">
        <f>#REF!+";Hb!%?;"</f>
        <v>#REF!</v>
      </c>
      <c r="BB71" t="e">
        <f>#REF!+";Hb!%?&lt;"</f>
        <v>#REF!</v>
      </c>
      <c r="BC71" t="e">
        <f>#REF!+";Hb!%?="</f>
        <v>#REF!</v>
      </c>
      <c r="BD71" t="e">
        <f>#REF!+";Hb!%?&gt;"</f>
        <v>#REF!</v>
      </c>
      <c r="BE71" t="e">
        <f>#REF!+";Hb!%??"</f>
        <v>#REF!</v>
      </c>
      <c r="BF71" t="e">
        <f>#REF!+";Hb!%?@"</f>
        <v>#REF!</v>
      </c>
      <c r="BG71" t="e">
        <f>#REF!+";Hb!%?A"</f>
        <v>#REF!</v>
      </c>
      <c r="BH71" t="e">
        <f>#REF!+";Hb!%?B"</f>
        <v>#REF!</v>
      </c>
      <c r="BI71" t="e">
        <f>#REF!+";Hb!%?C"</f>
        <v>#REF!</v>
      </c>
      <c r="BJ71" t="e">
        <f>#REF!+";Hb!%?D"</f>
        <v>#REF!</v>
      </c>
      <c r="BK71" t="e">
        <f>#REF!+";Hb!%?E"</f>
        <v>#REF!</v>
      </c>
      <c r="BL71" t="e">
        <f>#REF!+";Hb!%?F"</f>
        <v>#REF!</v>
      </c>
      <c r="BM71" t="e">
        <f>#REF!+";Hb!%?G"</f>
        <v>#REF!</v>
      </c>
      <c r="BN71" t="e">
        <f>#REF!+";Hb!%?H"</f>
        <v>#REF!</v>
      </c>
      <c r="BO71" t="e">
        <f>#REF!+";Hb!%?I"</f>
        <v>#REF!</v>
      </c>
      <c r="BP71" t="e">
        <f>#REF!+";Hb!%?J"</f>
        <v>#REF!</v>
      </c>
      <c r="BQ71" t="e">
        <f>#REF!+";Hb!%?K"</f>
        <v>#REF!</v>
      </c>
      <c r="BR71" t="e">
        <f>#REF!+";Hb!%?L"</f>
        <v>#REF!</v>
      </c>
      <c r="BS71" t="e">
        <f>#REF!+";Hb!%?M"</f>
        <v>#REF!</v>
      </c>
      <c r="BT71" t="e">
        <f>#REF!+";Hb!%?N"</f>
        <v>#REF!</v>
      </c>
      <c r="BU71" t="e">
        <f>#REF!+";Hb!%?O"</f>
        <v>#REF!</v>
      </c>
      <c r="BV71" t="e">
        <f>#REF!+";Hb!%?P"</f>
        <v>#REF!</v>
      </c>
      <c r="BW71" t="e">
        <f>#REF!+";Hb!%?Q"</f>
        <v>#REF!</v>
      </c>
      <c r="BX71" t="e">
        <f>#REF!+";Hb!%?R"</f>
        <v>#REF!</v>
      </c>
      <c r="BY71" t="e">
        <f>#REF!+";Hb!%?S"</f>
        <v>#REF!</v>
      </c>
      <c r="BZ71" t="e">
        <f>#REF!+";Hb!%?T"</f>
        <v>#REF!</v>
      </c>
      <c r="CA71" t="e">
        <f>#REF!+";Hb!%?U"</f>
        <v>#REF!</v>
      </c>
      <c r="CB71" t="e">
        <f>#REF!+";Hb!%?V"</f>
        <v>#REF!</v>
      </c>
      <c r="CC71" t="e">
        <f>#REF!+";Hb!%?W"</f>
        <v>#REF!</v>
      </c>
      <c r="CD71" t="e">
        <f>#REF!+";Hb!%?X"</f>
        <v>#REF!</v>
      </c>
      <c r="CE71" t="e">
        <f>#REF!+";Hb!%?Y"</f>
        <v>#REF!</v>
      </c>
      <c r="CF71" t="e">
        <f>#REF!+";Hb!%?Z"</f>
        <v>#REF!</v>
      </c>
      <c r="CG71" t="e">
        <f>#REF!+";Hb!%?["</f>
        <v>#REF!</v>
      </c>
      <c r="CH71" t="e">
        <f>#REF!+";Hb!%?\"</f>
        <v>#REF!</v>
      </c>
      <c r="CI71" t="e">
        <f>#REF!+";Hb!%?]"</f>
        <v>#REF!</v>
      </c>
      <c r="CJ71" t="e">
        <f>#REF!+";Hb!%?^"</f>
        <v>#REF!</v>
      </c>
      <c r="CK71" t="e">
        <f>#REF!+";Hb!%?_"</f>
        <v>#REF!</v>
      </c>
      <c r="CL71" t="e">
        <f>#REF!+";Hb!%?`"</f>
        <v>#REF!</v>
      </c>
      <c r="CM71" t="e">
        <f>#REF!+";Hb!%?a"</f>
        <v>#REF!</v>
      </c>
      <c r="CN71" t="e">
        <f>#REF!+";Hb!%?b"</f>
        <v>#REF!</v>
      </c>
      <c r="CO71" t="e">
        <f>#REF!+";Hb!%?c"</f>
        <v>#REF!</v>
      </c>
      <c r="CP71" t="e">
        <f>#REF!+";Hb!%?d"</f>
        <v>#REF!</v>
      </c>
      <c r="CQ71" t="e">
        <f>#REF!+";Hb!%?e"</f>
        <v>#REF!</v>
      </c>
      <c r="CR71" t="e">
        <f>#REF!+";Hb!%?f"</f>
        <v>#REF!</v>
      </c>
      <c r="CS71" t="e">
        <f>#REF!+";Hb!%?g"</f>
        <v>#REF!</v>
      </c>
      <c r="CT71" t="e">
        <f>#REF!+";Hb!%?h"</f>
        <v>#REF!</v>
      </c>
      <c r="CU71" t="e">
        <f>#REF!+";Hb!%?i"</f>
        <v>#REF!</v>
      </c>
      <c r="CV71" t="e">
        <f>#REF!+";Hb!%?j"</f>
        <v>#REF!</v>
      </c>
      <c r="CW71" t="e">
        <f>#REF!+";Hb!%?k"</f>
        <v>#REF!</v>
      </c>
      <c r="CX71" t="e">
        <f>#REF!+";Hb!%?l"</f>
        <v>#REF!</v>
      </c>
      <c r="CY71" t="e">
        <f>#REF!+";Hb!%?m"</f>
        <v>#REF!</v>
      </c>
      <c r="CZ71" t="e">
        <f>#REF!+";Hb!%?n"</f>
        <v>#REF!</v>
      </c>
      <c r="DA71" t="e">
        <f>#REF!+";Hb!%?o"</f>
        <v>#REF!</v>
      </c>
      <c r="DB71" t="e">
        <f>#REF!+";Hb!%?p"</f>
        <v>#REF!</v>
      </c>
      <c r="DC71" t="e">
        <f>#REF!+";Hb!%?q"</f>
        <v>#REF!</v>
      </c>
      <c r="DD71" t="e">
        <f>#REF!+";Hb!%?r"</f>
        <v>#REF!</v>
      </c>
      <c r="DE71" t="e">
        <f>#REF!+";Hb!%?s"</f>
        <v>#REF!</v>
      </c>
      <c r="DF71" t="e">
        <f>#REF!+";Hb!%?t"</f>
        <v>#REF!</v>
      </c>
      <c r="DG71" t="e">
        <f>#REF!+";Hb!%?u"</f>
        <v>#REF!</v>
      </c>
      <c r="DH71" t="e">
        <f>#REF!+";Hb!%?v"</f>
        <v>#REF!</v>
      </c>
      <c r="DI71" t="e">
        <f>#REF!+";Hb!%?w"</f>
        <v>#REF!</v>
      </c>
      <c r="DJ71" t="e">
        <f>#REF!+";Hb!%?x"</f>
        <v>#REF!</v>
      </c>
      <c r="DK71" t="e">
        <f>#REF!+";Hb!%?y"</f>
        <v>#REF!</v>
      </c>
      <c r="DL71" t="e">
        <f>#REF!+";Hb!%?z"</f>
        <v>#REF!</v>
      </c>
      <c r="DM71" t="e">
        <f>#REF!+";Hb!%?{"</f>
        <v>#REF!</v>
      </c>
      <c r="DN71" t="e">
        <f>#REF!+";Hb!%?|"</f>
        <v>#REF!</v>
      </c>
      <c r="DO71" t="e">
        <f>#REF!+";Hb!%?}"</f>
        <v>#REF!</v>
      </c>
      <c r="DP71" t="e">
        <f>#REF!+";Hb!%?~"</f>
        <v>#REF!</v>
      </c>
      <c r="DQ71" t="e">
        <f>#REF!+";Hb!%@#"</f>
        <v>#REF!</v>
      </c>
      <c r="DR71" t="e">
        <f>#REF!+";Hb!%@$"</f>
        <v>#REF!</v>
      </c>
      <c r="DS71" t="e">
        <f>#REF!+";Hb!%@%"</f>
        <v>#REF!</v>
      </c>
      <c r="DT71" t="e">
        <f>#REF!+";Hb!%@&amp;"</f>
        <v>#REF!</v>
      </c>
      <c r="DU71" t="e">
        <f>#REF!+";Hb!%@'"</f>
        <v>#REF!</v>
      </c>
      <c r="DV71" t="e">
        <f>#REF!+";Hb!%@("</f>
        <v>#REF!</v>
      </c>
      <c r="DW71" t="e">
        <f>#REF!+";Hb!%@)"</f>
        <v>#REF!</v>
      </c>
      <c r="DX71" t="e">
        <f>#REF!+";Hb!%@."</f>
        <v>#REF!</v>
      </c>
      <c r="DY71" t="e">
        <f>#REF!+";Hb!%@/"</f>
        <v>#REF!</v>
      </c>
      <c r="DZ71" t="e">
        <f>#REF!+";Hb!%@0"</f>
        <v>#REF!</v>
      </c>
      <c r="EA71" t="e">
        <f>#REF!+";Hb!%@1"</f>
        <v>#REF!</v>
      </c>
      <c r="EB71" t="e">
        <f>#REF!+";Hb!%@2"</f>
        <v>#REF!</v>
      </c>
      <c r="EC71" t="e">
        <f>#REF!+";Hb!%@3"</f>
        <v>#REF!</v>
      </c>
      <c r="ED71" t="e">
        <f>#REF!+";Hb!%@4"</f>
        <v>#REF!</v>
      </c>
      <c r="EE71" t="e">
        <f>#REF!+";Hb!%@5"</f>
        <v>#REF!</v>
      </c>
      <c r="EF71" t="e">
        <f>#REF!+";Hb!%@6"</f>
        <v>#REF!</v>
      </c>
      <c r="EG71" t="e">
        <f>#REF!+";Hb!%@7"</f>
        <v>#REF!</v>
      </c>
      <c r="EH71" t="e">
        <f>#REF!+";Hb!%@8"</f>
        <v>#REF!</v>
      </c>
      <c r="EI71" t="e">
        <f>#REF!+";Hb!%@9"</f>
        <v>#REF!</v>
      </c>
      <c r="EJ71" t="e">
        <f>#REF!+";Hb!%@:"</f>
        <v>#REF!</v>
      </c>
      <c r="EK71" t="e">
        <f>#REF!+";Hb!%@;"</f>
        <v>#REF!</v>
      </c>
      <c r="EL71" t="e">
        <f>#REF!+";Hb!%@&lt;"</f>
        <v>#REF!</v>
      </c>
      <c r="EM71" t="e">
        <f>#REF!+";Hb!%@="</f>
        <v>#REF!</v>
      </c>
      <c r="EN71" t="e">
        <f>#REF!+";Hb!%@&gt;"</f>
        <v>#REF!</v>
      </c>
      <c r="EO71" t="e">
        <f>#REF!+";Hb!%@?"</f>
        <v>#REF!</v>
      </c>
      <c r="EP71" t="e">
        <f>#REF!+";Hb!%@@"</f>
        <v>#REF!</v>
      </c>
      <c r="EQ71" t="e">
        <f>#REF!+";Hb!%@A"</f>
        <v>#REF!</v>
      </c>
      <c r="ER71" t="e">
        <f>#REF!+";Hb!%@B"</f>
        <v>#REF!</v>
      </c>
      <c r="ES71" t="e">
        <f>#REF!+";Hb!%@C"</f>
        <v>#REF!</v>
      </c>
      <c r="ET71" t="e">
        <f>#REF!+";Hb!%@D"</f>
        <v>#REF!</v>
      </c>
      <c r="EU71" t="e">
        <f>#REF!+";Hb!%@E"</f>
        <v>#REF!</v>
      </c>
      <c r="EV71" t="e">
        <f>#REF!+";Hb!%@F"</f>
        <v>#REF!</v>
      </c>
      <c r="EW71" t="e">
        <f>#REF!+";Hb!%@G"</f>
        <v>#REF!</v>
      </c>
      <c r="EX71" t="e">
        <f>#REF!+";Hb!%@H"</f>
        <v>#REF!</v>
      </c>
      <c r="EY71" t="e">
        <f>#REF!+";Hb!%@I"</f>
        <v>#REF!</v>
      </c>
      <c r="EZ71" t="e">
        <f>#REF!+";Hb!%@J"</f>
        <v>#REF!</v>
      </c>
      <c r="FA71" t="e">
        <f>#REF!+";Hb!%@K"</f>
        <v>#REF!</v>
      </c>
      <c r="FB71" t="e">
        <f>#REF!+";Hb!%@L"</f>
        <v>#REF!</v>
      </c>
      <c r="FC71" t="e">
        <f>#REF!+";Hb!%@M"</f>
        <v>#REF!</v>
      </c>
      <c r="FD71" t="e">
        <f>#REF!+";Hb!%@N"</f>
        <v>#REF!</v>
      </c>
      <c r="FE71" t="e">
        <f>#REF!+";Hb!%@O"</f>
        <v>#REF!</v>
      </c>
      <c r="FF71" t="e">
        <f>#REF!+";Hb!%@P"</f>
        <v>#REF!</v>
      </c>
      <c r="FG71" t="e">
        <f>#REF!+";Hb!%@Q"</f>
        <v>#REF!</v>
      </c>
      <c r="FH71" t="e">
        <f>#REF!+";Hb!%@R"</f>
        <v>#REF!</v>
      </c>
      <c r="FI71" t="e">
        <f>#REF!+";Hb!%@S"</f>
        <v>#REF!</v>
      </c>
      <c r="FJ71" t="e">
        <f>#REF!+";Hb!%@T"</f>
        <v>#REF!</v>
      </c>
      <c r="FK71" t="e">
        <f>#REF!+";Hb!%@U"</f>
        <v>#REF!</v>
      </c>
      <c r="FL71" t="e">
        <f>#REF!+";Hb!%@V"</f>
        <v>#REF!</v>
      </c>
      <c r="FM71" t="e">
        <f>#REF!+";Hb!%@W"</f>
        <v>#REF!</v>
      </c>
      <c r="FN71" t="e">
        <f>#REF!+";Hb!%@X"</f>
        <v>#REF!</v>
      </c>
      <c r="FO71" t="e">
        <f>#REF!+";Hb!%@Y"</f>
        <v>#REF!</v>
      </c>
      <c r="FP71" t="e">
        <f>#REF!+";Hb!%@Z"</f>
        <v>#REF!</v>
      </c>
      <c r="FQ71" t="e">
        <f>#REF!+";Hb!%@["</f>
        <v>#REF!</v>
      </c>
      <c r="FR71" t="e">
        <f>#REF!+";Hb!%@\"</f>
        <v>#REF!</v>
      </c>
      <c r="FS71" t="e">
        <f>#REF!+";Hb!%@]"</f>
        <v>#REF!</v>
      </c>
      <c r="FT71" t="e">
        <f>#REF!+";Hb!%@^"</f>
        <v>#REF!</v>
      </c>
      <c r="FU71" t="e">
        <f>#REF!+";Hb!%@_"</f>
        <v>#REF!</v>
      </c>
      <c r="FV71" t="e">
        <f>#REF!+";Hb!%@`"</f>
        <v>#REF!</v>
      </c>
      <c r="FW71" t="e">
        <f>#REF!+";Hb!%@a"</f>
        <v>#REF!</v>
      </c>
      <c r="FX71" t="e">
        <f>#REF!+";Hb!%@b"</f>
        <v>#REF!</v>
      </c>
      <c r="FY71" t="e">
        <f>#REF!+";Hb!%@c"</f>
        <v>#REF!</v>
      </c>
      <c r="FZ71" t="e">
        <f>#REF!+";Hb!%@d"</f>
        <v>#REF!</v>
      </c>
      <c r="GA71" t="e">
        <f>#REF!+";Hb!%@e"</f>
        <v>#REF!</v>
      </c>
      <c r="GB71" t="e">
        <f>#REF!+";Hb!%@f"</f>
        <v>#REF!</v>
      </c>
      <c r="GC71" t="e">
        <f>#REF!+";Hb!%@g"</f>
        <v>#REF!</v>
      </c>
      <c r="GD71" t="e">
        <f>#REF!+";Hb!%@h"</f>
        <v>#REF!</v>
      </c>
      <c r="GE71" t="e">
        <f>#REF!+";Hb!%@i"</f>
        <v>#REF!</v>
      </c>
      <c r="GF71" t="e">
        <f>#REF!+";Hb!%@j"</f>
        <v>#REF!</v>
      </c>
      <c r="GG71" t="e">
        <f>#REF!+";Hb!%@k"</f>
        <v>#REF!</v>
      </c>
      <c r="GH71" t="e">
        <f>#REF!+";Hb!%@l"</f>
        <v>#REF!</v>
      </c>
      <c r="GI71" t="e">
        <f>#REF!+";Hb!%@m"</f>
        <v>#REF!</v>
      </c>
      <c r="GJ71" t="e">
        <f>#REF!+";Hb!%@n"</f>
        <v>#REF!</v>
      </c>
      <c r="GK71" t="e">
        <f>#REF!+";Hb!%@o"</f>
        <v>#REF!</v>
      </c>
      <c r="GL71" t="e">
        <f>#REF!+";Hb!%@p"</f>
        <v>#REF!</v>
      </c>
      <c r="GM71" t="e">
        <f>#REF!+";Hb!%@q"</f>
        <v>#REF!</v>
      </c>
      <c r="GN71" t="e">
        <f>#REF!+";Hb!%@r"</f>
        <v>#REF!</v>
      </c>
      <c r="GO71" t="e">
        <f>#REF!+";Hb!%@s"</f>
        <v>#REF!</v>
      </c>
      <c r="GP71" t="e">
        <f>#REF!+";Hb!%@t"</f>
        <v>#REF!</v>
      </c>
      <c r="GQ71" t="e">
        <f>#REF!+";Hb!%@u"</f>
        <v>#REF!</v>
      </c>
      <c r="GR71" t="e">
        <f>#REF!+";Hb!%@v"</f>
        <v>#REF!</v>
      </c>
      <c r="GS71" t="e">
        <f>#REF!+";Hb!%@w"</f>
        <v>#REF!</v>
      </c>
      <c r="GT71" t="e">
        <f>#REF!+";Hb!%@x"</f>
        <v>#REF!</v>
      </c>
      <c r="GU71" t="e">
        <f>#REF!+";Hb!%@y"</f>
        <v>#REF!</v>
      </c>
      <c r="GV71" t="e">
        <f>#REF!+";Hb!%@z"</f>
        <v>#REF!</v>
      </c>
      <c r="GW71" t="e">
        <f>#REF!+";Hb!%@{"</f>
        <v>#REF!</v>
      </c>
      <c r="GX71" t="e">
        <f>#REF!+";Hb!%@|"</f>
        <v>#REF!</v>
      </c>
      <c r="GY71" t="e">
        <f>#REF!+";Hb!%@}"</f>
        <v>#REF!</v>
      </c>
      <c r="GZ71" t="e">
        <f>#REF!+";Hb!%@~"</f>
        <v>#REF!</v>
      </c>
      <c r="HA71" t="e">
        <f>#REF!+";Hb!%A#"</f>
        <v>#REF!</v>
      </c>
      <c r="HB71" t="e">
        <f>#REF!+";Hb!%A$"</f>
        <v>#REF!</v>
      </c>
      <c r="HC71" t="e">
        <f>#REF!+";Hb!%A%"</f>
        <v>#REF!</v>
      </c>
      <c r="HD71" t="e">
        <f>#REF!+";Hb!%A&amp;"</f>
        <v>#REF!</v>
      </c>
      <c r="HE71" t="e">
        <f>#REF!+";Hb!%A'"</f>
        <v>#REF!</v>
      </c>
      <c r="HF71" t="e">
        <f>#REF!+";Hb!%A("</f>
        <v>#REF!</v>
      </c>
      <c r="HG71" t="e">
        <f>#REF!+";Hb!%A)"</f>
        <v>#REF!</v>
      </c>
      <c r="HH71" t="e">
        <f>#REF!+";Hb!%A."</f>
        <v>#REF!</v>
      </c>
      <c r="HI71" t="e">
        <f>#REF!+";Hb!%A/"</f>
        <v>#REF!</v>
      </c>
      <c r="HJ71" t="e">
        <f>#REF!+";Hb!%A0"</f>
        <v>#REF!</v>
      </c>
      <c r="HK71" t="e">
        <f>#REF!+";Hb!%A1"</f>
        <v>#REF!</v>
      </c>
      <c r="HL71" t="e">
        <f>#REF!+";Hb!%A2"</f>
        <v>#REF!</v>
      </c>
      <c r="HM71" t="e">
        <f>#REF!+";Hb!%A3"</f>
        <v>#REF!</v>
      </c>
      <c r="HN71" t="e">
        <f>#REF!+";Hb!%A4"</f>
        <v>#REF!</v>
      </c>
      <c r="HO71" t="e">
        <f>#REF!+";Hb!%A5"</f>
        <v>#REF!</v>
      </c>
      <c r="HP71" t="e">
        <f>#REF!+";Hb!%A6"</f>
        <v>#REF!</v>
      </c>
      <c r="HQ71" t="e">
        <f>#REF!+";Hb!%A7"</f>
        <v>#REF!</v>
      </c>
      <c r="HR71" t="e">
        <f>#REF!+";Hb!%A8"</f>
        <v>#REF!</v>
      </c>
      <c r="HS71" t="e">
        <f>#REF!+";Hb!%A9"</f>
        <v>#REF!</v>
      </c>
      <c r="HT71" t="e">
        <f>#REF!+";Hb!%A:"</f>
        <v>#REF!</v>
      </c>
      <c r="HU71" t="e">
        <f>#REF!+";Hb!%A;"</f>
        <v>#REF!</v>
      </c>
      <c r="HV71" t="e">
        <f>#REF!+";Hb!%A&lt;"</f>
        <v>#REF!</v>
      </c>
      <c r="HW71" t="e">
        <f>#REF!+";Hb!%A="</f>
        <v>#REF!</v>
      </c>
      <c r="HX71" t="e">
        <f>#REF!+";Hb!%A&gt;"</f>
        <v>#REF!</v>
      </c>
      <c r="HY71" t="e">
        <f>#REF!+";Hb!%A?"</f>
        <v>#REF!</v>
      </c>
      <c r="HZ71" t="e">
        <f>#REF!+";Hb!%A@"</f>
        <v>#REF!</v>
      </c>
      <c r="IA71" t="e">
        <f>#REF!+";Hb!%AA"</f>
        <v>#REF!</v>
      </c>
      <c r="IB71" t="e">
        <f>#REF!+";Hb!%AB"</f>
        <v>#REF!</v>
      </c>
      <c r="IC71" t="e">
        <f>#REF!+";Hb!%AC"</f>
        <v>#REF!</v>
      </c>
      <c r="ID71" t="e">
        <f>#REF!+";Hb!%AD"</f>
        <v>#REF!</v>
      </c>
      <c r="IE71" t="e">
        <f>#REF!+";Hb!%AE"</f>
        <v>#REF!</v>
      </c>
      <c r="IF71" t="e">
        <f>#REF!+";Hb!%AF"</f>
        <v>#REF!</v>
      </c>
      <c r="IG71" t="e">
        <f>#REF!+";Hb!%AG"</f>
        <v>#REF!</v>
      </c>
      <c r="IH71" t="e">
        <f>#REF!+";Hb!%AH"</f>
        <v>#REF!</v>
      </c>
      <c r="II71" t="e">
        <f>#REF!+";Hb!%AI"</f>
        <v>#REF!</v>
      </c>
      <c r="IJ71" t="e">
        <f>#REF!+";Hb!%AJ"</f>
        <v>#REF!</v>
      </c>
      <c r="IK71" t="e">
        <f>#REF!+";Hb!%AK"</f>
        <v>#REF!</v>
      </c>
      <c r="IL71" t="e">
        <f>#REF!+";Hb!%AL"</f>
        <v>#REF!</v>
      </c>
      <c r="IM71" t="e">
        <f>#REF!+";Hb!%AM"</f>
        <v>#REF!</v>
      </c>
      <c r="IN71" t="e">
        <f>#REF!+";Hb!%AN"</f>
        <v>#REF!</v>
      </c>
      <c r="IO71" t="e">
        <f>#REF!+";Hb!%AO"</f>
        <v>#REF!</v>
      </c>
      <c r="IP71" t="e">
        <f>#REF!+";Hb!%AP"</f>
        <v>#REF!</v>
      </c>
      <c r="IQ71" t="e">
        <f>#REF!+";Hb!%AQ"</f>
        <v>#REF!</v>
      </c>
      <c r="IR71" t="e">
        <f>#REF!+";Hb!%AR"</f>
        <v>#REF!</v>
      </c>
      <c r="IS71" t="e">
        <f>#REF!+";Hb!%AS"</f>
        <v>#REF!</v>
      </c>
      <c r="IT71" t="e">
        <f>#REF!+";Hb!%AT"</f>
        <v>#REF!</v>
      </c>
      <c r="IU71" t="e">
        <f>#REF!+";Hb!%AU"</f>
        <v>#REF!</v>
      </c>
      <c r="IV71" t="e">
        <f>#REF!+";Hb!%AV"</f>
        <v>#REF!</v>
      </c>
    </row>
    <row r="72" spans="6:256" x14ac:dyDescent="0.25">
      <c r="F72" t="e">
        <f>#REF!+";Hb!%AW"</f>
        <v>#REF!</v>
      </c>
      <c r="G72" t="e">
        <f>#REF!+";Hb!%AX"</f>
        <v>#REF!</v>
      </c>
      <c r="H72" t="e">
        <f>#REF!+";Hb!%AY"</f>
        <v>#REF!</v>
      </c>
      <c r="I72" t="e">
        <f>#REF!+";Hb!%AZ"</f>
        <v>#REF!</v>
      </c>
      <c r="J72" t="e">
        <f>#REF!+";Hb!%A["</f>
        <v>#REF!</v>
      </c>
      <c r="K72" t="e">
        <f>#REF!+";Hb!%A\"</f>
        <v>#REF!</v>
      </c>
      <c r="L72" t="e">
        <f>#REF!+";Hb!%A]"</f>
        <v>#REF!</v>
      </c>
      <c r="M72" t="e">
        <f>#REF!+";Hb!%A^"</f>
        <v>#REF!</v>
      </c>
      <c r="N72" t="e">
        <f>#REF!+";Hb!%A_"</f>
        <v>#REF!</v>
      </c>
      <c r="O72" t="e">
        <f>#REF!+";Hb!%A`"</f>
        <v>#REF!</v>
      </c>
      <c r="P72" t="e">
        <f>#REF!+";Hb!%Aa"</f>
        <v>#REF!</v>
      </c>
      <c r="Q72" t="e">
        <f>#REF!+";Hb!%Ab"</f>
        <v>#REF!</v>
      </c>
      <c r="R72" t="e">
        <f>#REF!+";Hb!%Ac"</f>
        <v>#REF!</v>
      </c>
      <c r="S72" t="e">
        <f>#REF!+";Hb!%Ad"</f>
        <v>#REF!</v>
      </c>
      <c r="T72" t="e">
        <f>#REF!+";Hb!%Ae"</f>
        <v>#REF!</v>
      </c>
      <c r="U72" t="e">
        <f>#REF!+";Hb!%Af"</f>
        <v>#REF!</v>
      </c>
      <c r="V72" t="e">
        <f>#REF!+";Hb!%Ag"</f>
        <v>#REF!</v>
      </c>
      <c r="W72" t="e">
        <f>#REF!+";Hb!%Ah"</f>
        <v>#REF!</v>
      </c>
      <c r="X72" t="e">
        <f>#REF!+";Hb!%Ai"</f>
        <v>#REF!</v>
      </c>
      <c r="Y72" t="e">
        <f>#REF!+";Hb!%Aj"</f>
        <v>#REF!</v>
      </c>
      <c r="Z72" t="e">
        <f>#REF!+";Hb!%Ak"</f>
        <v>#REF!</v>
      </c>
      <c r="AA72" t="e">
        <f>#REF!+";Hb!%Al"</f>
        <v>#REF!</v>
      </c>
      <c r="AB72" t="e">
        <f>#REF!+";Hb!%Am"</f>
        <v>#REF!</v>
      </c>
      <c r="AC72" t="e">
        <f>#REF!+";Hb!%An"</f>
        <v>#REF!</v>
      </c>
      <c r="AD72" t="e">
        <f>#REF!+";Hb!%Ao"</f>
        <v>#REF!</v>
      </c>
      <c r="AE72" t="e">
        <f>#REF!+";Hb!%Ap"</f>
        <v>#REF!</v>
      </c>
      <c r="AF72" t="e">
        <f>#REF!+";Hb!%Aq"</f>
        <v>#REF!</v>
      </c>
      <c r="AG72" t="e">
        <f>#REF!+";Hb!%Ar"</f>
        <v>#REF!</v>
      </c>
      <c r="AH72" t="e">
        <f>#REF!+";Hb!%As"</f>
        <v>#REF!</v>
      </c>
      <c r="AI72" t="e">
        <f>#REF!+";Hb!%At"</f>
        <v>#REF!</v>
      </c>
      <c r="AJ72" t="e">
        <f>#REF!+";Hb!%Au"</f>
        <v>#REF!</v>
      </c>
      <c r="AK72" t="e">
        <f>#REF!+";Hb!%Av"</f>
        <v>#REF!</v>
      </c>
      <c r="AL72" t="e">
        <f>#REF!+";Hb!%Aw"</f>
        <v>#REF!</v>
      </c>
      <c r="AM72" t="e">
        <f>#REF!+";Hb!%Ax"</f>
        <v>#REF!</v>
      </c>
      <c r="AN72" t="e">
        <f>#REF!+";Hb!%Ay"</f>
        <v>#REF!</v>
      </c>
      <c r="AO72" t="e">
        <f>#REF!+";Hb!%Az"</f>
        <v>#REF!</v>
      </c>
      <c r="AP72" t="e">
        <f>#REF!+";Hb!%A{"</f>
        <v>#REF!</v>
      </c>
      <c r="AQ72" t="e">
        <f>#REF!+";Hb!%A|"</f>
        <v>#REF!</v>
      </c>
      <c r="AR72" t="e">
        <f>#REF!+";Hb!%A}"</f>
        <v>#REF!</v>
      </c>
      <c r="AS72" t="e">
        <f>#REF!+";Hb!%A~"</f>
        <v>#REF!</v>
      </c>
      <c r="AT72" t="e">
        <f>#REF!+";Hb!%B#"</f>
        <v>#REF!</v>
      </c>
      <c r="AU72" t="e">
        <f>#REF!+";Hb!%B$"</f>
        <v>#REF!</v>
      </c>
      <c r="AV72" t="e">
        <f>#REF!+";Hb!%B%"</f>
        <v>#REF!</v>
      </c>
      <c r="AW72" t="e">
        <f>#REF!+";Hb!%B&amp;"</f>
        <v>#REF!</v>
      </c>
      <c r="AX72" t="e">
        <f>#REF!+";Hb!%B'"</f>
        <v>#REF!</v>
      </c>
      <c r="AY72" t="e">
        <f>#REF!+";Hb!%B("</f>
        <v>#REF!</v>
      </c>
      <c r="AZ72" t="e">
        <f>#REF!+";Hb!%B)"</f>
        <v>#REF!</v>
      </c>
      <c r="BA72" t="e">
        <f>#REF!+";Hb!%B."</f>
        <v>#REF!</v>
      </c>
      <c r="BB72" t="e">
        <f>#REF!+";Hb!%B/"</f>
        <v>#REF!</v>
      </c>
      <c r="BC72" t="e">
        <f>#REF!+";Hb!%B0"</f>
        <v>#REF!</v>
      </c>
      <c r="BD72" t="e">
        <f>#REF!+";Hb!%B1"</f>
        <v>#REF!</v>
      </c>
      <c r="BE72" t="e">
        <f>#REF!+";Hb!%B2"</f>
        <v>#REF!</v>
      </c>
      <c r="BF72" t="e">
        <f>#REF!+";Hb!%B3"</f>
        <v>#REF!</v>
      </c>
      <c r="BG72" t="e">
        <f>#REF!+";Hb!%B4"</f>
        <v>#REF!</v>
      </c>
      <c r="BH72" t="e">
        <f>#REF!+";Hb!%B5"</f>
        <v>#REF!</v>
      </c>
      <c r="BI72" t="e">
        <f>#REF!+";Hb!%B6"</f>
        <v>#REF!</v>
      </c>
      <c r="BJ72" t="e">
        <f>#REF!+";Hb!%B7"</f>
        <v>#REF!</v>
      </c>
      <c r="BK72" t="e">
        <f>#REF!+";Hb!%B8"</f>
        <v>#REF!</v>
      </c>
      <c r="BL72" t="e">
        <f>#REF!+";Hb!%B9"</f>
        <v>#REF!</v>
      </c>
      <c r="BM72" t="e">
        <f>#REF!+";Hb!%B:"</f>
        <v>#REF!</v>
      </c>
      <c r="BN72" t="e">
        <f>#REF!+";Hb!%B;"</f>
        <v>#REF!</v>
      </c>
      <c r="BO72" t="e">
        <f>#REF!+";Hb!%B&lt;"</f>
        <v>#REF!</v>
      </c>
      <c r="BP72" t="e">
        <f>#REF!+";Hb!%B="</f>
        <v>#REF!</v>
      </c>
      <c r="BQ72" t="e">
        <f>#REF!+";Hb!%B&gt;"</f>
        <v>#REF!</v>
      </c>
      <c r="BR72" t="e">
        <f>#REF!+";Hb!%B?"</f>
        <v>#REF!</v>
      </c>
      <c r="BS72" t="e">
        <f>#REF!+";Hb!%B@"</f>
        <v>#REF!</v>
      </c>
      <c r="BT72" t="e">
        <f>#REF!+";Hb!%BA"</f>
        <v>#REF!</v>
      </c>
      <c r="BU72" t="e">
        <f>#REF!+";Hb!%BB"</f>
        <v>#REF!</v>
      </c>
      <c r="BV72" t="e">
        <f>#REF!+";Hb!%BC"</f>
        <v>#REF!</v>
      </c>
      <c r="BW72" t="e">
        <f>#REF!+";Hb!%BD"</f>
        <v>#REF!</v>
      </c>
      <c r="BX72" t="e">
        <f>#REF!+";Hb!%BE"</f>
        <v>#REF!</v>
      </c>
      <c r="BY72" t="e">
        <f>#REF!+";Hb!%BF"</f>
        <v>#REF!</v>
      </c>
      <c r="BZ72" t="e">
        <f>#REF!+";Hb!%BG"</f>
        <v>#REF!</v>
      </c>
      <c r="CA72" t="e">
        <f>#REF!+";Hb!%BH"</f>
        <v>#REF!</v>
      </c>
      <c r="CB72" t="e">
        <f>#REF!+";Hb!%BI"</f>
        <v>#REF!</v>
      </c>
      <c r="CC72" t="e">
        <f>#REF!+";Hb!%BJ"</f>
        <v>#REF!</v>
      </c>
      <c r="CD72" t="e">
        <f>#REF!+";Hb!%BK"</f>
        <v>#REF!</v>
      </c>
      <c r="CE72" t="e">
        <f>#REF!+";Hb!%BL"</f>
        <v>#REF!</v>
      </c>
      <c r="CF72" t="e">
        <f>#REF!+";Hb!%BM"</f>
        <v>#REF!</v>
      </c>
      <c r="CG72" t="e">
        <f>#REF!+";Hb!%BN"</f>
        <v>#REF!</v>
      </c>
      <c r="CH72" t="e">
        <f>#REF!+";Hb!%BO"</f>
        <v>#REF!</v>
      </c>
      <c r="CI72" t="e">
        <f>#REF!+";Hb!%BP"</f>
        <v>#REF!</v>
      </c>
      <c r="CJ72" t="e">
        <f>#REF!+";Hb!%BQ"</f>
        <v>#REF!</v>
      </c>
      <c r="CK72" t="e">
        <f>#REF!+";Hb!%BR"</f>
        <v>#REF!</v>
      </c>
      <c r="CL72" t="e">
        <f>#REF!+";Hb!%BS"</f>
        <v>#REF!</v>
      </c>
      <c r="CM72" t="e">
        <f>#REF!+";Hb!%BT"</f>
        <v>#REF!</v>
      </c>
      <c r="CN72" t="e">
        <f>#REF!+";Hb!%BU"</f>
        <v>#REF!</v>
      </c>
      <c r="CO72" t="e">
        <f>#REF!+";Hb!%BV"</f>
        <v>#REF!</v>
      </c>
      <c r="CP72" t="e">
        <f>#REF!+";Hb!%BW"</f>
        <v>#REF!</v>
      </c>
      <c r="CQ72" t="e">
        <f>#REF!+";Hb!%BX"</f>
        <v>#REF!</v>
      </c>
      <c r="CR72" t="e">
        <f>#REF!+";Hb!%BY"</f>
        <v>#REF!</v>
      </c>
      <c r="CS72" t="e">
        <f>#REF!+";Hb!%BZ"</f>
        <v>#REF!</v>
      </c>
      <c r="CT72" t="e">
        <f>#REF!+";Hb!%B["</f>
        <v>#REF!</v>
      </c>
      <c r="CU72" t="e">
        <f>#REF!+";Hb!%B\"</f>
        <v>#REF!</v>
      </c>
      <c r="CV72" t="e">
        <f>#REF!+";Hb!%B]"</f>
        <v>#REF!</v>
      </c>
      <c r="CW72" t="e">
        <f>#REF!+";Hb!%B^"</f>
        <v>#REF!</v>
      </c>
      <c r="CX72" t="e">
        <f>#REF!+";Hb!%B_"</f>
        <v>#REF!</v>
      </c>
      <c r="CY72" t="e">
        <f>#REF!+";Hb!%B`"</f>
        <v>#REF!</v>
      </c>
      <c r="CZ72" t="e">
        <f>#REF!+";Hb!%Ba"</f>
        <v>#REF!</v>
      </c>
      <c r="DA72" t="e">
        <f>#REF!+";Hb!%Bb"</f>
        <v>#REF!</v>
      </c>
      <c r="DB72" t="e">
        <f>#REF!+";Hb!%Bc"</f>
        <v>#REF!</v>
      </c>
      <c r="DC72" t="e">
        <f>#REF!+";Hb!%Bd"</f>
        <v>#REF!</v>
      </c>
      <c r="DD72" t="e">
        <f>#REF!+";Hb!%Be"</f>
        <v>#REF!</v>
      </c>
      <c r="DE72" t="e">
        <f>#REF!+";Hb!%Bf"</f>
        <v>#REF!</v>
      </c>
      <c r="DF72" t="e">
        <f>#REF!+";Hb!%Bg"</f>
        <v>#REF!</v>
      </c>
      <c r="DG72" t="e">
        <f>#REF!+";Hb!%Bh"</f>
        <v>#REF!</v>
      </c>
      <c r="DH72" t="e">
        <f>#REF!+";Hb!%Bi"</f>
        <v>#REF!</v>
      </c>
      <c r="DI72" t="e">
        <f>#REF!+";Hb!%Bj"</f>
        <v>#REF!</v>
      </c>
      <c r="DJ72" t="e">
        <f>#REF!+";Hb!%Bk"</f>
        <v>#REF!</v>
      </c>
      <c r="DK72" t="e">
        <f>#REF!+";Hb!%Bl"</f>
        <v>#REF!</v>
      </c>
      <c r="DL72" t="e">
        <f>#REF!+";Hb!%Bm"</f>
        <v>#REF!</v>
      </c>
      <c r="DM72" t="e">
        <f>#REF!+";Hb!%Bn"</f>
        <v>#REF!</v>
      </c>
      <c r="DN72" t="e">
        <f>#REF!+";Hb!%Bo"</f>
        <v>#REF!</v>
      </c>
      <c r="DO72" t="e">
        <f>#REF!+";Hb!%Bp"</f>
        <v>#REF!</v>
      </c>
      <c r="DP72" t="e">
        <f>#REF!+";Hb!%Bq"</f>
        <v>#REF!</v>
      </c>
      <c r="DQ72" t="e">
        <f>#REF!+";Hb!%Br"</f>
        <v>#REF!</v>
      </c>
      <c r="DR72" t="e">
        <f>#REF!+";Hb!%Bs"</f>
        <v>#REF!</v>
      </c>
      <c r="DS72" t="e">
        <f>#REF!+";Hb!%Bt"</f>
        <v>#REF!</v>
      </c>
      <c r="DT72" t="e">
        <f>#REF!+";Hb!%Bu"</f>
        <v>#REF!</v>
      </c>
      <c r="DU72" t="e">
        <f>#REF!+";Hb!%Bv"</f>
        <v>#REF!</v>
      </c>
      <c r="DV72" t="e">
        <f>#REF!+";Hb!%Bw"</f>
        <v>#REF!</v>
      </c>
      <c r="DW72" t="e">
        <f>#REF!+";Hb!%Bx"</f>
        <v>#REF!</v>
      </c>
      <c r="DX72" t="e">
        <f>#REF!+";Hb!%By"</f>
        <v>#REF!</v>
      </c>
      <c r="DY72" t="e">
        <f>#REF!+";Hb!%Bz"</f>
        <v>#REF!</v>
      </c>
      <c r="DZ72" t="e">
        <f>#REF!+";Hb!%B{"</f>
        <v>#REF!</v>
      </c>
      <c r="EA72" t="e">
        <f>#REF!+";Hb!%B|"</f>
        <v>#REF!</v>
      </c>
      <c r="EB72" t="e">
        <f>#REF!+";Hb!%B}"</f>
        <v>#REF!</v>
      </c>
      <c r="EC72" t="e">
        <f>#REF!+";Hb!%B~"</f>
        <v>#REF!</v>
      </c>
      <c r="ED72" t="e">
        <f>#REF!+";Hb!%C#"</f>
        <v>#REF!</v>
      </c>
      <c r="EE72" t="e">
        <f>#REF!+";Hb!%C$"</f>
        <v>#REF!</v>
      </c>
      <c r="EF72" t="e">
        <f>#REF!+";Hb!%C%"</f>
        <v>#REF!</v>
      </c>
      <c r="EG72" t="e">
        <f>#REF!+";Hb!%C&amp;"</f>
        <v>#REF!</v>
      </c>
      <c r="EH72" t="e">
        <f>#REF!+";Hb!%C'"</f>
        <v>#REF!</v>
      </c>
      <c r="EI72" t="e">
        <f>#REF!+";Hb!%C("</f>
        <v>#REF!</v>
      </c>
      <c r="EJ72" t="e">
        <f>#REF!+";Hb!%C)"</f>
        <v>#REF!</v>
      </c>
      <c r="EK72" t="e">
        <f>#REF!+";Hb!%C."</f>
        <v>#REF!</v>
      </c>
      <c r="EL72" t="e">
        <f>#REF!+";Hb!%C/"</f>
        <v>#REF!</v>
      </c>
      <c r="EM72" t="e">
        <f>#REF!+";Hb!%C0"</f>
        <v>#REF!</v>
      </c>
      <c r="EN72" t="e">
        <f>#REF!+";Hb!%C1"</f>
        <v>#REF!</v>
      </c>
      <c r="EO72" t="e">
        <f>#REF!+";Hb!%C2"</f>
        <v>#REF!</v>
      </c>
      <c r="EP72" t="e">
        <f>#REF!+";Hb!%C3"</f>
        <v>#REF!</v>
      </c>
      <c r="EQ72" t="e">
        <f>#REF!+";Hb!%C4"</f>
        <v>#REF!</v>
      </c>
      <c r="ER72" t="e">
        <f>#REF!+";Hb!%C5"</f>
        <v>#REF!</v>
      </c>
      <c r="ES72" t="e">
        <f>#REF!+";Hb!%C6"</f>
        <v>#REF!</v>
      </c>
      <c r="ET72" t="e">
        <f>#REF!+";Hb!%C7"</f>
        <v>#REF!</v>
      </c>
      <c r="EU72" t="e">
        <f>#REF!+";Hb!%C8"</f>
        <v>#REF!</v>
      </c>
      <c r="EV72" t="e">
        <f>#REF!+";Hb!%C9"</f>
        <v>#REF!</v>
      </c>
      <c r="EW72" t="e">
        <f>#REF!+";Hb!%C:"</f>
        <v>#REF!</v>
      </c>
      <c r="EX72" t="e">
        <f>#REF!+";Hb!%C;"</f>
        <v>#REF!</v>
      </c>
      <c r="EY72" t="e">
        <f>#REF!+";Hb!%C&lt;"</f>
        <v>#REF!</v>
      </c>
      <c r="EZ72" t="e">
        <f>#REF!+";Hb!%C="</f>
        <v>#REF!</v>
      </c>
      <c r="FA72" t="e">
        <f>#REF!+";Hb!%C&gt;"</f>
        <v>#REF!</v>
      </c>
      <c r="FB72" t="e">
        <f>#REF!+";Hb!%C?"</f>
        <v>#REF!</v>
      </c>
      <c r="FC72" t="e">
        <f>#REF!+";Hb!%C@"</f>
        <v>#REF!</v>
      </c>
      <c r="FD72" t="e">
        <f>#REF!+";Hb!%CA"</f>
        <v>#REF!</v>
      </c>
      <c r="FE72" t="e">
        <f>#REF!+";Hb!%CB"</f>
        <v>#REF!</v>
      </c>
      <c r="FF72" t="e">
        <f>#REF!+";Hb!%CC"</f>
        <v>#REF!</v>
      </c>
      <c r="FG72" t="e">
        <f>#REF!+";Hb!%CD"</f>
        <v>#REF!</v>
      </c>
      <c r="FH72" t="e">
        <f>#REF!+";Hb!%CE"</f>
        <v>#REF!</v>
      </c>
      <c r="FI72" t="e">
        <f>#REF!+";Hb!%CF"</f>
        <v>#REF!</v>
      </c>
      <c r="FJ72" t="e">
        <f>#REF!+";Hb!%CG"</f>
        <v>#REF!</v>
      </c>
      <c r="FK72" t="e">
        <f>#REF!+";Hb!%CH"</f>
        <v>#REF!</v>
      </c>
      <c r="FL72" t="e">
        <f>#REF!+";Hb!%CI"</f>
        <v>#REF!</v>
      </c>
      <c r="FM72" t="e">
        <f>#REF!+";Hb!%CJ"</f>
        <v>#REF!</v>
      </c>
      <c r="FN72" t="e">
        <f>#REF!+";Hb!%CK"</f>
        <v>#REF!</v>
      </c>
      <c r="FO72" t="e">
        <f>#REF!+";Hb!%CL"</f>
        <v>#REF!</v>
      </c>
      <c r="FP72" t="e">
        <f>#REF!+";Hb!%CM"</f>
        <v>#REF!</v>
      </c>
      <c r="FQ72" t="e">
        <f>#REF!+";Hb!%CN"</f>
        <v>#REF!</v>
      </c>
      <c r="FR72" t="e">
        <f>#REF!+";Hb!%CO"</f>
        <v>#REF!</v>
      </c>
      <c r="FS72" t="e">
        <f>#REF!+";Hb!%CP"</f>
        <v>#REF!</v>
      </c>
      <c r="FT72" t="e">
        <f>#REF!+";Hb!%CQ"</f>
        <v>#REF!</v>
      </c>
      <c r="FU72" t="e">
        <f>#REF!+";Hb!%CR"</f>
        <v>#REF!</v>
      </c>
      <c r="FV72" t="e">
        <f>#REF!+";Hb!%CS"</f>
        <v>#REF!</v>
      </c>
      <c r="FW72" t="e">
        <f>#REF!+";Hb!%CT"</f>
        <v>#REF!</v>
      </c>
      <c r="FX72" t="e">
        <f>#REF!+";Hb!%CU"</f>
        <v>#REF!</v>
      </c>
      <c r="FY72" t="e">
        <f>#REF!+";Hb!%CV"</f>
        <v>#REF!</v>
      </c>
      <c r="FZ72" t="e">
        <f>#REF!+";Hb!%CW"</f>
        <v>#REF!</v>
      </c>
      <c r="GA72" t="e">
        <f>#REF!+";Hb!%CX"</f>
        <v>#REF!</v>
      </c>
      <c r="GB72" t="e">
        <f>#REF!+";Hb!%CY"</f>
        <v>#REF!</v>
      </c>
      <c r="GC72" t="e">
        <f>#REF!+";Hb!%CZ"</f>
        <v>#REF!</v>
      </c>
      <c r="GD72" t="e">
        <f>#REF!+";Hb!%C["</f>
        <v>#REF!</v>
      </c>
      <c r="GE72" t="e">
        <f>#REF!+";Hb!%C\"</f>
        <v>#REF!</v>
      </c>
      <c r="GF72" t="e">
        <f>#REF!+";Hb!%C]"</f>
        <v>#REF!</v>
      </c>
      <c r="GG72" t="e">
        <f>#REF!+";Hb!%C^"</f>
        <v>#REF!</v>
      </c>
      <c r="GH72" t="e">
        <f>#REF!+";Hb!%C_"</f>
        <v>#REF!</v>
      </c>
      <c r="GI72" t="e">
        <f>#REF!+";Hb!%C`"</f>
        <v>#REF!</v>
      </c>
      <c r="GJ72" t="e">
        <f>#REF!+";Hb!%Ca"</f>
        <v>#REF!</v>
      </c>
      <c r="GK72" t="e">
        <f>#REF!+";Hb!%Cb"</f>
        <v>#REF!</v>
      </c>
      <c r="GL72" t="e">
        <f>#REF!+";Hb!%Cc"</f>
        <v>#REF!</v>
      </c>
      <c r="GM72" t="e">
        <f>#REF!+";Hb!%Cd"</f>
        <v>#REF!</v>
      </c>
      <c r="GN72" t="e">
        <f>#REF!+";Hb!%Ce"</f>
        <v>#REF!</v>
      </c>
      <c r="GO72" t="e">
        <f>#REF!+";Hb!%Cf"</f>
        <v>#REF!</v>
      </c>
      <c r="GP72" t="e">
        <f>#REF!+";Hb!%Cg"</f>
        <v>#REF!</v>
      </c>
      <c r="GQ72" t="e">
        <f>#REF!+";Hb!%Ch"</f>
        <v>#REF!</v>
      </c>
      <c r="GR72" t="e">
        <f>#REF!+";Hb!%Ci"</f>
        <v>#REF!</v>
      </c>
      <c r="GS72" t="e">
        <f>#REF!+";Hb!%Cj"</f>
        <v>#REF!</v>
      </c>
      <c r="GT72" t="e">
        <f>#REF!+";Hb!%Ck"</f>
        <v>#REF!</v>
      </c>
      <c r="GU72" t="e">
        <f>#REF!+";Hb!%Cl"</f>
        <v>#REF!</v>
      </c>
      <c r="GV72" t="e">
        <f>#REF!+";Hb!%Cm"</f>
        <v>#REF!</v>
      </c>
      <c r="GW72" t="e">
        <f>#REF!+";Hb!%Cn"</f>
        <v>#REF!</v>
      </c>
      <c r="GX72" t="e">
        <f>#REF!+";Hb!%Co"</f>
        <v>#REF!</v>
      </c>
      <c r="GY72" t="e">
        <f>#REF!+";Hb!%Cp"</f>
        <v>#REF!</v>
      </c>
      <c r="GZ72" t="e">
        <f>#REF!+";Hb!%Cq"</f>
        <v>#REF!</v>
      </c>
      <c r="HA72" t="e">
        <f>#REF!+";Hb!%Cr"</f>
        <v>#REF!</v>
      </c>
      <c r="HB72" t="e">
        <f>#REF!+";Hb!%Cs"</f>
        <v>#REF!</v>
      </c>
      <c r="HC72" t="e">
        <f>#REF!+";Hb!%Ct"</f>
        <v>#REF!</v>
      </c>
      <c r="HD72" t="e">
        <f>#REF!+";Hb!%Cu"</f>
        <v>#REF!</v>
      </c>
      <c r="HE72" t="e">
        <f>#REF!+";Hb!%Cv"</f>
        <v>#REF!</v>
      </c>
      <c r="HF72" t="e">
        <f>#REF!+";Hb!%Cw"</f>
        <v>#REF!</v>
      </c>
      <c r="HG72" t="e">
        <f>#REF!+";Hb!%Cx"</f>
        <v>#REF!</v>
      </c>
      <c r="HH72" t="e">
        <f>#REF!+";Hb!%Cy"</f>
        <v>#REF!</v>
      </c>
      <c r="HI72" t="e">
        <f>#REF!+";Hb!%Cz"</f>
        <v>#REF!</v>
      </c>
      <c r="HJ72" t="e">
        <f>#REF!+";Hb!%C{"</f>
        <v>#REF!</v>
      </c>
      <c r="HK72" t="e">
        <f>#REF!+";Hb!%C|"</f>
        <v>#REF!</v>
      </c>
      <c r="HL72" t="e">
        <f>#REF!+";Hb!%C}"</f>
        <v>#REF!</v>
      </c>
      <c r="HM72" t="e">
        <f>#REF!+";Hb!%C~"</f>
        <v>#REF!</v>
      </c>
      <c r="HN72" t="e">
        <f>#REF!+";Hb!%D#"</f>
        <v>#REF!</v>
      </c>
      <c r="HO72" t="e">
        <f>#REF!+";Hb!%D$"</f>
        <v>#REF!</v>
      </c>
      <c r="HP72" t="e">
        <f>#REF!+";Hb!%D%"</f>
        <v>#REF!</v>
      </c>
      <c r="HQ72" t="e">
        <f>#REF!+";Hb!%D&amp;"</f>
        <v>#REF!</v>
      </c>
      <c r="HR72" t="e">
        <f>#REF!+";Hb!%D'"</f>
        <v>#REF!</v>
      </c>
      <c r="HS72" t="e">
        <f>#REF!+";Hb!%D("</f>
        <v>#REF!</v>
      </c>
      <c r="HT72" t="e">
        <f>#REF!+";Hb!%D)"</f>
        <v>#REF!</v>
      </c>
      <c r="HU72" t="e">
        <f>#REF!+";Hb!%D."</f>
        <v>#REF!</v>
      </c>
      <c r="HV72" t="e">
        <f>#REF!+";Hb!%D/"</f>
        <v>#REF!</v>
      </c>
      <c r="HW72" t="e">
        <f>#REF!+";Hb!%D0"</f>
        <v>#REF!</v>
      </c>
      <c r="HX72" t="e">
        <f>#REF!+";Hb!%D1"</f>
        <v>#REF!</v>
      </c>
      <c r="HY72" t="e">
        <f>#REF!+";Hb!%D2"</f>
        <v>#REF!</v>
      </c>
      <c r="HZ72" t="e">
        <f>#REF!+";Hb!%D3"</f>
        <v>#REF!</v>
      </c>
      <c r="IA72" t="e">
        <f>#REF!+";Hb!%D4"</f>
        <v>#REF!</v>
      </c>
      <c r="IB72" t="e">
        <f>#REF!+";Hb!%D5"</f>
        <v>#REF!</v>
      </c>
      <c r="IC72" t="e">
        <f>#REF!+";Hb!%D6"</f>
        <v>#REF!</v>
      </c>
      <c r="ID72" t="e">
        <f>#REF!+";Hb!%D7"</f>
        <v>#REF!</v>
      </c>
      <c r="IE72" t="e">
        <f>#REF!+";Hb!%D8"</f>
        <v>#REF!</v>
      </c>
      <c r="IF72" t="e">
        <f>#REF!+";Hb!%D9"</f>
        <v>#REF!</v>
      </c>
      <c r="IG72" t="e">
        <f>#REF!+";Hb!%D:"</f>
        <v>#REF!</v>
      </c>
      <c r="IH72" t="e">
        <f>#REF!+";Hb!%D;"</f>
        <v>#REF!</v>
      </c>
      <c r="II72" t="e">
        <f>#REF!+";Hb!%D&lt;"</f>
        <v>#REF!</v>
      </c>
      <c r="IJ72" t="e">
        <f>#REF!+";Hb!%D="</f>
        <v>#REF!</v>
      </c>
      <c r="IK72" t="e">
        <f>#REF!+";Hb!%D&gt;"</f>
        <v>#REF!</v>
      </c>
      <c r="IL72" t="e">
        <f>#REF!+";Hb!%D?"</f>
        <v>#REF!</v>
      </c>
      <c r="IM72" t="e">
        <f>#REF!+";Hb!%D@"</f>
        <v>#REF!</v>
      </c>
      <c r="IN72" t="e">
        <f>#REF!+";Hb!%DA"</f>
        <v>#REF!</v>
      </c>
      <c r="IO72" t="e">
        <f>#REF!+";Hb!%DB"</f>
        <v>#REF!</v>
      </c>
      <c r="IP72" t="e">
        <f>#REF!+";Hb!%DC"</f>
        <v>#REF!</v>
      </c>
      <c r="IQ72" t="e">
        <f>#REF!+";Hb!%DD"</f>
        <v>#REF!</v>
      </c>
      <c r="IR72" t="e">
        <f>#REF!+";Hb!%DE"</f>
        <v>#REF!</v>
      </c>
      <c r="IS72" t="e">
        <f>#REF!+";Hb!%DF"</f>
        <v>#REF!</v>
      </c>
      <c r="IT72" t="e">
        <f>#REF!+";Hb!%DG"</f>
        <v>#REF!</v>
      </c>
      <c r="IU72" t="e">
        <f>#REF!+";Hb!%DH"</f>
        <v>#REF!</v>
      </c>
      <c r="IV72" t="e">
        <f>#REF!+";Hb!%DI"</f>
        <v>#REF!</v>
      </c>
    </row>
    <row r="73" spans="6:256" x14ac:dyDescent="0.25">
      <c r="F73" t="e">
        <f>#REF!+";Hb!%DJ"</f>
        <v>#REF!</v>
      </c>
      <c r="G73" t="e">
        <f>#REF!+";Hb!%DK"</f>
        <v>#REF!</v>
      </c>
      <c r="H73" t="e">
        <f>#REF!+";Hb!%DL"</f>
        <v>#REF!</v>
      </c>
      <c r="I73" t="e">
        <f>#REF!+";Hb!%DM"</f>
        <v>#REF!</v>
      </c>
      <c r="J73" t="e">
        <f>#REF!+";Hb!%DN"</f>
        <v>#REF!</v>
      </c>
      <c r="K73" t="e">
        <f>#REF!+";Hb!%DO"</f>
        <v>#REF!</v>
      </c>
      <c r="L73" t="e">
        <f>#REF!+";Hb!%DP"</f>
        <v>#REF!</v>
      </c>
      <c r="M73" t="e">
        <f>#REF!+";Hb!%DQ"</f>
        <v>#REF!</v>
      </c>
      <c r="N73" t="e">
        <f>#REF!+";Hb!%DR"</f>
        <v>#REF!</v>
      </c>
      <c r="O73" t="e">
        <f>#REF!+";Hb!%DS"</f>
        <v>#REF!</v>
      </c>
      <c r="P73" t="e">
        <f>#REF!+";Hb!%DT"</f>
        <v>#REF!</v>
      </c>
      <c r="Q73" t="e">
        <f>#REF!+";Hb!%DU"</f>
        <v>#REF!</v>
      </c>
      <c r="R73" t="e">
        <f>#REF!+";Hb!%DV"</f>
        <v>#REF!</v>
      </c>
      <c r="S73" t="e">
        <f>#REF!+";Hb!%DW"</f>
        <v>#REF!</v>
      </c>
      <c r="T73" t="e">
        <f>#REF!+";Hb!%DX"</f>
        <v>#REF!</v>
      </c>
      <c r="U73" t="e">
        <f>#REF!+";Hb!%DY"</f>
        <v>#REF!</v>
      </c>
      <c r="V73" t="e">
        <f>#REF!+";Hb!%DZ"</f>
        <v>#REF!</v>
      </c>
      <c r="W73" t="e">
        <f>#REF!+";Hb!%D["</f>
        <v>#REF!</v>
      </c>
      <c r="X73" t="e">
        <f>#REF!+";Hb!%D\"</f>
        <v>#REF!</v>
      </c>
      <c r="Y73" t="e">
        <f>#REF!+";Hb!%D]"</f>
        <v>#REF!</v>
      </c>
      <c r="Z73" t="e">
        <f>#REF!+";Hb!%D^"</f>
        <v>#REF!</v>
      </c>
      <c r="AA73" t="e">
        <f>#REF!+";Hb!%D_"</f>
        <v>#REF!</v>
      </c>
      <c r="AB73" t="e">
        <f>#REF!+";Hb!%D`"</f>
        <v>#REF!</v>
      </c>
      <c r="AC73" t="e">
        <f>#REF!+";Hb!%Da"</f>
        <v>#REF!</v>
      </c>
      <c r="AD73" t="e">
        <f>#REF!+";Hb!%Db"</f>
        <v>#REF!</v>
      </c>
      <c r="AE73" t="e">
        <f>#REF!+";Hb!%Dc"</f>
        <v>#REF!</v>
      </c>
      <c r="AF73" t="e">
        <f>#REF!+";Hb!%Dd"</f>
        <v>#REF!</v>
      </c>
      <c r="AG73" t="e">
        <f>#REF!+";Hb!%De"</f>
        <v>#REF!</v>
      </c>
      <c r="AH73" t="e">
        <f>#REF!+";Hb!%Df"</f>
        <v>#REF!</v>
      </c>
      <c r="AI73" t="e">
        <f>#REF!+";Hb!%Dg"</f>
        <v>#REF!</v>
      </c>
      <c r="AJ73" t="e">
        <f>#REF!+";Hb!%Dh"</f>
        <v>#REF!</v>
      </c>
      <c r="AK73" t="e">
        <f>#REF!+";Hb!%Di"</f>
        <v>#REF!</v>
      </c>
      <c r="AL73" t="e">
        <f>#REF!+";Hb!%Dj"</f>
        <v>#REF!</v>
      </c>
      <c r="AM73" t="e">
        <f>#REF!+";Hb!%Dk"</f>
        <v>#REF!</v>
      </c>
      <c r="AN73" t="e">
        <f>#REF!+";Hb!%Dl"</f>
        <v>#REF!</v>
      </c>
      <c r="AO73" t="e">
        <f>#REF!+";Hb!%Dm"</f>
        <v>#REF!</v>
      </c>
      <c r="AP73" t="e">
        <f>#REF!+";Hb!%Dn"</f>
        <v>#REF!</v>
      </c>
      <c r="AQ73" t="e">
        <f>#REF!+";Hb!%Do"</f>
        <v>#REF!</v>
      </c>
      <c r="AR73" t="e">
        <f>#REF!+";Hb!%Dp"</f>
        <v>#REF!</v>
      </c>
      <c r="AS73" t="e">
        <f>#REF!+";Hb!%Dq"</f>
        <v>#REF!</v>
      </c>
      <c r="AT73" t="e">
        <f>#REF!+";Hb!%Dr"</f>
        <v>#REF!</v>
      </c>
      <c r="AU73" t="e">
        <f>#REF!+";Hb!%Ds"</f>
        <v>#REF!</v>
      </c>
      <c r="AV73" t="e">
        <f>#REF!+";Hb!%Dt"</f>
        <v>#REF!</v>
      </c>
      <c r="AW73" t="e">
        <f>#REF!+";Hb!%Du"</f>
        <v>#REF!</v>
      </c>
      <c r="AX73" t="e">
        <f>#REF!+";Hb!%Dv"</f>
        <v>#REF!</v>
      </c>
      <c r="AY73" t="e">
        <f>#REF!+";Hb!%Dw"</f>
        <v>#REF!</v>
      </c>
      <c r="AZ73" t="e">
        <f>#REF!+";Hb!%Dx"</f>
        <v>#REF!</v>
      </c>
      <c r="BA73" t="e">
        <f>#REF!+";Hb!%Dy"</f>
        <v>#REF!</v>
      </c>
      <c r="BB73" t="e">
        <f>#REF!+";Hb!%Dz"</f>
        <v>#REF!</v>
      </c>
      <c r="BC73" t="e">
        <f>#REF!+";Hb!%D{"</f>
        <v>#REF!</v>
      </c>
      <c r="BD73" t="e">
        <f>#REF!+";Hb!%D|"</f>
        <v>#REF!</v>
      </c>
      <c r="BE73" t="e">
        <f>#REF!+";Hb!%D}"</f>
        <v>#REF!</v>
      </c>
      <c r="BF73" t="e">
        <f>#REF!+";Hb!%D~"</f>
        <v>#REF!</v>
      </c>
      <c r="BG73" t="e">
        <f>#REF!+";Hb!%E#"</f>
        <v>#REF!</v>
      </c>
      <c r="BH73" t="e">
        <f>#REF!+";Hb!%E$"</f>
        <v>#REF!</v>
      </c>
      <c r="BI73" t="e">
        <f>#REF!+";Hb!%E%"</f>
        <v>#REF!</v>
      </c>
      <c r="BJ73" t="e">
        <f>#REF!+";Hb!%E&amp;"</f>
        <v>#REF!</v>
      </c>
      <c r="BK73" t="e">
        <f>#REF!+";Hb!%E'"</f>
        <v>#REF!</v>
      </c>
      <c r="BL73" t="e">
        <f>#REF!+";Hb!%E("</f>
        <v>#REF!</v>
      </c>
      <c r="BM73" t="e">
        <f>#REF!+";Hb!%E)"</f>
        <v>#REF!</v>
      </c>
      <c r="BN73" t="e">
        <f>#REF!+";Hb!%E."</f>
        <v>#REF!</v>
      </c>
      <c r="BO73" t="e">
        <f>#REF!+";Hb!%E/"</f>
        <v>#REF!</v>
      </c>
      <c r="BP73" t="e">
        <f>#REF!+";Hb!%E0"</f>
        <v>#REF!</v>
      </c>
      <c r="BQ73" t="e">
        <f>#REF!+";Hb!%E1"</f>
        <v>#REF!</v>
      </c>
      <c r="BR73" t="e">
        <f>#REF!+";Hb!%E2"</f>
        <v>#REF!</v>
      </c>
      <c r="BS73" t="e">
        <f>#REF!+";Hb!%E3"</f>
        <v>#REF!</v>
      </c>
      <c r="BT73" t="e">
        <f>#REF!+";Hb!%E4"</f>
        <v>#REF!</v>
      </c>
      <c r="BU73" t="e">
        <f>#REF!+";Hb!%E5"</f>
        <v>#REF!</v>
      </c>
      <c r="BV73" t="e">
        <f>#REF!+";Hb!%E6"</f>
        <v>#REF!</v>
      </c>
      <c r="BW73" t="e">
        <f>#REF!+";Hb!%E7"</f>
        <v>#REF!</v>
      </c>
      <c r="BX73" t="e">
        <f>#REF!+";Hb!%E8"</f>
        <v>#REF!</v>
      </c>
      <c r="BY73" t="e">
        <f>#REF!+";Hb!%E9"</f>
        <v>#REF!</v>
      </c>
      <c r="BZ73" t="e">
        <f>#REF!+";Hb!%E:"</f>
        <v>#REF!</v>
      </c>
      <c r="CA73" t="e">
        <f>#REF!+";Hb!%E;"</f>
        <v>#REF!</v>
      </c>
      <c r="CB73" t="e">
        <f>#REF!+";Hb!%E&lt;"</f>
        <v>#REF!</v>
      </c>
      <c r="CC73" t="e">
        <f>#REF!+";Hb!%E="</f>
        <v>#REF!</v>
      </c>
      <c r="CD73" t="e">
        <f>#REF!+";Hb!%E&gt;"</f>
        <v>#REF!</v>
      </c>
      <c r="CE73" t="e">
        <f>#REF!+";Hb!%E?"</f>
        <v>#REF!</v>
      </c>
      <c r="CF73" t="e">
        <f>#REF!+";Hb!%E@"</f>
        <v>#REF!</v>
      </c>
      <c r="CG73" t="e">
        <f>#REF!+";Hb!%EA"</f>
        <v>#REF!</v>
      </c>
      <c r="CH73" t="e">
        <f>#REF!+";Hb!%EB"</f>
        <v>#REF!</v>
      </c>
      <c r="CI73" t="e">
        <f>#REF!+";Hb!%EC"</f>
        <v>#REF!</v>
      </c>
      <c r="CJ73" t="e">
        <f>#REF!+";Hb!%ED"</f>
        <v>#REF!</v>
      </c>
      <c r="CK73" t="e">
        <f>#REF!+";Hb!%EE"</f>
        <v>#REF!</v>
      </c>
      <c r="CL73" t="e">
        <f>#REF!+";Hb!%EF"</f>
        <v>#REF!</v>
      </c>
      <c r="CM73" t="e">
        <f>#REF!+";Hb!%EG"</f>
        <v>#REF!</v>
      </c>
      <c r="CN73" t="e">
        <f>#REF!+";Hb!%EH"</f>
        <v>#REF!</v>
      </c>
      <c r="CO73" t="e">
        <f>#REF!+";Hb!%EI"</f>
        <v>#REF!</v>
      </c>
      <c r="CP73" t="e">
        <f>#REF!+";Hb!%EJ"</f>
        <v>#REF!</v>
      </c>
      <c r="CQ73" t="e">
        <f>#REF!+";Hb!%EK"</f>
        <v>#REF!</v>
      </c>
      <c r="CR73" t="e">
        <f>#REF!+";Hb!%EL"</f>
        <v>#REF!</v>
      </c>
      <c r="CS73" t="e">
        <f>#REF!+";Hb!%EM"</f>
        <v>#REF!</v>
      </c>
      <c r="CT73" t="e">
        <f>#REF!+";Hb!%EN"</f>
        <v>#REF!</v>
      </c>
      <c r="CU73" t="e">
        <f>#REF!+";Hb!%EO"</f>
        <v>#REF!</v>
      </c>
      <c r="CV73" t="e">
        <f>#REF!+";Hb!%EP"</f>
        <v>#REF!</v>
      </c>
      <c r="CW73" t="e">
        <f>#REF!+";Hb!%EQ"</f>
        <v>#REF!</v>
      </c>
      <c r="CX73" t="e">
        <f>#REF!+";Hb!%ER"</f>
        <v>#REF!</v>
      </c>
      <c r="CY73" t="e">
        <f>#REF!+";Hb!%ES"</f>
        <v>#REF!</v>
      </c>
      <c r="CZ73" t="e">
        <f>#REF!+";Hb!%ET"</f>
        <v>#REF!</v>
      </c>
      <c r="DA73" t="e">
        <f>#REF!+";Hb!%EU"</f>
        <v>#REF!</v>
      </c>
      <c r="DB73" t="e">
        <f>#REF!+";Hb!%EV"</f>
        <v>#REF!</v>
      </c>
      <c r="DC73" t="e">
        <f>#REF!+";Hb!%EW"</f>
        <v>#REF!</v>
      </c>
      <c r="DD73" t="e">
        <f>#REF!+";Hb!%EX"</f>
        <v>#REF!</v>
      </c>
      <c r="DE73" t="e">
        <f>#REF!+";Hb!%EY"</f>
        <v>#REF!</v>
      </c>
      <c r="DF73" t="e">
        <f>#REF!+";Hb!%EZ"</f>
        <v>#REF!</v>
      </c>
      <c r="DG73" t="e">
        <f>#REF!+";Hb!%E["</f>
        <v>#REF!</v>
      </c>
      <c r="DH73" t="e">
        <f>#REF!+";Hb!%E\"</f>
        <v>#REF!</v>
      </c>
      <c r="DI73" t="e">
        <f>#REF!+";Hb!%E]"</f>
        <v>#REF!</v>
      </c>
      <c r="DJ73" t="e">
        <f>#REF!+";Hb!%E^"</f>
        <v>#REF!</v>
      </c>
      <c r="DK73" t="e">
        <f>#REF!+";Hb!%E_"</f>
        <v>#REF!</v>
      </c>
      <c r="DL73" t="e">
        <f>#REF!+";Hb!%E`"</f>
        <v>#REF!</v>
      </c>
      <c r="DM73" t="e">
        <f>#REF!+";Hb!%Ea"</f>
        <v>#REF!</v>
      </c>
      <c r="DN73" t="e">
        <f>#REF!+";Hb!%Eb"</f>
        <v>#REF!</v>
      </c>
      <c r="DO73" t="e">
        <f>#REF!+";Hb!%Ec"</f>
        <v>#REF!</v>
      </c>
      <c r="DP73" t="e">
        <f>#REF!+";Hb!%Ed"</f>
        <v>#REF!</v>
      </c>
      <c r="DQ73" t="e">
        <f>#REF!+";Hb!%Ee"</f>
        <v>#REF!</v>
      </c>
      <c r="DR73" t="e">
        <f>#REF!+";Hb!%Ef"</f>
        <v>#REF!</v>
      </c>
      <c r="DS73" t="e">
        <f>#REF!+";Hb!%Eg"</f>
        <v>#REF!</v>
      </c>
      <c r="DT73" t="e">
        <f>#REF!+";Hb!%Eh"</f>
        <v>#REF!</v>
      </c>
      <c r="DU73" t="e">
        <f>#REF!+";Hb!%Ei"</f>
        <v>#REF!</v>
      </c>
      <c r="DV73" t="e">
        <f>#REF!+";Hb!%Ej"</f>
        <v>#REF!</v>
      </c>
      <c r="DW73" t="e">
        <f>#REF!+";Hb!%Ek"</f>
        <v>#REF!</v>
      </c>
      <c r="DX73" t="e">
        <f>#REF!+";Hb!%El"</f>
        <v>#REF!</v>
      </c>
      <c r="DY73" t="e">
        <f>#REF!+";Hb!%Em"</f>
        <v>#REF!</v>
      </c>
      <c r="DZ73" t="e">
        <f>#REF!+";Hb!%En"</f>
        <v>#REF!</v>
      </c>
      <c r="EA73" t="e">
        <f>#REF!+";Hb!%Eo"</f>
        <v>#REF!</v>
      </c>
      <c r="EB73" t="e">
        <f>#REF!+";Hb!%Ep"</f>
        <v>#REF!</v>
      </c>
      <c r="EC73" t="e">
        <f>#REF!+";Hb!%Eq"</f>
        <v>#REF!</v>
      </c>
      <c r="ED73" t="e">
        <f>#REF!+";Hb!%Er"</f>
        <v>#REF!</v>
      </c>
      <c r="EE73" t="e">
        <f>#REF!+";Hb!%Es"</f>
        <v>#REF!</v>
      </c>
      <c r="EF73" t="e">
        <f>#REF!+";Hb!%Et"</f>
        <v>#REF!</v>
      </c>
      <c r="EG73" t="e">
        <f>#REF!+";Hb!%Eu"</f>
        <v>#REF!</v>
      </c>
      <c r="EH73" t="e">
        <f>#REF!+";Hb!%Ev"</f>
        <v>#REF!</v>
      </c>
      <c r="EI73" t="e">
        <f>#REF!+";Hb!%Ew"</f>
        <v>#REF!</v>
      </c>
      <c r="EJ73" t="e">
        <f>#REF!+";Hb!%Ex"</f>
        <v>#REF!</v>
      </c>
      <c r="EK73" t="e">
        <f>#REF!+";Hb!%Ey"</f>
        <v>#REF!</v>
      </c>
      <c r="EL73" t="e">
        <f>#REF!+";Hb!%Ez"</f>
        <v>#REF!</v>
      </c>
      <c r="EM73" t="e">
        <f>#REF!+";Hb!%E{"</f>
        <v>#REF!</v>
      </c>
      <c r="EN73" t="e">
        <f>#REF!+";Hb!%E|"</f>
        <v>#REF!</v>
      </c>
      <c r="EO73" t="e">
        <f>#REF!+";Hb!%E}"</f>
        <v>#REF!</v>
      </c>
      <c r="EP73" t="e">
        <f>#REF!+";Hb!%E~"</f>
        <v>#REF!</v>
      </c>
      <c r="EQ73" t="e">
        <f>#REF!+";Hb!%F#"</f>
        <v>#REF!</v>
      </c>
      <c r="ER73" t="e">
        <f>#REF!+";Hb!%F$"</f>
        <v>#REF!</v>
      </c>
      <c r="ES73" t="e">
        <f>#REF!+";Hb!%F%"</f>
        <v>#REF!</v>
      </c>
      <c r="ET73" t="e">
        <f>#REF!+";Hb!%F&amp;"</f>
        <v>#REF!</v>
      </c>
      <c r="EU73" t="e">
        <f>#REF!+";Hb!%F'"</f>
        <v>#REF!</v>
      </c>
      <c r="EV73" t="e">
        <f>#REF!+";Hb!%F("</f>
        <v>#REF!</v>
      </c>
      <c r="EW73" t="e">
        <f>#REF!+";Hb!%F)"</f>
        <v>#REF!</v>
      </c>
      <c r="EX73" t="e">
        <f>#REF!+";Hb!%F."</f>
        <v>#REF!</v>
      </c>
      <c r="EY73" t="e">
        <f>#REF!+";Hb!%F/"</f>
        <v>#REF!</v>
      </c>
      <c r="EZ73" t="e">
        <f>#REF!+";Hb!%F0"</f>
        <v>#REF!</v>
      </c>
      <c r="FA73" t="e">
        <f>#REF!+";Hb!%F1"</f>
        <v>#REF!</v>
      </c>
      <c r="FB73" t="e">
        <f>#REF!+";Hb!%F2"</f>
        <v>#REF!</v>
      </c>
      <c r="FC73" t="e">
        <f>#REF!+";Hb!%F3"</f>
        <v>#REF!</v>
      </c>
      <c r="FD73" t="e">
        <f>#REF!+";Hb!%F4"</f>
        <v>#REF!</v>
      </c>
      <c r="FE73" t="e">
        <f>#REF!+";Hb!%F5"</f>
        <v>#REF!</v>
      </c>
      <c r="FF73" t="e">
        <f>#REF!+";Hb!%F6"</f>
        <v>#REF!</v>
      </c>
      <c r="FG73" t="e">
        <f>#REF!+";Hb!%F7"</f>
        <v>#REF!</v>
      </c>
      <c r="FH73" t="e">
        <f>#REF!+";Hb!%F8"</f>
        <v>#REF!</v>
      </c>
      <c r="FI73" t="e">
        <f>#REF!+";Hb!%F9"</f>
        <v>#REF!</v>
      </c>
      <c r="FJ73" t="e">
        <f>#REF!+";Hb!%F:"</f>
        <v>#REF!</v>
      </c>
      <c r="FK73" t="e">
        <f>#REF!+";Hb!%F;"</f>
        <v>#REF!</v>
      </c>
      <c r="FL73" t="e">
        <f>#REF!+";Hb!%F&lt;"</f>
        <v>#REF!</v>
      </c>
      <c r="FM73" t="e">
        <f>#REF!+";Hb!%F="</f>
        <v>#REF!</v>
      </c>
      <c r="FN73" t="e">
        <f>#REF!+";Hb!%F&gt;"</f>
        <v>#REF!</v>
      </c>
      <c r="FO73" t="e">
        <f>#REF!+";Hb!%F?"</f>
        <v>#REF!</v>
      </c>
      <c r="FP73" t="e">
        <f>#REF!+";Hb!%F@"</f>
        <v>#REF!</v>
      </c>
      <c r="FQ73" t="e">
        <f>#REF!+";Hb!%FA"</f>
        <v>#REF!</v>
      </c>
      <c r="FR73" t="e">
        <f>#REF!+";Hb!%FB"</f>
        <v>#REF!</v>
      </c>
      <c r="FS73" t="e">
        <f>#REF!+";Hb!%FC"</f>
        <v>#REF!</v>
      </c>
      <c r="FT73" t="e">
        <f>#REF!+";Hb!%FD"</f>
        <v>#REF!</v>
      </c>
      <c r="FU73" t="e">
        <f>#REF!+";Hb!%FE"</f>
        <v>#REF!</v>
      </c>
      <c r="FV73" t="e">
        <f>#REF!+";Hb!%FF"</f>
        <v>#REF!</v>
      </c>
      <c r="FW73" t="e">
        <f>#REF!+";Hb!%FG"</f>
        <v>#REF!</v>
      </c>
      <c r="FX73" t="e">
        <f>#REF!+";Hb!%FH"</f>
        <v>#REF!</v>
      </c>
      <c r="FY73" t="e">
        <f>#REF!+";Hb!%FI"</f>
        <v>#REF!</v>
      </c>
      <c r="FZ73" t="e">
        <f>#REF!+";Hb!%FJ"</f>
        <v>#REF!</v>
      </c>
      <c r="GA73" t="e">
        <f>#REF!+";Hb!%FK"</f>
        <v>#REF!</v>
      </c>
      <c r="GB73" t="e">
        <f>#REF!+";Hb!%FL"</f>
        <v>#REF!</v>
      </c>
      <c r="GC73" t="e">
        <f>#REF!+";Hb!%FM"</f>
        <v>#REF!</v>
      </c>
      <c r="GD73" t="e">
        <f>#REF!+";Hb!%FN"</f>
        <v>#REF!</v>
      </c>
      <c r="GE73" t="e">
        <f>#REF!+";Hb!%FO"</f>
        <v>#REF!</v>
      </c>
      <c r="GF73" t="e">
        <f>#REF!+";Hb!%FP"</f>
        <v>#REF!</v>
      </c>
      <c r="GG73" t="e">
        <f>#REF!+";Hb!%FQ"</f>
        <v>#REF!</v>
      </c>
      <c r="GH73" t="e">
        <f>#REF!+";Hb!%FR"</f>
        <v>#REF!</v>
      </c>
      <c r="GI73" t="e">
        <f>#REF!+";Hb!%FS"</f>
        <v>#REF!</v>
      </c>
      <c r="GJ73" t="e">
        <f>#REF!+";Hb!%FT"</f>
        <v>#REF!</v>
      </c>
      <c r="GK73" t="e">
        <f>#REF!+";Hb!%FU"</f>
        <v>#REF!</v>
      </c>
      <c r="GL73" t="e">
        <f>#REF!+";Hb!%FV"</f>
        <v>#REF!</v>
      </c>
      <c r="GM73" t="e">
        <f>#REF!+";Hb!%FW"</f>
        <v>#REF!</v>
      </c>
      <c r="GN73" t="e">
        <f>#REF!+";Hb!%FX"</f>
        <v>#REF!</v>
      </c>
      <c r="GO73" t="e">
        <f>#REF!+";Hb!%FY"</f>
        <v>#REF!</v>
      </c>
      <c r="GP73" t="e">
        <f>#REF!+";Hb!%FZ"</f>
        <v>#REF!</v>
      </c>
      <c r="GQ73" t="e">
        <f>#REF!+";Hb!%F["</f>
        <v>#REF!</v>
      </c>
      <c r="GR73" t="e">
        <f>#REF!+";Hb!%F\"</f>
        <v>#REF!</v>
      </c>
      <c r="GS73" t="e">
        <f>#REF!+";Hb!%F]"</f>
        <v>#REF!</v>
      </c>
      <c r="GT73" t="e">
        <f>#REF!+";Hb!%F^"</f>
        <v>#REF!</v>
      </c>
      <c r="GU73" t="e">
        <f>#REF!+";Hb!%F_"</f>
        <v>#REF!</v>
      </c>
      <c r="GV73" t="e">
        <f>#REF!+";Hb!%F`"</f>
        <v>#REF!</v>
      </c>
      <c r="GW73" t="e">
        <f>#REF!+";Hb!%Fa"</f>
        <v>#REF!</v>
      </c>
      <c r="GX73" t="e">
        <f>#REF!+";Hb!%Fb"</f>
        <v>#REF!</v>
      </c>
      <c r="GY73" t="e">
        <f>#REF!+";Hb!%Fc"</f>
        <v>#REF!</v>
      </c>
      <c r="GZ73" t="e">
        <f>#REF!+";Hb!%Fd"</f>
        <v>#REF!</v>
      </c>
      <c r="HA73" t="e">
        <f>#REF!+";Hb!%Fe"</f>
        <v>#REF!</v>
      </c>
      <c r="HB73" t="e">
        <f>#REF!+";Hb!%Ff"</f>
        <v>#REF!</v>
      </c>
      <c r="HC73" t="e">
        <f>#REF!+";Hb!%Fg"</f>
        <v>#REF!</v>
      </c>
      <c r="HD73" t="e">
        <f>#REF!+";Hb!%Fh"</f>
        <v>#REF!</v>
      </c>
      <c r="HE73" t="e">
        <f>#REF!+";Hb!%Fi"</f>
        <v>#REF!</v>
      </c>
      <c r="HF73" t="e">
        <f>#REF!+";Hb!%Fj"</f>
        <v>#REF!</v>
      </c>
      <c r="HG73" t="e">
        <f>#REF!+";Hb!%Fk"</f>
        <v>#REF!</v>
      </c>
      <c r="HH73" t="e">
        <f>#REF!+";Hb!%Fl"</f>
        <v>#REF!</v>
      </c>
      <c r="HI73" t="e">
        <f>#REF!+";Hb!%Fm"</f>
        <v>#REF!</v>
      </c>
      <c r="HJ73" t="e">
        <f>#REF!+";Hb!%Fn"</f>
        <v>#REF!</v>
      </c>
      <c r="HK73" t="e">
        <f>#REF!+";Hb!%Fo"</f>
        <v>#REF!</v>
      </c>
      <c r="HL73" t="e">
        <f>#REF!+";Hb!%Fp"</f>
        <v>#REF!</v>
      </c>
      <c r="HM73" t="e">
        <f>#REF!+";Hb!%Fq"</f>
        <v>#REF!</v>
      </c>
      <c r="HN73" t="e">
        <f>#REF!+";Hb!%Fr"</f>
        <v>#REF!</v>
      </c>
      <c r="HO73" t="e">
        <f>#REF!+";Hb!%Fs"</f>
        <v>#REF!</v>
      </c>
      <c r="HP73" t="e">
        <f>#REF!+";Hb!%Ft"</f>
        <v>#REF!</v>
      </c>
      <c r="HQ73" t="e">
        <f>#REF!+";Hb!%Fu"</f>
        <v>#REF!</v>
      </c>
      <c r="HR73" t="e">
        <f>#REF!+";Hb!%Fv"</f>
        <v>#REF!</v>
      </c>
      <c r="HS73" t="e">
        <f>#REF!+";Hb!%Fw"</f>
        <v>#REF!</v>
      </c>
      <c r="HT73" t="e">
        <f>#REF!+";Hb!%Fx"</f>
        <v>#REF!</v>
      </c>
      <c r="HU73" t="e">
        <f>#REF!+";Hb!%Fy"</f>
        <v>#REF!</v>
      </c>
      <c r="HV73" t="e">
        <f>#REF!+";Hb!%Fz"</f>
        <v>#REF!</v>
      </c>
      <c r="HW73" t="e">
        <f>#REF!+";Hb!%F{"</f>
        <v>#REF!</v>
      </c>
      <c r="HX73" t="e">
        <f>#REF!+";Hb!%F|"</f>
        <v>#REF!</v>
      </c>
      <c r="HY73" t="e">
        <f>#REF!+";Hb!%F}"</f>
        <v>#REF!</v>
      </c>
      <c r="HZ73" t="e">
        <f>#REF!+";Hb!%F~"</f>
        <v>#REF!</v>
      </c>
      <c r="IA73" t="e">
        <f>#REF!+";Hb!%G#"</f>
        <v>#REF!</v>
      </c>
      <c r="IB73" t="e">
        <f>#REF!+";Hb!%G$"</f>
        <v>#REF!</v>
      </c>
      <c r="IC73" t="e">
        <f>#REF!+";Hb!%G%"</f>
        <v>#REF!</v>
      </c>
      <c r="ID73" t="e">
        <f>#REF!+";Hb!%G&amp;"</f>
        <v>#REF!</v>
      </c>
      <c r="IE73" t="e">
        <f>#REF!+";Hb!%G'"</f>
        <v>#REF!</v>
      </c>
      <c r="IF73" t="e">
        <f>#REF!+";Hb!%G("</f>
        <v>#REF!</v>
      </c>
      <c r="IG73" t="e">
        <f>#REF!+";Hb!%G)"</f>
        <v>#REF!</v>
      </c>
      <c r="IH73" t="e">
        <f>#REF!+";Hb!%G."</f>
        <v>#REF!</v>
      </c>
      <c r="II73" t="e">
        <f>#REF!+";Hb!%G/"</f>
        <v>#REF!</v>
      </c>
      <c r="IJ73" t="e">
        <f>#REF!+";Hb!%G0"</f>
        <v>#REF!</v>
      </c>
      <c r="IK73" t="e">
        <f>#REF!+";Hb!%G1"</f>
        <v>#REF!</v>
      </c>
      <c r="IL73" t="e">
        <f>#REF!+";Hb!%G2"</f>
        <v>#REF!</v>
      </c>
      <c r="IM73" t="e">
        <f>#REF!+";Hb!%G3"</f>
        <v>#REF!</v>
      </c>
      <c r="IN73" t="e">
        <f>#REF!+";Hb!%G4"</f>
        <v>#REF!</v>
      </c>
      <c r="IO73" t="e">
        <f>#REF!+";Hb!%G5"</f>
        <v>#REF!</v>
      </c>
      <c r="IP73" t="e">
        <f>#REF!+";Hb!%G6"</f>
        <v>#REF!</v>
      </c>
      <c r="IQ73" t="e">
        <f>#REF!+";Hb!%G7"</f>
        <v>#REF!</v>
      </c>
      <c r="IR73" t="e">
        <f>#REF!+";Hb!%G8"</f>
        <v>#REF!</v>
      </c>
      <c r="IS73" t="e">
        <f>#REF!+";Hb!%G9"</f>
        <v>#REF!</v>
      </c>
      <c r="IT73" t="e">
        <f>#REF!+";Hb!%G:"</f>
        <v>#REF!</v>
      </c>
      <c r="IU73" t="e">
        <f>#REF!+";Hb!%G;"</f>
        <v>#REF!</v>
      </c>
      <c r="IV73" t="e">
        <f>#REF!+";Hb!%G&lt;"</f>
        <v>#REF!</v>
      </c>
    </row>
    <row r="74" spans="6:256" x14ac:dyDescent="0.25">
      <c r="F74" t="e">
        <f>#REF!+";Hb!%G="</f>
        <v>#REF!</v>
      </c>
      <c r="G74" t="e">
        <f>#REF!+";Hb!%G&gt;"</f>
        <v>#REF!</v>
      </c>
      <c r="H74" t="e">
        <f>#REF!+";Hb!%G?"</f>
        <v>#REF!</v>
      </c>
      <c r="I74" t="e">
        <f>#REF!+";Hb!%G@"</f>
        <v>#REF!</v>
      </c>
      <c r="J74" t="e">
        <f>#REF!+";Hb!%GA"</f>
        <v>#REF!</v>
      </c>
      <c r="K74" t="e">
        <f>#REF!+";Hb!%GB"</f>
        <v>#REF!</v>
      </c>
      <c r="L74" t="e">
        <f>#REF!+";Hb!%GC"</f>
        <v>#REF!</v>
      </c>
      <c r="M74" t="e">
        <f>#REF!+";Hb!%GD"</f>
        <v>#REF!</v>
      </c>
      <c r="N74" t="e">
        <f>#REF!+";Hb!%GE"</f>
        <v>#REF!</v>
      </c>
      <c r="O74" t="e">
        <f>#REF!+";Hb!%GF"</f>
        <v>#REF!</v>
      </c>
      <c r="P74" t="e">
        <f>#REF!+";Hb!%GG"</f>
        <v>#REF!</v>
      </c>
      <c r="Q74" t="e">
        <f>#REF!+";Hb!%GH"</f>
        <v>#REF!</v>
      </c>
      <c r="R74" t="e">
        <f>#REF!+";Hb!%GI"</f>
        <v>#REF!</v>
      </c>
      <c r="S74" t="e">
        <f>#REF!+";Hb!%GJ"</f>
        <v>#REF!</v>
      </c>
      <c r="T74" t="e">
        <f>#REF!+";Hb!%GK"</f>
        <v>#REF!</v>
      </c>
      <c r="U74" t="e">
        <f>#REF!+";Hb!%GL"</f>
        <v>#REF!</v>
      </c>
      <c r="V74" t="e">
        <f>#REF!+";Hb!%GM"</f>
        <v>#REF!</v>
      </c>
      <c r="W74" t="e">
        <f>#REF!+";Hb!%GN"</f>
        <v>#REF!</v>
      </c>
      <c r="X74" t="e">
        <f>#REF!+";Hb!%GO"</f>
        <v>#REF!</v>
      </c>
      <c r="Y74" t="e">
        <f>#REF!+";Hb!%GP"</f>
        <v>#REF!</v>
      </c>
      <c r="Z74" t="e">
        <f>#REF!+";Hb!%GQ"</f>
        <v>#REF!</v>
      </c>
      <c r="AA74" t="e">
        <f>#REF!+";Hb!%GR"</f>
        <v>#REF!</v>
      </c>
      <c r="AB74" t="e">
        <f>#REF!+";Hb!%GS"</f>
        <v>#REF!</v>
      </c>
      <c r="AC74" t="e">
        <f>#REF!+";Hb!%GT"</f>
        <v>#REF!</v>
      </c>
      <c r="AD74" t="e">
        <f>#REF!+";Hb!%GU"</f>
        <v>#REF!</v>
      </c>
      <c r="AE74" t="e">
        <f>#REF!+";Hb!%GV"</f>
        <v>#REF!</v>
      </c>
      <c r="AF74" t="e">
        <f>#REF!+";Hb!%GW"</f>
        <v>#REF!</v>
      </c>
      <c r="AG74" t="e">
        <f>#REF!+";Hb!%GX"</f>
        <v>#REF!</v>
      </c>
      <c r="AH74" t="e">
        <f>#REF!+";Hb!%GY"</f>
        <v>#REF!</v>
      </c>
      <c r="AI74" t="e">
        <f>#REF!+";Hb!%GZ"</f>
        <v>#REF!</v>
      </c>
      <c r="AJ74" t="e">
        <f>#REF!+";Hb!%G["</f>
        <v>#REF!</v>
      </c>
      <c r="AK74" t="e">
        <f>#REF!+";Hb!%G\"</f>
        <v>#REF!</v>
      </c>
      <c r="AL74" t="e">
        <f>#REF!+";Hb!%G]"</f>
        <v>#REF!</v>
      </c>
      <c r="AM74" t="e">
        <f>#REF!+";Hb!%G^"</f>
        <v>#REF!</v>
      </c>
      <c r="AN74" t="e">
        <f>#REF!+";Hb!%G_"</f>
        <v>#REF!</v>
      </c>
      <c r="AO74" t="e">
        <f>#REF!+";Hb!%G`"</f>
        <v>#REF!</v>
      </c>
      <c r="AP74" t="e">
        <f>#REF!+";Hb!%Ga"</f>
        <v>#REF!</v>
      </c>
      <c r="AQ74" t="e">
        <f>#REF!+";Hb!%Gb"</f>
        <v>#REF!</v>
      </c>
      <c r="AR74" t="e">
        <f>#REF!+";Hb!%Gc"</f>
        <v>#REF!</v>
      </c>
      <c r="AS74" t="e">
        <f>#REF!+";Hb!%Gd"</f>
        <v>#REF!</v>
      </c>
      <c r="AT74" t="e">
        <f>#REF!+";Hb!%Ge"</f>
        <v>#REF!</v>
      </c>
      <c r="AU74" t="e">
        <f>#REF!+";Hb!%Gf"</f>
        <v>#REF!</v>
      </c>
      <c r="AV74" t="e">
        <f>#REF!+";Hb!%Gg"</f>
        <v>#REF!</v>
      </c>
      <c r="AW74" t="e">
        <f>#REF!+";Hb!%Gh"</f>
        <v>#REF!</v>
      </c>
      <c r="AX74" t="e">
        <f>#REF!+";Hb!%Gi"</f>
        <v>#REF!</v>
      </c>
      <c r="AY74" t="e">
        <f>#REF!+";Hb!%Gj"</f>
        <v>#REF!</v>
      </c>
      <c r="AZ74" t="e">
        <f>#REF!+";Hb!%Gk"</f>
        <v>#REF!</v>
      </c>
      <c r="BA74" t="e">
        <f>#REF!+";Hb!%Gl"</f>
        <v>#REF!</v>
      </c>
      <c r="BB74" t="e">
        <f>#REF!+";Hb!%Gm"</f>
        <v>#REF!</v>
      </c>
      <c r="BC74" t="e">
        <f>#REF!+";Hb!%Gn"</f>
        <v>#REF!</v>
      </c>
      <c r="BD74" t="e">
        <f>#REF!+";Hb!%Go"</f>
        <v>#REF!</v>
      </c>
      <c r="BE74" t="e">
        <f>#REF!+";Hb!%Gp"</f>
        <v>#REF!</v>
      </c>
      <c r="BF74" t="e">
        <f>#REF!+";Hb!%Gq"</f>
        <v>#REF!</v>
      </c>
      <c r="BG74" t="e">
        <f>#REF!+";Hb!%Gr"</f>
        <v>#REF!</v>
      </c>
      <c r="BH74" t="e">
        <f>#REF!+";Hb!%Gs"</f>
        <v>#REF!</v>
      </c>
      <c r="BI74" t="e">
        <f>#REF!+";Hb!%Gt"</f>
        <v>#REF!</v>
      </c>
      <c r="BJ74" t="e">
        <f>#REF!+";Hb!%Gu"</f>
        <v>#REF!</v>
      </c>
      <c r="BK74" t="e">
        <f>#REF!+";Hb!%Gv"</f>
        <v>#REF!</v>
      </c>
      <c r="BL74" t="e">
        <f>#REF!+";Hb!%Gw"</f>
        <v>#REF!</v>
      </c>
      <c r="BM74" t="e">
        <f>#REF!+";Hb!%Gx"</f>
        <v>#REF!</v>
      </c>
      <c r="BN74" t="e">
        <f>#REF!+";Hb!%Gy"</f>
        <v>#REF!</v>
      </c>
      <c r="BO74" t="e">
        <f>#REF!+";Hb!%Gz"</f>
        <v>#REF!</v>
      </c>
      <c r="BP74" t="e">
        <f>#REF!+";Hb!%G{"</f>
        <v>#REF!</v>
      </c>
      <c r="BQ74" t="e">
        <f>#REF!+";Hb!%G|"</f>
        <v>#REF!</v>
      </c>
      <c r="BR74" t="e">
        <f>#REF!+";Hb!%G}"</f>
        <v>#REF!</v>
      </c>
      <c r="BS74" t="e">
        <f>#REF!+";Hb!%G~"</f>
        <v>#REF!</v>
      </c>
      <c r="BT74" t="e">
        <f>#REF!+";Hb!%H#"</f>
        <v>#REF!</v>
      </c>
      <c r="BU74" t="e">
        <f>#REF!+";Hb!%H$"</f>
        <v>#REF!</v>
      </c>
      <c r="BV74" t="e">
        <f>#REF!+";Hb!%H%"</f>
        <v>#REF!</v>
      </c>
      <c r="BW74" t="e">
        <f>#REF!+";Hb!%H&amp;"</f>
        <v>#REF!</v>
      </c>
      <c r="BX74" t="e">
        <f>#REF!+";Hb!%H'"</f>
        <v>#REF!</v>
      </c>
      <c r="BY74" t="e">
        <f>#REF!+";Hb!%H("</f>
        <v>#REF!</v>
      </c>
      <c r="BZ74" t="e">
        <f>#REF!+";Hb!%H)"</f>
        <v>#REF!</v>
      </c>
      <c r="CA74" t="e">
        <f>#REF!+";Hb!%H."</f>
        <v>#REF!</v>
      </c>
      <c r="CB74" t="e">
        <f>#REF!+";Hb!%H/"</f>
        <v>#REF!</v>
      </c>
      <c r="CC74" t="e">
        <f>#REF!+";Hb!%H0"</f>
        <v>#REF!</v>
      </c>
      <c r="CD74" t="e">
        <f>#REF!+";Hb!%H1"</f>
        <v>#REF!</v>
      </c>
      <c r="CE74" t="e">
        <f>#REF!+";Hb!%H2"</f>
        <v>#REF!</v>
      </c>
      <c r="CF74" t="e">
        <f>#REF!+";Hb!%H3"</f>
        <v>#REF!</v>
      </c>
      <c r="CG74" t="e">
        <f>#REF!+";Hb!%H4"</f>
        <v>#REF!</v>
      </c>
      <c r="CH74" t="e">
        <f>#REF!+";Hb!%H5"</f>
        <v>#REF!</v>
      </c>
      <c r="CI74" t="e">
        <f>#REF!+";Hb!%H6"</f>
        <v>#REF!</v>
      </c>
      <c r="CJ74" t="e">
        <f>#REF!+";Hb!%H7"</f>
        <v>#REF!</v>
      </c>
      <c r="CK74" t="e">
        <f>#REF!+";Hb!%H8"</f>
        <v>#REF!</v>
      </c>
      <c r="CL74" t="e">
        <f>#REF!+";Hb!%H9"</f>
        <v>#REF!</v>
      </c>
      <c r="CM74" t="e">
        <f>#REF!+";Hb!%H:"</f>
        <v>#REF!</v>
      </c>
      <c r="CN74" t="e">
        <f>#REF!+";Hb!%H;"</f>
        <v>#REF!</v>
      </c>
      <c r="CO74" t="e">
        <f>#REF!+";Hb!%H&lt;"</f>
        <v>#REF!</v>
      </c>
      <c r="CP74" t="e">
        <f>#REF!+";Hb!%H="</f>
        <v>#REF!</v>
      </c>
      <c r="CQ74" t="e">
        <f>#REF!+";Hb!%H&gt;"</f>
        <v>#REF!</v>
      </c>
      <c r="CR74" t="e">
        <f>#REF!+";Hb!%H?"</f>
        <v>#REF!</v>
      </c>
      <c r="CS74" t="e">
        <f>#REF!+";Hb!%H@"</f>
        <v>#REF!</v>
      </c>
      <c r="CT74" t="e">
        <f>#REF!+";Hb!%HA"</f>
        <v>#REF!</v>
      </c>
      <c r="CU74" t="e">
        <f>#REF!+";Hb!%HB"</f>
        <v>#REF!</v>
      </c>
      <c r="CV74" t="e">
        <f>#REF!+";Hb!%HC"</f>
        <v>#REF!</v>
      </c>
      <c r="CW74" t="e">
        <f>#REF!+";Hb!%HD"</f>
        <v>#REF!</v>
      </c>
      <c r="CX74" t="e">
        <f>#REF!+";Hb!%HE"</f>
        <v>#REF!</v>
      </c>
      <c r="CY74" t="e">
        <f>#REF!+";Hb!%HF"</f>
        <v>#REF!</v>
      </c>
      <c r="CZ74" t="e">
        <f>#REF!+";Hb!%HG"</f>
        <v>#REF!</v>
      </c>
      <c r="DA74" t="e">
        <f>#REF!+";Hb!%HH"</f>
        <v>#REF!</v>
      </c>
      <c r="DB74" t="e">
        <f>#REF!+";Hb!%HI"</f>
        <v>#REF!</v>
      </c>
      <c r="DC74" t="e">
        <f>#REF!+";Hb!%HJ"</f>
        <v>#REF!</v>
      </c>
      <c r="DD74" t="e">
        <f>#REF!+";Hb!%HK"</f>
        <v>#REF!</v>
      </c>
      <c r="DE74" t="e">
        <f>#REF!+";Hb!%HL"</f>
        <v>#REF!</v>
      </c>
      <c r="DF74" t="e">
        <f>#REF!+";Hb!%HM"</f>
        <v>#REF!</v>
      </c>
      <c r="DG74" t="e">
        <f>#REF!+";Hb!%HN"</f>
        <v>#REF!</v>
      </c>
      <c r="DH74" t="e">
        <f>#REF!+";Hb!%HO"</f>
        <v>#REF!</v>
      </c>
      <c r="DI74" t="e">
        <f>#REF!+";Hb!%HP"</f>
        <v>#REF!</v>
      </c>
      <c r="DJ74" t="e">
        <f>#REF!+";Hb!%HQ"</f>
        <v>#REF!</v>
      </c>
      <c r="DK74" t="e">
        <f>#REF!+";Hb!%HR"</f>
        <v>#REF!</v>
      </c>
      <c r="DL74" t="e">
        <f>#REF!+";Hb!%HS"</f>
        <v>#REF!</v>
      </c>
      <c r="DM74" t="e">
        <f>#REF!+";Hb!%HT"</f>
        <v>#REF!</v>
      </c>
      <c r="DN74" t="e">
        <f>#REF!+";Hb!%HU"</f>
        <v>#REF!</v>
      </c>
      <c r="DO74" t="e">
        <f>#REF!+";Hb!%HV"</f>
        <v>#REF!</v>
      </c>
      <c r="DP74" t="e">
        <f>#REF!+";Hb!%HW"</f>
        <v>#REF!</v>
      </c>
      <c r="DQ74" t="e">
        <f>#REF!+";Hb!%HX"</f>
        <v>#REF!</v>
      </c>
      <c r="DR74" t="e">
        <f>#REF!+";Hb!%HY"</f>
        <v>#REF!</v>
      </c>
      <c r="DS74" t="e">
        <f>#REF!+";Hb!%HZ"</f>
        <v>#REF!</v>
      </c>
      <c r="DT74" t="e">
        <f>#REF!+";Hb!%H["</f>
        <v>#REF!</v>
      </c>
      <c r="DU74" t="e">
        <f>#REF!+";Hb!%H\"</f>
        <v>#REF!</v>
      </c>
      <c r="DV74" t="e">
        <f>#REF!+";Hb!%H]"</f>
        <v>#REF!</v>
      </c>
      <c r="DW74" t="e">
        <f>#REF!+";Hb!%H^"</f>
        <v>#REF!</v>
      </c>
      <c r="DX74" t="e">
        <f>#REF!+";Hb!%H_"</f>
        <v>#REF!</v>
      </c>
      <c r="DY74" t="e">
        <f>#REF!+";Hb!%H`"</f>
        <v>#REF!</v>
      </c>
      <c r="DZ74" t="e">
        <f>#REF!+";Hb!%Ha"</f>
        <v>#REF!</v>
      </c>
      <c r="EA74" t="e">
        <f>#REF!+";Hb!%Hb"</f>
        <v>#REF!</v>
      </c>
      <c r="EB74" t="e">
        <f>#REF!+";Hb!%Hc"</f>
        <v>#REF!</v>
      </c>
      <c r="EC74" t="e">
        <f>#REF!+";Hb!%Hd"</f>
        <v>#REF!</v>
      </c>
      <c r="ED74" t="e">
        <f>#REF!+";Hb!%He"</f>
        <v>#REF!</v>
      </c>
      <c r="EE74" t="e">
        <f>#REF!+";Hb!%Hf"</f>
        <v>#REF!</v>
      </c>
      <c r="EF74" t="e">
        <f>#REF!+";Hb!%Hg"</f>
        <v>#REF!</v>
      </c>
      <c r="EG74" t="e">
        <f>#REF!+";Hb!%Hh"</f>
        <v>#REF!</v>
      </c>
      <c r="EH74" t="e">
        <f>#REF!+";Hb!%Hi"</f>
        <v>#REF!</v>
      </c>
      <c r="EI74" t="e">
        <f>#REF!+";Hb!%Hj"</f>
        <v>#REF!</v>
      </c>
      <c r="EJ74" t="e">
        <f>#REF!+";Hb!%Hk"</f>
        <v>#REF!</v>
      </c>
      <c r="EK74" t="e">
        <f>#REF!+";Hb!%Hl"</f>
        <v>#REF!</v>
      </c>
      <c r="EL74" t="e">
        <f>#REF!+";Hb!%Hm"</f>
        <v>#REF!</v>
      </c>
      <c r="EM74" t="e">
        <f>#REF!+";Hb!%Hn"</f>
        <v>#REF!</v>
      </c>
      <c r="EN74" t="e">
        <f>#REF!+";Hb!%Ho"</f>
        <v>#REF!</v>
      </c>
      <c r="EO74" t="e">
        <f>#REF!+";Hb!%Hp"</f>
        <v>#REF!</v>
      </c>
      <c r="EP74" t="e">
        <f>#REF!+";Hb!%Hq"</f>
        <v>#REF!</v>
      </c>
      <c r="EQ74" t="e">
        <f>#REF!+";Hb!%Hr"</f>
        <v>#REF!</v>
      </c>
      <c r="ER74" t="e">
        <f>#REF!+";Hb!%Hs"</f>
        <v>#REF!</v>
      </c>
      <c r="ES74" t="e">
        <f>#REF!+";Hb!%Ht"</f>
        <v>#REF!</v>
      </c>
      <c r="ET74" t="e">
        <f>#REF!+";Hb!%Hu"</f>
        <v>#REF!</v>
      </c>
      <c r="EU74" t="e">
        <f>#REF!+";Hb!%Hv"</f>
        <v>#REF!</v>
      </c>
      <c r="EV74" t="e">
        <f>#REF!+";Hb!%Hw"</f>
        <v>#REF!</v>
      </c>
      <c r="EW74" t="e">
        <f>#REF!+";Hb!%Hx"</f>
        <v>#REF!</v>
      </c>
      <c r="EX74" t="e">
        <f>#REF!+";Hb!%Hy"</f>
        <v>#REF!</v>
      </c>
      <c r="EY74" t="e">
        <f>#REF!+";Hb!%Hz"</f>
        <v>#REF!</v>
      </c>
      <c r="EZ74" t="e">
        <f>#REF!+";Hb!%H{"</f>
        <v>#REF!</v>
      </c>
      <c r="FA74" t="e">
        <f>#REF!+";Hb!%H|"</f>
        <v>#REF!</v>
      </c>
      <c r="FB74" t="e">
        <f>#REF!+";Hb!%H}"</f>
        <v>#REF!</v>
      </c>
      <c r="FC74" t="e">
        <f>#REF!+";Hb!%H~"</f>
        <v>#REF!</v>
      </c>
      <c r="FD74" t="e">
        <f>#REF!+";Hb!%I#"</f>
        <v>#REF!</v>
      </c>
      <c r="FE74" t="e">
        <f>#REF!+";Hb!%I$"</f>
        <v>#REF!</v>
      </c>
      <c r="FF74" t="e">
        <f>#REF!+";Hb!%I%"</f>
        <v>#REF!</v>
      </c>
      <c r="FG74" t="e">
        <f>#REF!+";Hb!%I&amp;"</f>
        <v>#REF!</v>
      </c>
      <c r="FH74" t="e">
        <f>#REF!+";Hb!%I'"</f>
        <v>#REF!</v>
      </c>
      <c r="FI74" t="e">
        <f>#REF!+";Hb!%I("</f>
        <v>#REF!</v>
      </c>
      <c r="FJ74" t="e">
        <f>#REF!+";Hb!%I)"</f>
        <v>#REF!</v>
      </c>
      <c r="FK74" t="e">
        <f>#REF!+";Hb!%I."</f>
        <v>#REF!</v>
      </c>
      <c r="FL74" t="e">
        <f>#REF!+";Hb!%I/"</f>
        <v>#REF!</v>
      </c>
      <c r="FM74" t="e">
        <f>#REF!+";Hb!%I0"</f>
        <v>#REF!</v>
      </c>
      <c r="FN74" t="e">
        <f>#REF!+";Hb!%I1"</f>
        <v>#REF!</v>
      </c>
      <c r="FO74" t="e">
        <f>#REF!+";Hb!%I2"</f>
        <v>#REF!</v>
      </c>
      <c r="FP74" t="e">
        <f>#REF!+";Hb!%I3"</f>
        <v>#REF!</v>
      </c>
      <c r="FQ74" t="e">
        <f>#REF!+";Hb!%I4"</f>
        <v>#REF!</v>
      </c>
      <c r="FR74" t="e">
        <f>#REF!+";Hb!%I5"</f>
        <v>#REF!</v>
      </c>
      <c r="FS74" t="e">
        <f>#REF!+";Hb!%I6"</f>
        <v>#REF!</v>
      </c>
      <c r="FT74" t="e">
        <f>#REF!+";Hb!%I7"</f>
        <v>#REF!</v>
      </c>
      <c r="FU74" t="e">
        <f>#REF!+";Hb!%I8"</f>
        <v>#REF!</v>
      </c>
      <c r="FV74" t="e">
        <f>#REF!+";Hb!%I9"</f>
        <v>#REF!</v>
      </c>
      <c r="FW74" t="e">
        <f>#REF!+";Hb!%I:"</f>
        <v>#REF!</v>
      </c>
      <c r="FX74" t="e">
        <f>#REF!+";Hb!%I;"</f>
        <v>#REF!</v>
      </c>
      <c r="FY74" t="e">
        <f>#REF!+";Hb!%I&lt;"</f>
        <v>#REF!</v>
      </c>
      <c r="FZ74" t="e">
        <f>#REF!+";Hb!%I="</f>
        <v>#REF!</v>
      </c>
      <c r="GA74" t="e">
        <f>#REF!+";Hb!%I&gt;"</f>
        <v>#REF!</v>
      </c>
      <c r="GB74" t="e">
        <f>#REF!+";Hb!%I?"</f>
        <v>#REF!</v>
      </c>
      <c r="GC74" t="e">
        <f>#REF!+";Hb!%I@"</f>
        <v>#REF!</v>
      </c>
      <c r="GD74" t="e">
        <f>#REF!+";Hb!%IA"</f>
        <v>#REF!</v>
      </c>
      <c r="GE74" t="e">
        <f>#REF!+";Hb!%IB"</f>
        <v>#REF!</v>
      </c>
      <c r="GF74" t="e">
        <f>#REF!+";Hb!%IC"</f>
        <v>#REF!</v>
      </c>
      <c r="GG74" t="e">
        <f>#REF!+";Hb!%ID"</f>
        <v>#REF!</v>
      </c>
      <c r="GH74" t="e">
        <f>#REF!+";Hb!%IE"</f>
        <v>#REF!</v>
      </c>
      <c r="GI74" t="e">
        <f>#REF!+";Hb!%IF"</f>
        <v>#REF!</v>
      </c>
      <c r="GJ74" t="e">
        <f>#REF!+";Hb!%IG"</f>
        <v>#REF!</v>
      </c>
      <c r="GK74" t="e">
        <f>#REF!+";Hb!%IH"</f>
        <v>#REF!</v>
      </c>
      <c r="GL74" t="e">
        <f>#REF!+";Hb!%II"</f>
        <v>#REF!</v>
      </c>
      <c r="GM74" t="e">
        <f>#REF!+";Hb!%IJ"</f>
        <v>#REF!</v>
      </c>
      <c r="GN74" t="e">
        <f>#REF!+";Hb!%IK"</f>
        <v>#REF!</v>
      </c>
      <c r="GO74" t="e">
        <f>#REF!+";Hb!%IL"</f>
        <v>#REF!</v>
      </c>
      <c r="GP74" t="e">
        <f>#REF!+";Hb!%IM"</f>
        <v>#REF!</v>
      </c>
      <c r="GQ74" t="e">
        <f>#REF!+";Hb!%IN"</f>
        <v>#REF!</v>
      </c>
      <c r="GR74" t="e">
        <f>#REF!+";Hb!%IO"</f>
        <v>#REF!</v>
      </c>
      <c r="GS74" t="e">
        <f>#REF!+";Hb!%IP"</f>
        <v>#REF!</v>
      </c>
      <c r="GT74" t="e">
        <f>#REF!+";Hb!%IQ"</f>
        <v>#REF!</v>
      </c>
      <c r="GU74" t="e">
        <f>#REF!+";Hb!%IR"</f>
        <v>#REF!</v>
      </c>
      <c r="GV74" t="e">
        <f>#REF!+";Hb!%IS"</f>
        <v>#REF!</v>
      </c>
      <c r="GW74" t="e">
        <f>#REF!+";Hb!%IT"</f>
        <v>#REF!</v>
      </c>
      <c r="GX74" t="e">
        <f>#REF!+";Hb!%IU"</f>
        <v>#REF!</v>
      </c>
      <c r="GY74" t="e">
        <f>#REF!+";Hb!%IV"</f>
        <v>#REF!</v>
      </c>
      <c r="GZ74" t="e">
        <f>#REF!+";Hb!%IW"</f>
        <v>#REF!</v>
      </c>
      <c r="HA74" t="e">
        <f>#REF!+";Hb!%IX"</f>
        <v>#REF!</v>
      </c>
      <c r="HB74" t="e">
        <f>#REF!+";Hb!%IY"</f>
        <v>#REF!</v>
      </c>
      <c r="HC74" t="e">
        <f>#REF!+";Hb!%IZ"</f>
        <v>#REF!</v>
      </c>
      <c r="HD74" t="e">
        <f>#REF!+";Hb!%I["</f>
        <v>#REF!</v>
      </c>
      <c r="HE74" t="e">
        <f>#REF!+";Hb!%I\"</f>
        <v>#REF!</v>
      </c>
      <c r="HF74" t="e">
        <f>#REF!+";Hb!%I]"</f>
        <v>#REF!</v>
      </c>
      <c r="HG74" t="e">
        <f>#REF!+";Hb!%I^"</f>
        <v>#REF!</v>
      </c>
      <c r="HH74" t="e">
        <f>#REF!+";Hb!%I_"</f>
        <v>#REF!</v>
      </c>
      <c r="HI74" t="e">
        <f>#REF!+";Hb!%I`"</f>
        <v>#REF!</v>
      </c>
      <c r="HJ74" t="e">
        <f>#REF!+";Hb!%Ia"</f>
        <v>#REF!</v>
      </c>
      <c r="HK74" t="e">
        <f>#REF!+";Hb!%Ib"</f>
        <v>#REF!</v>
      </c>
      <c r="HL74" t="e">
        <f>#REF!+";Hb!%Ic"</f>
        <v>#REF!</v>
      </c>
      <c r="HM74" t="e">
        <f>#REF!+";Hb!%Id"</f>
        <v>#REF!</v>
      </c>
      <c r="HN74" t="e">
        <f>#REF!+";Hb!%Ie"</f>
        <v>#REF!</v>
      </c>
      <c r="HO74" t="e">
        <f>#REF!+";Hb!%If"</f>
        <v>#REF!</v>
      </c>
      <c r="HP74" t="e">
        <f>#REF!+";Hb!%Ig"</f>
        <v>#REF!</v>
      </c>
      <c r="HQ74" t="e">
        <f>#REF!+";Hb!%Ih"</f>
        <v>#REF!</v>
      </c>
      <c r="HR74" t="e">
        <f>#REF!+";Hb!%Ii"</f>
        <v>#REF!</v>
      </c>
      <c r="HS74" t="e">
        <f>#REF!+";Hb!%Ij"</f>
        <v>#REF!</v>
      </c>
      <c r="HT74" t="e">
        <f>#REF!+";Hb!%Ik"</f>
        <v>#REF!</v>
      </c>
      <c r="HU74" t="e">
        <f>#REF!+";Hb!%Il"</f>
        <v>#REF!</v>
      </c>
      <c r="HV74" t="e">
        <f>#REF!+";Hb!%Im"</f>
        <v>#REF!</v>
      </c>
      <c r="HW74" t="e">
        <f>#REF!+";Hb!%In"</f>
        <v>#REF!</v>
      </c>
      <c r="HX74" t="e">
        <f>#REF!+";Hb!%Io"</f>
        <v>#REF!</v>
      </c>
      <c r="HY74" t="e">
        <f>#REF!+";Hb!%Ip"</f>
        <v>#REF!</v>
      </c>
      <c r="HZ74" t="e">
        <f>#REF!+";Hb!%Iq"</f>
        <v>#REF!</v>
      </c>
      <c r="IA74" t="e">
        <f>#REF!+";Hb!%Ir"</f>
        <v>#REF!</v>
      </c>
      <c r="IB74" t="e">
        <f>#REF!+";Hb!%Is"</f>
        <v>#REF!</v>
      </c>
      <c r="IC74" t="e">
        <f>#REF!+";Hb!%It"</f>
        <v>#REF!</v>
      </c>
      <c r="ID74" t="e">
        <f>#REF!+";Hb!%Iu"</f>
        <v>#REF!</v>
      </c>
      <c r="IE74" t="e">
        <f>#REF!+";Hb!%Iv"</f>
        <v>#REF!</v>
      </c>
      <c r="IF74" t="e">
        <f>#REF!+";Hb!%Iw"</f>
        <v>#REF!</v>
      </c>
      <c r="IG74" t="e">
        <f>#REF!+";Hb!%Ix"</f>
        <v>#REF!</v>
      </c>
      <c r="IH74" t="e">
        <f>#REF!+";Hb!%Iy"</f>
        <v>#REF!</v>
      </c>
      <c r="II74" t="e">
        <f>#REF!+";Hb!%Iz"</f>
        <v>#REF!</v>
      </c>
      <c r="IJ74" t="e">
        <f>#REF!+";Hb!%I{"</f>
        <v>#REF!</v>
      </c>
      <c r="IK74" t="e">
        <f>#REF!+";Hb!%I|"</f>
        <v>#REF!</v>
      </c>
      <c r="IL74" t="e">
        <f>#REF!+";Hb!%I}"</f>
        <v>#REF!</v>
      </c>
      <c r="IM74" t="e">
        <f>#REF!+";Hb!%I~"</f>
        <v>#REF!</v>
      </c>
      <c r="IN74" t="e">
        <f>#REF!+";Hb!%J#"</f>
        <v>#REF!</v>
      </c>
      <c r="IO74" t="e">
        <f>#REF!+";Hb!%J$"</f>
        <v>#REF!</v>
      </c>
      <c r="IP74" t="e">
        <f>#REF!+";Hb!%J%"</f>
        <v>#REF!</v>
      </c>
      <c r="IQ74" t="e">
        <f>#REF!+";Hb!%J&amp;"</f>
        <v>#REF!</v>
      </c>
      <c r="IR74" t="e">
        <f>#REF!+";Hb!%J'"</f>
        <v>#REF!</v>
      </c>
      <c r="IS74" t="e">
        <f>#REF!+";Hb!%J("</f>
        <v>#REF!</v>
      </c>
      <c r="IT74" t="e">
        <f>#REF!+";Hb!%J)"</f>
        <v>#REF!</v>
      </c>
      <c r="IU74" t="e">
        <f>#REF!+";Hb!%J."</f>
        <v>#REF!</v>
      </c>
      <c r="IV74" t="e">
        <f>#REF!+";Hb!%J/"</f>
        <v>#REF!</v>
      </c>
    </row>
    <row r="75" spans="6:256" x14ac:dyDescent="0.25">
      <c r="F75" t="e">
        <f>#REF!+";Hb!%J0"</f>
        <v>#REF!</v>
      </c>
      <c r="G75" t="e">
        <f>#REF!+";Hb!%J1"</f>
        <v>#REF!</v>
      </c>
      <c r="H75" t="e">
        <f>#REF!+";Hb!%J2"</f>
        <v>#REF!</v>
      </c>
      <c r="I75" t="e">
        <f>#REF!+";Hb!%J3"</f>
        <v>#REF!</v>
      </c>
      <c r="J75" t="e">
        <f>#REF!+";Hb!%J4"</f>
        <v>#REF!</v>
      </c>
      <c r="K75" t="e">
        <f>#REF!+";Hb!%J5"</f>
        <v>#REF!</v>
      </c>
      <c r="L75" t="e">
        <f>#REF!+";Hb!%J6"</f>
        <v>#REF!</v>
      </c>
      <c r="M75" t="e">
        <f>#REF!+";Hb!%J7"</f>
        <v>#REF!</v>
      </c>
      <c r="N75" t="e">
        <f>#REF!+";Hb!%J8"</f>
        <v>#REF!</v>
      </c>
      <c r="O75" t="e">
        <f>#REF!+";Hb!%J9"</f>
        <v>#REF!</v>
      </c>
      <c r="P75" t="e">
        <f>#REF!+";Hb!%J:"</f>
        <v>#REF!</v>
      </c>
      <c r="Q75" t="e">
        <f>#REF!+";Hb!%J;"</f>
        <v>#REF!</v>
      </c>
      <c r="R75" t="e">
        <f>#REF!+";Hb!%J&lt;"</f>
        <v>#REF!</v>
      </c>
      <c r="S75" t="e">
        <f>#REF!+";Hb!%J="</f>
        <v>#REF!</v>
      </c>
      <c r="T75" t="e">
        <f>#REF!+";Hb!%J&gt;"</f>
        <v>#REF!</v>
      </c>
      <c r="U75" t="e">
        <f>#REF!+";Hb!%J?"</f>
        <v>#REF!</v>
      </c>
      <c r="V75" t="e">
        <f>#REF!+";Hb!%J@"</f>
        <v>#REF!</v>
      </c>
      <c r="W75" t="e">
        <f>#REF!+";Hb!%JA"</f>
        <v>#REF!</v>
      </c>
      <c r="X75" t="e">
        <f>#REF!+";Hb!%JB"</f>
        <v>#REF!</v>
      </c>
      <c r="Y75" t="e">
        <f>#REF!+";Hb!%JC"</f>
        <v>#REF!</v>
      </c>
      <c r="Z75" t="e">
        <f>#REF!+";Hb!%JD"</f>
        <v>#REF!</v>
      </c>
      <c r="AA75" t="e">
        <f>#REF!+";Hb!%JE"</f>
        <v>#REF!</v>
      </c>
      <c r="AB75" t="e">
        <f>#REF!+";Hb!%JF"</f>
        <v>#REF!</v>
      </c>
      <c r="AC75" t="e">
        <f>#REF!+";Hb!%JG"</f>
        <v>#REF!</v>
      </c>
      <c r="AD75" t="e">
        <f>#REF!+";Hb!%JH"</f>
        <v>#REF!</v>
      </c>
      <c r="AE75" t="e">
        <f>#REF!+";Hb!%JI"</f>
        <v>#REF!</v>
      </c>
      <c r="AF75" t="e">
        <f>#REF!+";Hb!%JJ"</f>
        <v>#REF!</v>
      </c>
      <c r="AG75" t="e">
        <f>#REF!+";Hb!%JK"</f>
        <v>#REF!</v>
      </c>
      <c r="AH75" t="e">
        <f>#REF!+";Hb!%JL"</f>
        <v>#REF!</v>
      </c>
      <c r="AI75" t="e">
        <f>#REF!+";Hb!%JM"</f>
        <v>#REF!</v>
      </c>
      <c r="AJ75" t="e">
        <f>#REF!+";Hb!%JN"</f>
        <v>#REF!</v>
      </c>
      <c r="AK75" t="e">
        <f>#REF!+";Hb!%JO"</f>
        <v>#REF!</v>
      </c>
      <c r="AL75" t="e">
        <f>#REF!+";Hb!%JP"</f>
        <v>#REF!</v>
      </c>
      <c r="AM75" t="e">
        <f>#REF!+";Hb!%JQ"</f>
        <v>#REF!</v>
      </c>
      <c r="AN75" t="e">
        <f>#REF!+";Hb!%JR"</f>
        <v>#REF!</v>
      </c>
      <c r="AO75" t="e">
        <f>#REF!+";Hb!%JS"</f>
        <v>#REF!</v>
      </c>
      <c r="AP75" t="e">
        <f>#REF!+";Hb!%JT"</f>
        <v>#REF!</v>
      </c>
      <c r="AQ75" t="e">
        <f>#REF!+";Hb!%JU"</f>
        <v>#REF!</v>
      </c>
      <c r="AR75" t="e">
        <f>#REF!+";Hb!%JV"</f>
        <v>#REF!</v>
      </c>
      <c r="AS75" t="e">
        <f>#REF!+";Hb!%JW"</f>
        <v>#REF!</v>
      </c>
      <c r="AT75" t="e">
        <f>#REF!+";Hb!%JX"</f>
        <v>#REF!</v>
      </c>
      <c r="AU75" t="e">
        <f>#REF!+";Hb!%JY"</f>
        <v>#REF!</v>
      </c>
      <c r="AV75" t="e">
        <f>#REF!+";Hb!%JZ"</f>
        <v>#REF!</v>
      </c>
      <c r="AW75" t="e">
        <f>#REF!+";Hb!%J["</f>
        <v>#REF!</v>
      </c>
      <c r="AX75" t="e">
        <f>#REF!+";Hb!%J\"</f>
        <v>#REF!</v>
      </c>
      <c r="AY75" t="e">
        <f>#REF!+";Hb!%J]"</f>
        <v>#REF!</v>
      </c>
      <c r="AZ75" t="e">
        <f>#REF!+";Hb!%J^"</f>
        <v>#REF!</v>
      </c>
      <c r="BA75" t="e">
        <f>#REF!+";Hb!%J_"</f>
        <v>#REF!</v>
      </c>
      <c r="BB75" t="e">
        <f>#REF!+";Hb!%J`"</f>
        <v>#REF!</v>
      </c>
      <c r="BC75" t="e">
        <f>#REF!+";Hb!%Ja"</f>
        <v>#REF!</v>
      </c>
      <c r="BD75" t="e">
        <f>#REF!+";Hb!%Jb"</f>
        <v>#REF!</v>
      </c>
      <c r="BE75" t="e">
        <f>#REF!+";Hb!%Jc"</f>
        <v>#REF!</v>
      </c>
      <c r="BF75" t="e">
        <f>#REF!+";Hb!%Jd"</f>
        <v>#REF!</v>
      </c>
      <c r="BG75" t="e">
        <f>#REF!+";Hb!%Je"</f>
        <v>#REF!</v>
      </c>
      <c r="BH75" t="e">
        <f>#REF!+";Hb!%Jf"</f>
        <v>#REF!</v>
      </c>
      <c r="BI75" t="e">
        <f>#REF!+";Hb!%Jg"</f>
        <v>#REF!</v>
      </c>
      <c r="BJ75" t="e">
        <f>#REF!+";Hb!%Jh"</f>
        <v>#REF!</v>
      </c>
      <c r="BK75" t="e">
        <f>#REF!+";Hb!%Ji"</f>
        <v>#REF!</v>
      </c>
      <c r="BL75" t="e">
        <f>#REF!+";Hb!%Jj"</f>
        <v>#REF!</v>
      </c>
      <c r="BM75" t="e">
        <f>#REF!+";Hb!%Jk"</f>
        <v>#REF!</v>
      </c>
      <c r="BN75" t="e">
        <f>#REF!+";Hb!%Jl"</f>
        <v>#REF!</v>
      </c>
      <c r="BO75" t="e">
        <f>#REF!+";Hb!%Jm"</f>
        <v>#REF!</v>
      </c>
      <c r="BP75" t="e">
        <f>#REF!+";Hb!%Jn"</f>
        <v>#REF!</v>
      </c>
      <c r="BQ75" t="e">
        <f>#REF!+";Hb!%Jo"</f>
        <v>#REF!</v>
      </c>
      <c r="BR75" t="e">
        <f>#REF!+";Hb!%Jp"</f>
        <v>#REF!</v>
      </c>
      <c r="BS75" t="e">
        <f>#REF!+";Hb!%Jq"</f>
        <v>#REF!</v>
      </c>
      <c r="BT75" t="e">
        <f>#REF!+";Hb!%Jr"</f>
        <v>#REF!</v>
      </c>
      <c r="BU75" t="e">
        <f>#REF!+";Hb!%Js"</f>
        <v>#REF!</v>
      </c>
      <c r="BV75" t="e">
        <f>#REF!+";Hb!%Jt"</f>
        <v>#REF!</v>
      </c>
      <c r="BW75" t="e">
        <f>#REF!+";Hb!%Ju"</f>
        <v>#REF!</v>
      </c>
      <c r="BX75" t="e">
        <f>#REF!+";Hb!%Jv"</f>
        <v>#REF!</v>
      </c>
      <c r="BY75" t="e">
        <f>#REF!+";Hb!%Jw"</f>
        <v>#REF!</v>
      </c>
      <c r="BZ75" t="e">
        <f>#REF!+";Hb!%Jx"</f>
        <v>#REF!</v>
      </c>
      <c r="CA75" t="e">
        <f>#REF!+";Hb!%Jy"</f>
        <v>#REF!</v>
      </c>
      <c r="CB75" t="e">
        <f>#REF!+";Hb!%Jz"</f>
        <v>#REF!</v>
      </c>
      <c r="CC75" t="e">
        <f>#REF!+";Hb!%J{"</f>
        <v>#REF!</v>
      </c>
      <c r="CD75" t="e">
        <f>#REF!+";Hb!%J|"</f>
        <v>#REF!</v>
      </c>
      <c r="CE75" t="e">
        <f>#REF!+";Hb!%J}"</f>
        <v>#REF!</v>
      </c>
      <c r="CF75" t="e">
        <f>#REF!+";Hb!%J~"</f>
        <v>#REF!</v>
      </c>
      <c r="CG75" t="e">
        <f>#REF!+";Hb!%K#"</f>
        <v>#REF!</v>
      </c>
      <c r="CH75" t="e">
        <f>#REF!+";Hb!%K$"</f>
        <v>#REF!</v>
      </c>
      <c r="CI75" t="e">
        <f>#REF!+";Hb!%K%"</f>
        <v>#REF!</v>
      </c>
      <c r="CJ75" t="e">
        <f>#REF!+";Hb!%K&amp;"</f>
        <v>#REF!</v>
      </c>
      <c r="CK75" t="e">
        <f>#REF!+";Hb!%K'"</f>
        <v>#REF!</v>
      </c>
      <c r="CL75" t="e">
        <f>#REF!+";Hb!%K("</f>
        <v>#REF!</v>
      </c>
      <c r="CM75" t="e">
        <f>#REF!+";Hb!%K)"</f>
        <v>#REF!</v>
      </c>
      <c r="CN75" t="e">
        <f>#REF!+";Hb!%K."</f>
        <v>#REF!</v>
      </c>
      <c r="CO75" t="e">
        <f>#REF!+";Hb!%K/"</f>
        <v>#REF!</v>
      </c>
      <c r="CP75" t="e">
        <f>#REF!+";Hb!%K0"</f>
        <v>#REF!</v>
      </c>
      <c r="CQ75" t="e">
        <f>#REF!+";Hb!%K1"</f>
        <v>#REF!</v>
      </c>
      <c r="CR75" t="e">
        <f>#REF!+";Hb!%K2"</f>
        <v>#REF!</v>
      </c>
      <c r="CS75" t="e">
        <f>#REF!+";Hb!%K3"</f>
        <v>#REF!</v>
      </c>
      <c r="CT75" t="e">
        <f>#REF!+";Hb!%K4"</f>
        <v>#REF!</v>
      </c>
      <c r="CU75" t="e">
        <f>#REF!+";Hb!%K5"</f>
        <v>#REF!</v>
      </c>
      <c r="CV75" t="e">
        <f>#REF!+";Hb!%K6"</f>
        <v>#REF!</v>
      </c>
      <c r="CW75" t="e">
        <f>#REF!+";Hb!%K7"</f>
        <v>#REF!</v>
      </c>
      <c r="CX75" t="e">
        <f>#REF!+";Hb!%K8"</f>
        <v>#REF!</v>
      </c>
      <c r="CY75" t="e">
        <f>#REF!+";Hb!%K9"</f>
        <v>#REF!</v>
      </c>
      <c r="CZ75" t="e">
        <f>#REF!+";Hb!%K:"</f>
        <v>#REF!</v>
      </c>
      <c r="DA75" t="e">
        <f>#REF!+";Hb!%K;"</f>
        <v>#REF!</v>
      </c>
      <c r="DB75" t="e">
        <f>#REF!+";Hb!%K&lt;"</f>
        <v>#REF!</v>
      </c>
      <c r="DC75" t="e">
        <f>#REF!+";Hb!%K="</f>
        <v>#REF!</v>
      </c>
      <c r="DD75" t="e">
        <f>#REF!+";Hb!%K&gt;"</f>
        <v>#REF!</v>
      </c>
      <c r="DE75" t="e">
        <f>#REF!+";Hb!%K?"</f>
        <v>#REF!</v>
      </c>
      <c r="DF75" t="e">
        <f>#REF!+";Hb!%K@"</f>
        <v>#REF!</v>
      </c>
      <c r="DG75" t="e">
        <f>#REF!+";Hb!%KA"</f>
        <v>#REF!</v>
      </c>
      <c r="DH75" t="e">
        <f>#REF!+";Hb!%KB"</f>
        <v>#REF!</v>
      </c>
      <c r="DI75" t="e">
        <f>#REF!+";Hb!%KC"</f>
        <v>#REF!</v>
      </c>
      <c r="DJ75" t="e">
        <f>#REF!+";Hb!%KD"</f>
        <v>#REF!</v>
      </c>
      <c r="DK75" t="e">
        <f>#REF!+";Hb!%KE"</f>
        <v>#REF!</v>
      </c>
      <c r="DL75" t="e">
        <f>#REF!+";Hb!%KF"</f>
        <v>#REF!</v>
      </c>
      <c r="DM75" t="e">
        <f>#REF!+";Hb!%KG"</f>
        <v>#REF!</v>
      </c>
      <c r="DN75" t="e">
        <f>#REF!+";Hb!%KH"</f>
        <v>#REF!</v>
      </c>
      <c r="DO75" t="e">
        <f>#REF!+";Hb!%KI"</f>
        <v>#REF!</v>
      </c>
      <c r="DP75" t="e">
        <f>#REF!+";Hb!%KJ"</f>
        <v>#REF!</v>
      </c>
      <c r="DQ75" t="e">
        <f>#REF!+";Hb!%KK"</f>
        <v>#REF!</v>
      </c>
      <c r="DR75" t="e">
        <f>#REF!+";Hb!%KL"</f>
        <v>#REF!</v>
      </c>
      <c r="DS75" t="e">
        <f>#REF!+";Hb!%KM"</f>
        <v>#REF!</v>
      </c>
      <c r="DT75" t="e">
        <f>#REF!+";Hb!%KN"</f>
        <v>#REF!</v>
      </c>
      <c r="DU75" t="e">
        <f>#REF!+";Hb!%KO"</f>
        <v>#REF!</v>
      </c>
      <c r="DV75" t="e">
        <f>#REF!+";Hb!%KP"</f>
        <v>#REF!</v>
      </c>
      <c r="DW75" t="e">
        <f>#REF!+";Hb!%KQ"</f>
        <v>#REF!</v>
      </c>
      <c r="DX75" t="e">
        <f>#REF!+";Hb!%KR"</f>
        <v>#REF!</v>
      </c>
      <c r="DY75" t="e">
        <f>#REF!+";Hb!%KS"</f>
        <v>#REF!</v>
      </c>
      <c r="DZ75" t="e">
        <f>#REF!+";Hb!%KT"</f>
        <v>#REF!</v>
      </c>
      <c r="EA75" t="e">
        <f>#REF!+";Hb!%KU"</f>
        <v>#REF!</v>
      </c>
      <c r="EB75" t="e">
        <f>#REF!+";Hb!%KV"</f>
        <v>#REF!</v>
      </c>
      <c r="EC75" t="e">
        <f>#REF!+";Hb!%KW"</f>
        <v>#REF!</v>
      </c>
      <c r="ED75" t="e">
        <f>#REF!+";Hb!%KX"</f>
        <v>#REF!</v>
      </c>
      <c r="EE75" t="e">
        <f>#REF!+";Hb!%KY"</f>
        <v>#REF!</v>
      </c>
      <c r="EF75" t="e">
        <f>#REF!+";Hb!%KZ"</f>
        <v>#REF!</v>
      </c>
      <c r="EG75" t="e">
        <f>#REF!+";Hb!%K["</f>
        <v>#REF!</v>
      </c>
      <c r="EH75" t="e">
        <f>#REF!+";Hb!%K\"</f>
        <v>#REF!</v>
      </c>
      <c r="EI75" t="e">
        <f>#REF!+";Hb!%K]"</f>
        <v>#REF!</v>
      </c>
      <c r="EJ75" t="e">
        <f>#REF!+";Hb!%K^"</f>
        <v>#REF!</v>
      </c>
      <c r="EK75" t="e">
        <f>#REF!+";Hb!%K_"</f>
        <v>#REF!</v>
      </c>
      <c r="EL75" t="e">
        <f>#REF!+";Hb!%K`"</f>
        <v>#REF!</v>
      </c>
      <c r="EM75" t="e">
        <f>#REF!+";Hb!%Ka"</f>
        <v>#REF!</v>
      </c>
      <c r="EN75" t="e">
        <f>#REF!+";Hb!%Kb"</f>
        <v>#REF!</v>
      </c>
      <c r="EO75" t="e">
        <f>#REF!+";Hb!%Kc"</f>
        <v>#REF!</v>
      </c>
      <c r="EP75" t="e">
        <f>#REF!+";Hb!%Kd"</f>
        <v>#REF!</v>
      </c>
      <c r="EQ75" t="e">
        <f>#REF!+";Hb!%Ke"</f>
        <v>#REF!</v>
      </c>
      <c r="ER75" t="e">
        <f>#REF!+";Hb!%Kf"</f>
        <v>#REF!</v>
      </c>
      <c r="ES75" t="e">
        <f>#REF!+";Hb!%Kg"</f>
        <v>#REF!</v>
      </c>
      <c r="ET75" t="e">
        <f>#REF!+";Hb!%Kh"</f>
        <v>#REF!</v>
      </c>
      <c r="EU75" t="e">
        <f>#REF!+";Hb!%Ki"</f>
        <v>#REF!</v>
      </c>
      <c r="EV75" t="e">
        <f>#REF!+";Hb!%Kj"</f>
        <v>#REF!</v>
      </c>
      <c r="EW75" t="e">
        <f>#REF!+";Hb!%Kk"</f>
        <v>#REF!</v>
      </c>
      <c r="EX75" t="e">
        <f>#REF!+";Hb!%Kl"</f>
        <v>#REF!</v>
      </c>
      <c r="EY75" t="e">
        <f>#REF!+";Hb!%Km"</f>
        <v>#REF!</v>
      </c>
      <c r="EZ75" t="e">
        <f>#REF!+";Hb!%Kn"</f>
        <v>#REF!</v>
      </c>
      <c r="FA75" t="e">
        <f>#REF!+";Hb!%Ko"</f>
        <v>#REF!</v>
      </c>
      <c r="FB75" t="e">
        <f>#REF!+";Hb!%Kp"</f>
        <v>#REF!</v>
      </c>
      <c r="FC75" t="e">
        <f>#REF!+";Hb!%Kq"</f>
        <v>#REF!</v>
      </c>
      <c r="FD75" t="e">
        <f>#REF!+";Hb!%Kr"</f>
        <v>#REF!</v>
      </c>
      <c r="FE75" t="e">
        <f>#REF!+";Hb!%Ks"</f>
        <v>#REF!</v>
      </c>
      <c r="FF75" t="e">
        <f>#REF!+";Hb!%Kt"</f>
        <v>#REF!</v>
      </c>
      <c r="FG75" t="e">
        <f>#REF!+";Hb!%Ku"</f>
        <v>#REF!</v>
      </c>
      <c r="FH75" t="e">
        <f>#REF!+";Hb!%Kv"</f>
        <v>#REF!</v>
      </c>
      <c r="FI75" t="e">
        <f>#REF!+";Hb!%Kw"</f>
        <v>#REF!</v>
      </c>
      <c r="FJ75" t="e">
        <f>#REF!+";Hb!%Kx"</f>
        <v>#REF!</v>
      </c>
      <c r="FK75" t="e">
        <f>#REF!+";Hb!%Ky"</f>
        <v>#REF!</v>
      </c>
      <c r="FL75" t="e">
        <f>#REF!+";Hb!%Kz"</f>
        <v>#REF!</v>
      </c>
      <c r="FM75" t="e">
        <f>#REF!+";Hb!%K{"</f>
        <v>#REF!</v>
      </c>
      <c r="FN75" t="e">
        <f>#REF!+";Hb!%K|"</f>
        <v>#REF!</v>
      </c>
      <c r="FO75" t="e">
        <f>#REF!+";Hb!%K}"</f>
        <v>#REF!</v>
      </c>
      <c r="FP75" t="e">
        <f>#REF!+";Hb!%K~"</f>
        <v>#REF!</v>
      </c>
      <c r="FQ75" t="e">
        <f>#REF!+";Hb!%L#"</f>
        <v>#REF!</v>
      </c>
      <c r="FR75" t="e">
        <f>#REF!+";Hb!%L$"</f>
        <v>#REF!</v>
      </c>
      <c r="FS75" t="e">
        <f>#REF!+";Hb!%L%"</f>
        <v>#REF!</v>
      </c>
      <c r="FT75" t="e">
        <f>#REF!+";Hb!%L&amp;"</f>
        <v>#REF!</v>
      </c>
      <c r="FU75" t="e">
        <f>#REF!+";Hb!%L'"</f>
        <v>#REF!</v>
      </c>
      <c r="FV75" t="e">
        <f>#REF!+";Hb!%L("</f>
        <v>#REF!</v>
      </c>
      <c r="FW75" t="e">
        <f>#REF!+";Hb!%L)"</f>
        <v>#REF!</v>
      </c>
      <c r="FX75" t="e">
        <f>#REF!+";Hb!%L."</f>
        <v>#REF!</v>
      </c>
      <c r="FY75" t="e">
        <f>#REF!+";Hb!%L/"</f>
        <v>#REF!</v>
      </c>
      <c r="FZ75" t="e">
        <f>#REF!+";Hb!%L0"</f>
        <v>#REF!</v>
      </c>
      <c r="GA75" t="e">
        <f>#REF!+";Hb!%L1"</f>
        <v>#REF!</v>
      </c>
      <c r="GB75" t="e">
        <f>#REF!+";Hb!%L2"</f>
        <v>#REF!</v>
      </c>
      <c r="GC75" t="e">
        <f>#REF!+";Hb!%L3"</f>
        <v>#REF!</v>
      </c>
      <c r="GD75" t="e">
        <f>#REF!+";Hb!%L4"</f>
        <v>#REF!</v>
      </c>
      <c r="GE75" t="e">
        <f>#REF!+";Hb!%L5"</f>
        <v>#REF!</v>
      </c>
      <c r="GF75" t="e">
        <f>#REF!+";Hb!%L6"</f>
        <v>#REF!</v>
      </c>
      <c r="GG75" t="e">
        <f>#REF!+";Hb!%L7"</f>
        <v>#REF!</v>
      </c>
      <c r="GH75" t="e">
        <f>#REF!+";Hb!%L8"</f>
        <v>#REF!</v>
      </c>
      <c r="GI75" t="e">
        <f>#REF!+";Hb!%L9"</f>
        <v>#REF!</v>
      </c>
      <c r="GJ75" t="e">
        <f>#REF!+";Hb!%L:"</f>
        <v>#REF!</v>
      </c>
      <c r="GK75" t="e">
        <f>#REF!+";Hb!%L;"</f>
        <v>#REF!</v>
      </c>
      <c r="GL75" t="e">
        <f>#REF!+";Hb!%L&lt;"</f>
        <v>#REF!</v>
      </c>
      <c r="GM75" t="e">
        <f>#REF!+";Hb!%L="</f>
        <v>#REF!</v>
      </c>
      <c r="GN75" t="e">
        <f>#REF!+";Hb!%L&gt;"</f>
        <v>#REF!</v>
      </c>
      <c r="GO75" t="e">
        <f>#REF!+";Hb!%L?"</f>
        <v>#REF!</v>
      </c>
      <c r="GP75" t="e">
        <f>#REF!+";Hb!%L@"</f>
        <v>#REF!</v>
      </c>
      <c r="GQ75" t="e">
        <f>#REF!+";Hb!%LA"</f>
        <v>#REF!</v>
      </c>
      <c r="GR75" t="e">
        <f>#REF!+";Hb!%LB"</f>
        <v>#REF!</v>
      </c>
      <c r="GS75" t="e">
        <f>#REF!+";Hb!%LC"</f>
        <v>#REF!</v>
      </c>
      <c r="GT75" t="e">
        <f>#REF!+";Hb!%LD"</f>
        <v>#REF!</v>
      </c>
      <c r="GU75" t="e">
        <f>#REF!+";Hb!%LE"</f>
        <v>#REF!</v>
      </c>
      <c r="GV75" t="e">
        <f>#REF!+";Hb!%LF"</f>
        <v>#REF!</v>
      </c>
      <c r="GW75" t="e">
        <f>#REF!+";Hb!%LG"</f>
        <v>#REF!</v>
      </c>
      <c r="GX75" t="e">
        <f>#REF!+";Hb!%LH"</f>
        <v>#REF!</v>
      </c>
      <c r="GY75" t="e">
        <f>#REF!+";Hb!%LI"</f>
        <v>#REF!</v>
      </c>
      <c r="GZ75" t="e">
        <f>#REF!+";Hb!%LJ"</f>
        <v>#REF!</v>
      </c>
      <c r="HA75" t="e">
        <f>#REF!+";Hb!%LK"</f>
        <v>#REF!</v>
      </c>
      <c r="HB75" t="e">
        <f>#REF!+";Hb!%LL"</f>
        <v>#REF!</v>
      </c>
      <c r="HC75" t="e">
        <f>#REF!+";Hb!%LM"</f>
        <v>#REF!</v>
      </c>
      <c r="HD75" t="e">
        <f>#REF!+";Hb!%LN"</f>
        <v>#REF!</v>
      </c>
      <c r="HE75" t="e">
        <f>#REF!+";Hb!%LO"</f>
        <v>#REF!</v>
      </c>
      <c r="HF75" t="e">
        <f>#REF!+";Hb!%LP"</f>
        <v>#REF!</v>
      </c>
      <c r="HG75" t="e">
        <f>#REF!+";Hb!%LQ"</f>
        <v>#REF!</v>
      </c>
      <c r="HH75" t="e">
        <f>#REF!+";Hb!%LR"</f>
        <v>#REF!</v>
      </c>
      <c r="HI75" t="e">
        <f>#REF!+";Hb!%LS"</f>
        <v>#REF!</v>
      </c>
      <c r="HJ75" t="e">
        <f>#REF!+";Hb!%LT"</f>
        <v>#REF!</v>
      </c>
      <c r="HK75" t="e">
        <f>#REF!+";Hb!%LU"</f>
        <v>#REF!</v>
      </c>
      <c r="HL75" t="e">
        <f>#REF!+";Hb!%LV"</f>
        <v>#REF!</v>
      </c>
      <c r="HM75" t="e">
        <f>#REF!+";Hb!%LW"</f>
        <v>#REF!</v>
      </c>
      <c r="HN75" t="e">
        <f>#REF!+";Hb!%LX"</f>
        <v>#REF!</v>
      </c>
      <c r="HO75" t="e">
        <f>#REF!+";Hb!%LY"</f>
        <v>#REF!</v>
      </c>
      <c r="HP75" t="e">
        <f>#REF!+";Hb!%LZ"</f>
        <v>#REF!</v>
      </c>
      <c r="HQ75" t="e">
        <f>#REF!+";Hb!%L["</f>
        <v>#REF!</v>
      </c>
      <c r="HR75" t="e">
        <f>#REF!+";Hb!%L\"</f>
        <v>#REF!</v>
      </c>
      <c r="HS75" t="e">
        <f>#REF!+";Hb!%L]"</f>
        <v>#REF!</v>
      </c>
      <c r="HT75" t="e">
        <f>#REF!+";Hb!%L^"</f>
        <v>#REF!</v>
      </c>
      <c r="HU75" t="e">
        <f>#REF!+";Hb!%L_"</f>
        <v>#REF!</v>
      </c>
      <c r="HV75" t="e">
        <f>#REF!+";Hb!%L`"</f>
        <v>#REF!</v>
      </c>
      <c r="HW75" t="e">
        <f>#REF!+";Hb!%La"</f>
        <v>#REF!</v>
      </c>
      <c r="HX75" t="e">
        <f>#REF!+";Hb!%Lb"</f>
        <v>#REF!</v>
      </c>
      <c r="HY75" t="e">
        <f>#REF!+";Hb!%Lc"</f>
        <v>#REF!</v>
      </c>
      <c r="HZ75" t="e">
        <f>#REF!+";Hb!%Ld"</f>
        <v>#REF!</v>
      </c>
      <c r="IA75" t="e">
        <f>#REF!+";Hb!%Le"</f>
        <v>#REF!</v>
      </c>
      <c r="IB75" t="e">
        <f>#REF!+";Hb!%Lf"</f>
        <v>#REF!</v>
      </c>
      <c r="IC75" t="e">
        <f>#REF!+";Hb!%Lg"</f>
        <v>#REF!</v>
      </c>
      <c r="ID75" t="e">
        <f>#REF!+";Hb!%Lh"</f>
        <v>#REF!</v>
      </c>
      <c r="IE75" t="e">
        <f>#REF!+";Hb!%Li"</f>
        <v>#REF!</v>
      </c>
      <c r="IF75" t="e">
        <f>#REF!+";Hb!%Lj"</f>
        <v>#REF!</v>
      </c>
      <c r="IG75" t="e">
        <f>#REF!+";Hb!%Lk"</f>
        <v>#REF!</v>
      </c>
      <c r="IH75" t="e">
        <f>#REF!+";Hb!%Ll"</f>
        <v>#REF!</v>
      </c>
      <c r="II75" t="e">
        <f>#REF!+";Hb!%Lm"</f>
        <v>#REF!</v>
      </c>
      <c r="IJ75" t="e">
        <f>#REF!+";Hb!%Ln"</f>
        <v>#REF!</v>
      </c>
      <c r="IK75" t="e">
        <f>#REF!+";Hb!%Lo"</f>
        <v>#REF!</v>
      </c>
      <c r="IL75" t="e">
        <f>#REF!+";Hb!%Lp"</f>
        <v>#REF!</v>
      </c>
      <c r="IM75" t="e">
        <f>#REF!+";Hb!%Lq"</f>
        <v>#REF!</v>
      </c>
      <c r="IN75" t="e">
        <f>#REF!+";Hb!%Lr"</f>
        <v>#REF!</v>
      </c>
      <c r="IO75" t="e">
        <f>#REF!+";Hb!%Ls"</f>
        <v>#REF!</v>
      </c>
      <c r="IP75" t="e">
        <f>#REF!+";Hb!%Lt"</f>
        <v>#REF!</v>
      </c>
      <c r="IQ75" t="e">
        <f>#REF!+";Hb!%Lu"</f>
        <v>#REF!</v>
      </c>
      <c r="IR75" t="e">
        <f>#REF!+";Hb!%Lv"</f>
        <v>#REF!</v>
      </c>
      <c r="IS75" t="e">
        <f>#REF!+";Hb!%Lw"</f>
        <v>#REF!</v>
      </c>
      <c r="IT75" t="e">
        <f>#REF!+";Hb!%Lx"</f>
        <v>#REF!</v>
      </c>
      <c r="IU75" t="e">
        <f>#REF!+";Hb!%Ly"</f>
        <v>#REF!</v>
      </c>
      <c r="IV75" t="e">
        <f>#REF!+";Hb!%Lz"</f>
        <v>#REF!</v>
      </c>
    </row>
    <row r="76" spans="6:256" x14ac:dyDescent="0.25">
      <c r="F76" t="e">
        <f>#REF!+";Hb!%L{"</f>
        <v>#REF!</v>
      </c>
      <c r="G76" t="e">
        <f>#REF!+";Hb!%L|"</f>
        <v>#REF!</v>
      </c>
      <c r="H76" t="e">
        <f>#REF!+";Hb!%L}"</f>
        <v>#REF!</v>
      </c>
      <c r="I76" t="e">
        <f>#REF!+";Hb!%L~"</f>
        <v>#REF!</v>
      </c>
      <c r="J76" t="e">
        <f>#REF!+";Hb!%M#"</f>
        <v>#REF!</v>
      </c>
      <c r="K76" t="e">
        <f>#REF!+";Hb!%M$"</f>
        <v>#REF!</v>
      </c>
      <c r="L76" t="e">
        <f>#REF!+";Hb!%M%"</f>
        <v>#REF!</v>
      </c>
      <c r="M76" t="e">
        <f>#REF!+";Hb!%M&amp;"</f>
        <v>#REF!</v>
      </c>
      <c r="N76" t="e">
        <f>#REF!+";Hb!%M'"</f>
        <v>#REF!</v>
      </c>
      <c r="O76" t="e">
        <f>#REF!+";Hb!%M("</f>
        <v>#REF!</v>
      </c>
      <c r="P76" t="e">
        <f>#REF!+";Hb!%M)"</f>
        <v>#REF!</v>
      </c>
      <c r="Q76" t="e">
        <f>#REF!+";Hb!%M."</f>
        <v>#REF!</v>
      </c>
      <c r="R76" t="e">
        <f>#REF!+";Hb!%M/"</f>
        <v>#REF!</v>
      </c>
      <c r="S76" t="e">
        <f>#REF!+";Hb!%M0"</f>
        <v>#REF!</v>
      </c>
      <c r="T76" t="e">
        <f>#REF!+";Hb!%M1"</f>
        <v>#REF!</v>
      </c>
      <c r="U76" t="e">
        <f>#REF!+";Hb!%M2"</f>
        <v>#REF!</v>
      </c>
      <c r="V76" t="e">
        <f>#REF!+";Hb!%M3"</f>
        <v>#REF!</v>
      </c>
      <c r="W76" t="e">
        <f>#REF!+";Hb!%M4"</f>
        <v>#REF!</v>
      </c>
      <c r="X76" t="e">
        <f>#REF!+";Hb!%M5"</f>
        <v>#REF!</v>
      </c>
      <c r="Y76" t="e">
        <f>#REF!+";Hb!%M6"</f>
        <v>#REF!</v>
      </c>
      <c r="Z76" t="e">
        <f>#REF!+";Hb!%M7"</f>
        <v>#REF!</v>
      </c>
      <c r="AA76" t="e">
        <f>#REF!+";Hb!%M8"</f>
        <v>#REF!</v>
      </c>
      <c r="AB76" t="e">
        <f>#REF!+";Hb!%M9"</f>
        <v>#REF!</v>
      </c>
      <c r="AC76" t="e">
        <f>#REF!+";Hb!%M:"</f>
        <v>#REF!</v>
      </c>
      <c r="AD76" t="e">
        <f>#REF!+";Hb!%M;"</f>
        <v>#REF!</v>
      </c>
      <c r="AE76" t="e">
        <f>#REF!+";Hb!%M&lt;"</f>
        <v>#REF!</v>
      </c>
      <c r="AF76" t="e">
        <f>#REF!+";Hb!%M="</f>
        <v>#REF!</v>
      </c>
      <c r="AG76" t="e">
        <f>#REF!+";Hb!%M&gt;"</f>
        <v>#REF!</v>
      </c>
      <c r="AH76" t="e">
        <f>#REF!+";Hb!%M?"</f>
        <v>#REF!</v>
      </c>
      <c r="AI76" t="e">
        <f>#REF!+";Hb!%M@"</f>
        <v>#REF!</v>
      </c>
      <c r="AJ76" t="e">
        <f>#REF!+";Hb!%MA"</f>
        <v>#REF!</v>
      </c>
      <c r="AK76" t="e">
        <f>#REF!+";Hb!%MB"</f>
        <v>#REF!</v>
      </c>
      <c r="AL76" t="e">
        <f>#REF!+";Hb!%MC"</f>
        <v>#REF!</v>
      </c>
      <c r="AM76" t="e">
        <f>#REF!+";Hb!%MD"</f>
        <v>#REF!</v>
      </c>
      <c r="AN76" t="e">
        <f>#REF!+";Hb!%ME"</f>
        <v>#REF!</v>
      </c>
      <c r="AO76" t="e">
        <f>#REF!+";Hb!%MF"</f>
        <v>#REF!</v>
      </c>
      <c r="AP76" t="e">
        <f>#REF!+";Hb!%MG"</f>
        <v>#REF!</v>
      </c>
      <c r="AQ76" t="e">
        <f>#REF!+";Hb!%MH"</f>
        <v>#REF!</v>
      </c>
      <c r="AR76" t="e">
        <f>#REF!+";Hb!%MI"</f>
        <v>#REF!</v>
      </c>
      <c r="AS76" t="e">
        <f>#REF!+";Hb!%MJ"</f>
        <v>#REF!</v>
      </c>
      <c r="AT76" t="e">
        <f>#REF!+";Hb!%MK"</f>
        <v>#REF!</v>
      </c>
      <c r="AU76" t="e">
        <f>#REF!+";Hb!%ML"</f>
        <v>#REF!</v>
      </c>
      <c r="AV76" t="e">
        <f>#REF!+";Hb!%MM"</f>
        <v>#REF!</v>
      </c>
      <c r="AW76" t="e">
        <f>#REF!+";Hb!%MN"</f>
        <v>#REF!</v>
      </c>
      <c r="AX76" t="e">
        <f>#REF!+";Hb!%MO"</f>
        <v>#REF!</v>
      </c>
      <c r="AY76" t="e">
        <f>#REF!+";Hb!%MP"</f>
        <v>#REF!</v>
      </c>
      <c r="AZ76" t="e">
        <f>#REF!+";Hb!%MQ"</f>
        <v>#REF!</v>
      </c>
      <c r="BA76" t="e">
        <f>#REF!+";Hb!%MR"</f>
        <v>#REF!</v>
      </c>
      <c r="BB76" t="e">
        <f>#REF!+";Hb!%MS"</f>
        <v>#REF!</v>
      </c>
      <c r="BC76" t="e">
        <f>#REF!+";Hb!%MT"</f>
        <v>#REF!</v>
      </c>
      <c r="BD76" t="e">
        <f>#REF!+";Hb!%MU"</f>
        <v>#REF!</v>
      </c>
      <c r="BE76" t="e">
        <f>#REF!+";Hb!%MV"</f>
        <v>#REF!</v>
      </c>
      <c r="BF76" t="e">
        <f>#REF!+";Hb!%MW"</f>
        <v>#REF!</v>
      </c>
      <c r="BG76" t="e">
        <f>#REF!+";Hb!%MX"</f>
        <v>#REF!</v>
      </c>
      <c r="BH76" t="e">
        <f>#REF!+";Hb!%MY"</f>
        <v>#REF!</v>
      </c>
      <c r="BI76" t="e">
        <f>#REF!+";Hb!%MZ"</f>
        <v>#REF!</v>
      </c>
      <c r="BJ76" t="e">
        <f>#REF!+";Hb!%M["</f>
        <v>#REF!</v>
      </c>
      <c r="BK76" t="e">
        <f>#REF!+";Hb!%M\"</f>
        <v>#REF!</v>
      </c>
      <c r="BL76" t="e">
        <f>#REF!+";Hb!%M]"</f>
        <v>#REF!</v>
      </c>
      <c r="BM76" t="e">
        <f>#REF!+";Hb!%M^"</f>
        <v>#REF!</v>
      </c>
      <c r="BN76" t="e">
        <f>#REF!+";Hb!%M_"</f>
        <v>#REF!</v>
      </c>
      <c r="BO76" t="e">
        <f>#REF!+";Hb!%M`"</f>
        <v>#REF!</v>
      </c>
      <c r="BP76" t="e">
        <f>#REF!+";Hb!%Ma"</f>
        <v>#REF!</v>
      </c>
      <c r="BQ76" t="e">
        <f>#REF!+";Hb!%Mb"</f>
        <v>#REF!</v>
      </c>
      <c r="BR76" t="e">
        <f>#REF!+";Hb!%Mc"</f>
        <v>#REF!</v>
      </c>
      <c r="BS76" t="e">
        <f>#REF!+";Hb!%Md"</f>
        <v>#REF!</v>
      </c>
      <c r="BT76" t="e">
        <f>#REF!+";Hb!%Me"</f>
        <v>#REF!</v>
      </c>
      <c r="BU76" t="e">
        <f>#REF!+";Hb!%Mf"</f>
        <v>#REF!</v>
      </c>
      <c r="BV76" t="e">
        <f>#REF!+";Hb!%Mg"</f>
        <v>#REF!</v>
      </c>
      <c r="BW76" t="e">
        <f>#REF!+";Hb!%Mh"</f>
        <v>#REF!</v>
      </c>
      <c r="BX76" t="e">
        <f>#REF!+";Hb!%Mi"</f>
        <v>#REF!</v>
      </c>
      <c r="BY76" t="e">
        <f>#REF!+";Hb!%Mj"</f>
        <v>#REF!</v>
      </c>
      <c r="BZ76" t="e">
        <f>#REF!+";Hb!%Mk"</f>
        <v>#REF!</v>
      </c>
      <c r="CA76" t="e">
        <f>#REF!+";Hb!%Ml"</f>
        <v>#REF!</v>
      </c>
      <c r="CB76" t="e">
        <f>#REF!+";Hb!%Mm"</f>
        <v>#REF!</v>
      </c>
      <c r="CC76" t="e">
        <f>#REF!+";Hb!%Mn"</f>
        <v>#REF!</v>
      </c>
      <c r="CD76" t="e">
        <f>#REF!+";Hb!%Mo"</f>
        <v>#REF!</v>
      </c>
      <c r="CE76" t="e">
        <f>#REF!+";Hb!%Mp"</f>
        <v>#REF!</v>
      </c>
      <c r="CF76" t="e">
        <f>#REF!+";Hb!%Mq"</f>
        <v>#REF!</v>
      </c>
      <c r="CG76" t="e">
        <f>#REF!+";Hb!%Mr"</f>
        <v>#REF!</v>
      </c>
      <c r="CH76" t="e">
        <f>#REF!+";Hb!%Ms"</f>
        <v>#REF!</v>
      </c>
      <c r="CI76" t="e">
        <f>#REF!+";Hb!%Mt"</f>
        <v>#REF!</v>
      </c>
      <c r="CJ76" t="e">
        <f>#REF!+";Hb!%Mu"</f>
        <v>#REF!</v>
      </c>
      <c r="CK76" t="e">
        <f>#REF!+";Hb!%Mv"</f>
        <v>#REF!</v>
      </c>
      <c r="CL76" t="e">
        <f>#REF!+";Hb!%Mw"</f>
        <v>#REF!</v>
      </c>
      <c r="CM76" t="e">
        <f>#REF!+";Hb!%Mx"</f>
        <v>#REF!</v>
      </c>
      <c r="CN76" t="e">
        <f>#REF!+";Hb!%My"</f>
        <v>#REF!</v>
      </c>
      <c r="CO76" t="e">
        <f>#REF!+";Hb!%Mz"</f>
        <v>#REF!</v>
      </c>
      <c r="CP76" t="e">
        <f>#REF!+";Hb!%M{"</f>
        <v>#REF!</v>
      </c>
      <c r="CQ76" t="e">
        <f>#REF!+";Hb!%M|"</f>
        <v>#REF!</v>
      </c>
      <c r="CR76" t="e">
        <f>#REF!+";Hb!%M}"</f>
        <v>#REF!</v>
      </c>
      <c r="CS76" t="e">
        <f>#REF!+";Hb!%M~"</f>
        <v>#REF!</v>
      </c>
      <c r="CT76" t="e">
        <f>#REF!+";Hb!%N#"</f>
        <v>#REF!</v>
      </c>
      <c r="CU76" t="e">
        <f>#REF!+";Hb!%N$"</f>
        <v>#REF!</v>
      </c>
      <c r="CV76" t="e">
        <f>#REF!+";Hb!%N%"</f>
        <v>#REF!</v>
      </c>
      <c r="CW76" t="e">
        <f>#REF!+";Hb!%N&amp;"</f>
        <v>#REF!</v>
      </c>
      <c r="CX76" t="e">
        <f>#REF!+";Hb!%N'"</f>
        <v>#REF!</v>
      </c>
      <c r="CY76" t="e">
        <f>#REF!+";Hb!%N("</f>
        <v>#REF!</v>
      </c>
      <c r="CZ76" t="e">
        <f>#REF!+";Hb!%N)"</f>
        <v>#REF!</v>
      </c>
      <c r="DA76" t="e">
        <f>#REF!+";Hb!%N."</f>
        <v>#REF!</v>
      </c>
      <c r="DB76" t="e">
        <f>#REF!+";Hb!%N/"</f>
        <v>#REF!</v>
      </c>
      <c r="DC76" t="e">
        <f>#REF!+";Hb!%N0"</f>
        <v>#REF!</v>
      </c>
      <c r="DD76" t="e">
        <f>#REF!+";Hb!%N1"</f>
        <v>#REF!</v>
      </c>
      <c r="DE76" t="e">
        <f>#REF!+";Hb!%N2"</f>
        <v>#REF!</v>
      </c>
      <c r="DF76" t="e">
        <f>#REF!+";Hb!%N3"</f>
        <v>#REF!</v>
      </c>
      <c r="DG76" t="e">
        <f>#REF!+";Hb!%N4"</f>
        <v>#REF!</v>
      </c>
      <c r="DH76" t="e">
        <f>#REF!+";Hb!%N5"</f>
        <v>#REF!</v>
      </c>
      <c r="DI76" t="e">
        <f>#REF!+";Hb!%N6"</f>
        <v>#REF!</v>
      </c>
      <c r="DJ76" t="e">
        <f>#REF!+";Hb!%N7"</f>
        <v>#REF!</v>
      </c>
      <c r="DK76" t="e">
        <f>#REF!+";Hb!%N8"</f>
        <v>#REF!</v>
      </c>
      <c r="DL76" t="e">
        <f>#REF!+";Hb!%N9"</f>
        <v>#REF!</v>
      </c>
      <c r="DM76" t="e">
        <f>#REF!+";Hb!%N:"</f>
        <v>#REF!</v>
      </c>
      <c r="DN76" t="e">
        <f>#REF!+";Hb!%N;"</f>
        <v>#REF!</v>
      </c>
      <c r="DO76" t="e">
        <f>#REF!+";Hb!%N&lt;"</f>
        <v>#REF!</v>
      </c>
      <c r="DP76" t="e">
        <f>#REF!+";Hb!%N="</f>
        <v>#REF!</v>
      </c>
      <c r="DQ76" t="e">
        <f>#REF!+";Hb!%N&gt;"</f>
        <v>#REF!</v>
      </c>
      <c r="DR76" t="e">
        <f>#REF!+";Hb!%N?"</f>
        <v>#REF!</v>
      </c>
      <c r="DS76" t="e">
        <f>#REF!+";Hb!%N@"</f>
        <v>#REF!</v>
      </c>
      <c r="DT76" t="e">
        <f>#REF!+";Hb!%NA"</f>
        <v>#REF!</v>
      </c>
      <c r="DU76" t="e">
        <f>#REF!+";Hb!%NB"</f>
        <v>#REF!</v>
      </c>
      <c r="DV76" t="e">
        <f>#REF!+";Hb!%NC"</f>
        <v>#REF!</v>
      </c>
      <c r="DW76" t="e">
        <f>#REF!+";Hb!%ND"</f>
        <v>#REF!</v>
      </c>
      <c r="DX76" t="e">
        <f>#REF!+";Hb!%NE"</f>
        <v>#REF!</v>
      </c>
      <c r="DY76" t="e">
        <f>#REF!+";Hb!%NF"</f>
        <v>#REF!</v>
      </c>
      <c r="DZ76" t="e">
        <f>#REF!+";Hb!%NG"</f>
        <v>#REF!</v>
      </c>
      <c r="EA76" t="e">
        <f>#REF!+";Hb!%NH"</f>
        <v>#REF!</v>
      </c>
      <c r="EB76" t="e">
        <f>#REF!+";Hb!%NI"</f>
        <v>#REF!</v>
      </c>
      <c r="EC76" t="e">
        <f>#REF!+";Hb!%NJ"</f>
        <v>#REF!</v>
      </c>
      <c r="ED76" t="e">
        <f>#REF!+";Hb!%NK"</f>
        <v>#REF!</v>
      </c>
      <c r="EE76" t="e">
        <f>#REF!+";Hb!%NL"</f>
        <v>#REF!</v>
      </c>
      <c r="EF76" t="e">
        <f>#REF!+";Hb!%NM"</f>
        <v>#REF!</v>
      </c>
      <c r="EG76" t="e">
        <f>#REF!+";Hb!%NN"</f>
        <v>#REF!</v>
      </c>
      <c r="EH76" t="e">
        <f>#REF!+";Hb!%NO"</f>
        <v>#REF!</v>
      </c>
      <c r="EI76" t="e">
        <f>#REF!+";Hb!%NP"</f>
        <v>#REF!</v>
      </c>
      <c r="EJ76" t="e">
        <f>#REF!+";Hb!%NQ"</f>
        <v>#REF!</v>
      </c>
      <c r="EK76" t="e">
        <f>#REF!+";Hb!%NR"</f>
        <v>#REF!</v>
      </c>
      <c r="EL76" t="e">
        <f>#REF!+";Hb!%NS"</f>
        <v>#REF!</v>
      </c>
      <c r="EM76" t="e">
        <f>#REF!+";Hb!%NT"</f>
        <v>#REF!</v>
      </c>
      <c r="EN76" t="e">
        <f>#REF!+";Hb!%NU"</f>
        <v>#REF!</v>
      </c>
      <c r="EO76" t="e">
        <f>#REF!+";Hb!%NV"</f>
        <v>#REF!</v>
      </c>
      <c r="EP76" t="e">
        <f>#REF!+";Hb!%NW"</f>
        <v>#REF!</v>
      </c>
      <c r="EQ76" t="e">
        <f>#REF!+";Hb!%NX"</f>
        <v>#REF!</v>
      </c>
      <c r="ER76" t="e">
        <f>#REF!+";Hb!%NY"</f>
        <v>#REF!</v>
      </c>
      <c r="ES76" t="e">
        <f>#REF!+";Hb!%NZ"</f>
        <v>#REF!</v>
      </c>
      <c r="ET76" t="e">
        <f>#REF!+";Hb!%N["</f>
        <v>#REF!</v>
      </c>
      <c r="EU76" t="e">
        <f>#REF!+";Hb!%N\"</f>
        <v>#REF!</v>
      </c>
      <c r="EV76" t="e">
        <f>#REF!+";Hb!%N]"</f>
        <v>#REF!</v>
      </c>
      <c r="EW76" t="e">
        <f>#REF!+";Hb!%N^"</f>
        <v>#REF!</v>
      </c>
      <c r="EX76" t="e">
        <f>#REF!+";Hb!%N_"</f>
        <v>#REF!</v>
      </c>
      <c r="EY76" t="e">
        <f>#REF!+";Hb!%N`"</f>
        <v>#REF!</v>
      </c>
      <c r="EZ76" t="e">
        <f>#REF!+";Hb!%Na"</f>
        <v>#REF!</v>
      </c>
      <c r="FA76" t="e">
        <f>#REF!+";Hb!%Nb"</f>
        <v>#REF!</v>
      </c>
      <c r="FB76" t="e">
        <f>#REF!+";Hb!%Nc"</f>
        <v>#REF!</v>
      </c>
      <c r="FC76" t="e">
        <f>#REF!+";Hb!%Nd"</f>
        <v>#REF!</v>
      </c>
      <c r="FD76" t="e">
        <f>#REF!+";Hb!%Ne"</f>
        <v>#REF!</v>
      </c>
      <c r="FE76" t="e">
        <f>#REF!+";Hb!%Nf"</f>
        <v>#REF!</v>
      </c>
      <c r="FF76" t="e">
        <f>#REF!+";Hb!%Ng"</f>
        <v>#REF!</v>
      </c>
      <c r="FG76" t="e">
        <f>#REF!+";Hb!%Nh"</f>
        <v>#REF!</v>
      </c>
      <c r="FH76" t="e">
        <f>#REF!+";Hb!%Ni"</f>
        <v>#REF!</v>
      </c>
      <c r="FI76" t="e">
        <f>#REF!+";Hb!%Nj"</f>
        <v>#REF!</v>
      </c>
      <c r="FJ76" t="e">
        <f>#REF!+";Hb!%Nk"</f>
        <v>#REF!</v>
      </c>
      <c r="FK76" t="e">
        <f>#REF!+";Hb!%Nl"</f>
        <v>#REF!</v>
      </c>
      <c r="FL76" t="e">
        <f>#REF!+";Hb!%Nm"</f>
        <v>#REF!</v>
      </c>
      <c r="FM76" t="e">
        <f>#REF!+";Hb!%Nn"</f>
        <v>#REF!</v>
      </c>
      <c r="FN76" t="e">
        <f>#REF!+";Hb!%No"</f>
        <v>#REF!</v>
      </c>
      <c r="FO76" t="e">
        <f>#REF!+";Hb!%Np"</f>
        <v>#REF!</v>
      </c>
      <c r="FP76" t="e">
        <f>#REF!+";Hb!%Nq"</f>
        <v>#REF!</v>
      </c>
      <c r="FQ76" t="e">
        <f>#REF!+";Hb!%Nr"</f>
        <v>#REF!</v>
      </c>
      <c r="FR76" t="e">
        <f>#REF!+";Hb!%Ns"</f>
        <v>#REF!</v>
      </c>
      <c r="FS76" t="e">
        <f>#REF!+";Hb!%Nt"</f>
        <v>#REF!</v>
      </c>
      <c r="FT76" t="e">
        <f>#REF!+";Hb!%Nu"</f>
        <v>#REF!</v>
      </c>
      <c r="FU76" t="e">
        <f>#REF!+";Hb!%Nv"</f>
        <v>#REF!</v>
      </c>
      <c r="FV76" t="e">
        <f>#REF!+";Hb!%Nw"</f>
        <v>#REF!</v>
      </c>
      <c r="FW76" t="e">
        <f>#REF!+";Hb!%Nx"</f>
        <v>#REF!</v>
      </c>
      <c r="FX76" t="e">
        <f>#REF!+";Hb!%Ny"</f>
        <v>#REF!</v>
      </c>
      <c r="FY76" t="e">
        <f>#REF!+";Hb!%Nz"</f>
        <v>#REF!</v>
      </c>
      <c r="FZ76" t="e">
        <f>#REF!+";Hb!%N{"</f>
        <v>#REF!</v>
      </c>
      <c r="GA76" t="e">
        <f>#REF!+";Hb!%N|"</f>
        <v>#REF!</v>
      </c>
      <c r="GB76" t="e">
        <f>#REF!+";Hb!%N}"</f>
        <v>#REF!</v>
      </c>
      <c r="GC76" t="e">
        <f>#REF!+";Hb!%N~"</f>
        <v>#REF!</v>
      </c>
      <c r="GD76" t="e">
        <f>#REF!+";Hb!%O#"</f>
        <v>#REF!</v>
      </c>
      <c r="GE76" t="e">
        <f>#REF!+";Hb!%O$"</f>
        <v>#REF!</v>
      </c>
      <c r="GF76" t="e">
        <f>#REF!+";Hb!%O%"</f>
        <v>#REF!</v>
      </c>
      <c r="GG76" t="e">
        <f>#REF!+";Hb!%O&amp;"</f>
        <v>#REF!</v>
      </c>
      <c r="GH76" t="e">
        <f>#REF!+";Hb!%O'"</f>
        <v>#REF!</v>
      </c>
      <c r="GI76" t="e">
        <f>#REF!+";Hb!%O("</f>
        <v>#REF!</v>
      </c>
      <c r="GJ76" t="e">
        <f>#REF!+";Hb!%O)"</f>
        <v>#REF!</v>
      </c>
      <c r="GK76" t="e">
        <f>#REF!+";Hb!%O."</f>
        <v>#REF!</v>
      </c>
      <c r="GL76" t="e">
        <f>#REF!+";Hb!%O/"</f>
        <v>#REF!</v>
      </c>
      <c r="GM76" t="e">
        <f>#REF!+";Hb!%O0"</f>
        <v>#REF!</v>
      </c>
      <c r="GN76" t="e">
        <f>#REF!+";Hb!%O1"</f>
        <v>#REF!</v>
      </c>
      <c r="GO76" t="e">
        <f>#REF!+";Hb!%O2"</f>
        <v>#REF!</v>
      </c>
      <c r="GP76" t="e">
        <f>#REF!+";Hb!%O3"</f>
        <v>#REF!</v>
      </c>
      <c r="GQ76" t="e">
        <f>#REF!+";Hb!%O4"</f>
        <v>#REF!</v>
      </c>
      <c r="GR76" t="e">
        <f>#REF!+";Hb!%O5"</f>
        <v>#REF!</v>
      </c>
      <c r="GS76" t="e">
        <f>#REF!+";Hb!%O6"</f>
        <v>#REF!</v>
      </c>
      <c r="GT76" t="e">
        <f>#REF!+";Hb!%O7"</f>
        <v>#REF!</v>
      </c>
      <c r="GU76" t="e">
        <f>#REF!+";Hb!%O8"</f>
        <v>#REF!</v>
      </c>
      <c r="GV76" t="e">
        <f>#REF!+";Hb!%O9"</f>
        <v>#REF!</v>
      </c>
      <c r="GW76" t="e">
        <f>#REF!+";Hb!%O:"</f>
        <v>#REF!</v>
      </c>
      <c r="GX76" t="e">
        <f>#REF!+";Hb!%O;"</f>
        <v>#REF!</v>
      </c>
      <c r="GY76" t="e">
        <f>#REF!+";Hb!%O&lt;"</f>
        <v>#REF!</v>
      </c>
      <c r="GZ76" t="e">
        <f>#REF!+";Hb!%O="</f>
        <v>#REF!</v>
      </c>
      <c r="HA76" t="e">
        <f>#REF!+";Hb!%O&gt;"</f>
        <v>#REF!</v>
      </c>
      <c r="HB76" t="e">
        <f>#REF!+";Hb!%O?"</f>
        <v>#REF!</v>
      </c>
      <c r="HC76" t="e">
        <f>#REF!+";Hb!%O@"</f>
        <v>#REF!</v>
      </c>
      <c r="HD76" t="e">
        <f>#REF!+";Hb!%OA"</f>
        <v>#REF!</v>
      </c>
      <c r="HE76" t="e">
        <f>#REF!+";Hb!%OB"</f>
        <v>#REF!</v>
      </c>
      <c r="HF76" t="e">
        <f>#REF!+";Hb!%OC"</f>
        <v>#REF!</v>
      </c>
      <c r="HG76" t="e">
        <f>#REF!+";Hb!%OD"</f>
        <v>#REF!</v>
      </c>
      <c r="HH76" t="e">
        <f>#REF!+";Hb!%OE"</f>
        <v>#REF!</v>
      </c>
      <c r="HI76" t="e">
        <f>#REF!+";Hb!%OF"</f>
        <v>#REF!</v>
      </c>
      <c r="HJ76" t="e">
        <f>#REF!+";Hb!%OG"</f>
        <v>#REF!</v>
      </c>
      <c r="HK76" t="e">
        <f>#REF!+";Hb!%OH"</f>
        <v>#REF!</v>
      </c>
      <c r="HL76" t="e">
        <f>#REF!+";Hb!%OI"</f>
        <v>#REF!</v>
      </c>
      <c r="HM76" t="e">
        <f>#REF!+";Hb!%OJ"</f>
        <v>#REF!</v>
      </c>
      <c r="HN76" t="e">
        <f>#REF!+";Hb!%OK"</f>
        <v>#REF!</v>
      </c>
      <c r="HO76" t="e">
        <f>#REF!+";Hb!%OL"</f>
        <v>#REF!</v>
      </c>
      <c r="HP76" t="e">
        <f>#REF!+";Hb!%OM"</f>
        <v>#REF!</v>
      </c>
      <c r="HQ76" t="e">
        <f>#REF!+";Hb!%ON"</f>
        <v>#REF!</v>
      </c>
      <c r="HR76" t="e">
        <f>#REF!+";Hb!%OO"</f>
        <v>#REF!</v>
      </c>
      <c r="HS76" t="e">
        <f>#REF!+";Hb!%OP"</f>
        <v>#REF!</v>
      </c>
      <c r="HT76" t="e">
        <f>#REF!+";Hb!%OQ"</f>
        <v>#REF!</v>
      </c>
      <c r="HU76" t="e">
        <f>#REF!+";Hb!%OR"</f>
        <v>#REF!</v>
      </c>
      <c r="HV76" t="e">
        <f>#REF!+";Hb!%OS"</f>
        <v>#REF!</v>
      </c>
      <c r="HW76" t="e">
        <f>#REF!+";Hb!%OT"</f>
        <v>#REF!</v>
      </c>
      <c r="HX76" t="e">
        <f>#REF!+";Hb!%OU"</f>
        <v>#REF!</v>
      </c>
      <c r="HY76" t="e">
        <f>#REF!+";Hb!%OV"</f>
        <v>#REF!</v>
      </c>
      <c r="HZ76" t="e">
        <f>#REF!+";Hb!%OW"</f>
        <v>#REF!</v>
      </c>
      <c r="IA76" t="e">
        <f>#REF!+";Hb!%OX"</f>
        <v>#REF!</v>
      </c>
      <c r="IB76" t="e">
        <f>#REF!+";Hb!%OY"</f>
        <v>#REF!</v>
      </c>
      <c r="IC76" t="e">
        <f>#REF!+";Hb!%OZ"</f>
        <v>#REF!</v>
      </c>
      <c r="ID76" t="e">
        <f>#REF!+";Hb!%O["</f>
        <v>#REF!</v>
      </c>
      <c r="IE76" t="e">
        <f>#REF!+";Hb!%O\"</f>
        <v>#REF!</v>
      </c>
      <c r="IF76" t="e">
        <f>#REF!+";Hb!%O]"</f>
        <v>#REF!</v>
      </c>
      <c r="IG76" t="e">
        <f>#REF!+";Hb!%O^"</f>
        <v>#REF!</v>
      </c>
      <c r="IH76" t="e">
        <f>#REF!+";Hb!%O_"</f>
        <v>#REF!</v>
      </c>
      <c r="II76" t="e">
        <f>#REF!+";Hb!%O`"</f>
        <v>#REF!</v>
      </c>
      <c r="IJ76" t="e">
        <f>#REF!+";Hb!%Oa"</f>
        <v>#REF!</v>
      </c>
      <c r="IK76" t="e">
        <f>#REF!+";Hb!%Ob"</f>
        <v>#REF!</v>
      </c>
      <c r="IL76" t="e">
        <f>#REF!+";Hb!%Oc"</f>
        <v>#REF!</v>
      </c>
      <c r="IM76" t="e">
        <f>#REF!+";Hb!%Od"</f>
        <v>#REF!</v>
      </c>
      <c r="IN76" t="e">
        <f>#REF!+";Hb!%Oe"</f>
        <v>#REF!</v>
      </c>
      <c r="IO76" t="e">
        <f>#REF!+";Hb!%Of"</f>
        <v>#REF!</v>
      </c>
      <c r="IP76" t="e">
        <f>#REF!+";Hb!%Og"</f>
        <v>#REF!</v>
      </c>
      <c r="IQ76" t="e">
        <f>#REF!+";Hb!%Oh"</f>
        <v>#REF!</v>
      </c>
      <c r="IR76" t="e">
        <f>#REF!+";Hb!%Oi"</f>
        <v>#REF!</v>
      </c>
      <c r="IS76" t="e">
        <f>#REF!+";Hb!%Oj"</f>
        <v>#REF!</v>
      </c>
      <c r="IT76" t="e">
        <f>#REF!+";Hb!%Ok"</f>
        <v>#REF!</v>
      </c>
      <c r="IU76" t="e">
        <f>#REF!+";Hb!%Ol"</f>
        <v>#REF!</v>
      </c>
      <c r="IV76" t="e">
        <f>#REF!+";Hb!%Om"</f>
        <v>#REF!</v>
      </c>
    </row>
    <row r="77" spans="6:256" x14ac:dyDescent="0.25">
      <c r="F77" t="e">
        <f>#REF!+";Hb!%On"</f>
        <v>#REF!</v>
      </c>
      <c r="G77" t="e">
        <f>#REF!+";Hb!%Oo"</f>
        <v>#REF!</v>
      </c>
      <c r="H77" t="e">
        <f>#REF!+";Hb!%Op"</f>
        <v>#REF!</v>
      </c>
      <c r="I77" t="e">
        <f>#REF!+";Hb!%Oq"</f>
        <v>#REF!</v>
      </c>
      <c r="J77" t="e">
        <f>#REF!+";Hb!%Or"</f>
        <v>#REF!</v>
      </c>
      <c r="K77" t="e">
        <f>#REF!+";Hb!%Os"</f>
        <v>#REF!</v>
      </c>
      <c r="L77" t="e">
        <f>#REF!+";Hb!%Ot"</f>
        <v>#REF!</v>
      </c>
      <c r="M77" t="e">
        <f>#REF!+";Hb!%Ou"</f>
        <v>#REF!</v>
      </c>
      <c r="N77" t="e">
        <f>#REF!+";Hb!%Ov"</f>
        <v>#REF!</v>
      </c>
      <c r="O77" t="e">
        <f>#REF!+";Hb!%Ow"</f>
        <v>#REF!</v>
      </c>
      <c r="P77" t="e">
        <f>#REF!+";Hb!%Ox"</f>
        <v>#REF!</v>
      </c>
      <c r="Q77" t="e">
        <f>#REF!+";Hb!%Oy"</f>
        <v>#REF!</v>
      </c>
      <c r="R77" t="e">
        <f>#REF!+";Hb!%Oz"</f>
        <v>#REF!</v>
      </c>
      <c r="S77" t="e">
        <f>#REF!+";Hb!%O{"</f>
        <v>#REF!</v>
      </c>
      <c r="T77" t="e">
        <f>#REF!+";Hb!%O|"</f>
        <v>#REF!</v>
      </c>
      <c r="U77" t="e">
        <f>#REF!+";Hb!%O}"</f>
        <v>#REF!</v>
      </c>
      <c r="V77" t="e">
        <f>#REF!+";Hb!%O~"</f>
        <v>#REF!</v>
      </c>
      <c r="W77" t="e">
        <f>#REF!+";Hb!%P#"</f>
        <v>#REF!</v>
      </c>
      <c r="X77" t="e">
        <f>#REF!+";Hb!%P$"</f>
        <v>#REF!</v>
      </c>
      <c r="Y77" t="e">
        <f>#REF!+";Hb!%P%"</f>
        <v>#REF!</v>
      </c>
      <c r="Z77" t="e">
        <f>#REF!+";Hb!%P&amp;"</f>
        <v>#REF!</v>
      </c>
      <c r="AA77" t="e">
        <f>#REF!+";Hb!%P'"</f>
        <v>#REF!</v>
      </c>
      <c r="AB77" t="e">
        <f>#REF!+";Hb!%P("</f>
        <v>#REF!</v>
      </c>
      <c r="AC77" t="e">
        <f>#REF!+";Hb!%P)"</f>
        <v>#REF!</v>
      </c>
      <c r="AD77" t="e">
        <f>#REF!+";Hb!%P."</f>
        <v>#REF!</v>
      </c>
      <c r="AE77" t="e">
        <f>#REF!+";Hb!%P/"</f>
        <v>#REF!</v>
      </c>
      <c r="AF77" t="e">
        <f>#REF!+";Hb!%P0"</f>
        <v>#REF!</v>
      </c>
      <c r="AG77" t="e">
        <f>#REF!+";Hb!%P1"</f>
        <v>#REF!</v>
      </c>
      <c r="AH77" t="e">
        <f>#REF!+";Hb!%P2"</f>
        <v>#REF!</v>
      </c>
      <c r="AI77" t="e">
        <f>#REF!+";Hb!%P3"</f>
        <v>#REF!</v>
      </c>
      <c r="AJ77" t="e">
        <f>#REF!+";Hb!%P4"</f>
        <v>#REF!</v>
      </c>
      <c r="AK77" t="e">
        <f>#REF!+";Hb!%P5"</f>
        <v>#REF!</v>
      </c>
      <c r="AL77" t="e">
        <f>#REF!+";Hb!%P6"</f>
        <v>#REF!</v>
      </c>
      <c r="AM77" t="e">
        <f>#REF!+";Hb!%P7"</f>
        <v>#REF!</v>
      </c>
      <c r="AN77" t="e">
        <f>#REF!+";Hb!%P8"</f>
        <v>#REF!</v>
      </c>
      <c r="AO77" t="e">
        <f>#REF!+";Hb!%P9"</f>
        <v>#REF!</v>
      </c>
      <c r="AP77" t="e">
        <f>#REF!+";Hb!%P:"</f>
        <v>#REF!</v>
      </c>
      <c r="AQ77" t="e">
        <f>#REF!+";Hb!%P;"</f>
        <v>#REF!</v>
      </c>
      <c r="AR77" t="e">
        <f>#REF!+";Hb!%P&lt;"</f>
        <v>#REF!</v>
      </c>
      <c r="AS77" t="e">
        <f>#REF!+";Hb!%P="</f>
        <v>#REF!</v>
      </c>
      <c r="AT77" t="e">
        <f>#REF!+";Hb!%P&gt;"</f>
        <v>#REF!</v>
      </c>
      <c r="AU77" t="e">
        <f>#REF!+";Hb!%P?"</f>
        <v>#REF!</v>
      </c>
      <c r="AV77" t="e">
        <f>#REF!+";Hb!%P@"</f>
        <v>#REF!</v>
      </c>
      <c r="AW77" t="e">
        <f>#REF!+";Hb!%PA"</f>
        <v>#REF!</v>
      </c>
      <c r="AX77" t="e">
        <f>#REF!+";Hb!%PB"</f>
        <v>#REF!</v>
      </c>
      <c r="AY77" t="e">
        <f>#REF!+";Hb!%PC"</f>
        <v>#REF!</v>
      </c>
      <c r="AZ77" t="e">
        <f>#REF!+";Hb!%PD"</f>
        <v>#REF!</v>
      </c>
      <c r="BA77" t="e">
        <f>#REF!+";Hb!%PE"</f>
        <v>#REF!</v>
      </c>
      <c r="BB77" t="e">
        <f>#REF!+";Hb!%PF"</f>
        <v>#REF!</v>
      </c>
      <c r="BC77" t="e">
        <f>#REF!+";Hb!%PG"</f>
        <v>#REF!</v>
      </c>
      <c r="BD77" t="e">
        <f>#REF!+";Hb!%PH"</f>
        <v>#REF!</v>
      </c>
      <c r="BE77" t="e">
        <f>#REF!+";Hb!%PI"</f>
        <v>#REF!</v>
      </c>
      <c r="BF77" t="e">
        <f>#REF!+";Hb!%PJ"</f>
        <v>#REF!</v>
      </c>
      <c r="BG77" t="e">
        <f>#REF!+";Hb!%PK"</f>
        <v>#REF!</v>
      </c>
      <c r="BH77" t="e">
        <f>#REF!+";Hb!%PL"</f>
        <v>#REF!</v>
      </c>
      <c r="BI77" t="e">
        <f>#REF!+";Hb!%PM"</f>
        <v>#REF!</v>
      </c>
      <c r="BJ77" t="e">
        <f>#REF!+";Hb!%PN"</f>
        <v>#REF!</v>
      </c>
      <c r="BK77" t="e">
        <f>#REF!+";Hb!%PO"</f>
        <v>#REF!</v>
      </c>
      <c r="BL77" t="e">
        <f>#REF!+";Hb!%PP"</f>
        <v>#REF!</v>
      </c>
      <c r="BM77" t="e">
        <f>#REF!+";Hb!%PQ"</f>
        <v>#REF!</v>
      </c>
      <c r="BN77" t="e">
        <f>#REF!+";Hb!%PR"</f>
        <v>#REF!</v>
      </c>
      <c r="BO77" t="e">
        <f>#REF!+";Hb!%PS"</f>
        <v>#REF!</v>
      </c>
      <c r="BP77" t="e">
        <f>#REF!+";Hb!%PT"</f>
        <v>#REF!</v>
      </c>
      <c r="BQ77" t="e">
        <f>#REF!+";Hb!%PU"</f>
        <v>#REF!</v>
      </c>
      <c r="BR77" t="e">
        <f>#REF!+";Hb!%PV"</f>
        <v>#REF!</v>
      </c>
      <c r="BS77" t="e">
        <f>#REF!+";Hb!%PW"</f>
        <v>#REF!</v>
      </c>
      <c r="BT77" t="e">
        <f>#REF!+";Hb!%PX"</f>
        <v>#REF!</v>
      </c>
      <c r="BU77" t="e">
        <f>#REF!+";Hb!%PY"</f>
        <v>#REF!</v>
      </c>
      <c r="BV77" t="e">
        <f>#REF!+";Hb!%PZ"</f>
        <v>#REF!</v>
      </c>
      <c r="BW77" t="e">
        <f>#REF!+";Hb!%P["</f>
        <v>#REF!</v>
      </c>
      <c r="BX77" t="e">
        <f>#REF!+";Hb!%P\"</f>
        <v>#REF!</v>
      </c>
      <c r="BY77" t="e">
        <f>#REF!+";Hb!%P]"</f>
        <v>#REF!</v>
      </c>
      <c r="BZ77" t="e">
        <f>#REF!+";Hb!%P^"</f>
        <v>#REF!</v>
      </c>
      <c r="CA77" t="e">
        <f>#REF!+";Hb!%P_"</f>
        <v>#REF!</v>
      </c>
      <c r="CB77" t="e">
        <f>#REF!+";Hb!%P`"</f>
        <v>#REF!</v>
      </c>
      <c r="CC77" t="e">
        <f>#REF!+";Hb!%Pa"</f>
        <v>#REF!</v>
      </c>
      <c r="CD77" t="e">
        <f>#REF!+";Hb!%Pb"</f>
        <v>#REF!</v>
      </c>
      <c r="CE77" t="e">
        <f>#REF!+";Hb!%Pc"</f>
        <v>#REF!</v>
      </c>
      <c r="CF77" t="e">
        <f>#REF!+";Hb!%Pd"</f>
        <v>#REF!</v>
      </c>
      <c r="CG77" t="e">
        <f>#REF!+";Hb!%Pe"</f>
        <v>#REF!</v>
      </c>
      <c r="CH77" t="e">
        <f>#REF!+";Hb!%Pf"</f>
        <v>#REF!</v>
      </c>
      <c r="CI77" t="e">
        <f>#REF!+";Hb!%Pg"</f>
        <v>#REF!</v>
      </c>
      <c r="CJ77" t="e">
        <f>#REF!+";Hb!%Ph"</f>
        <v>#REF!</v>
      </c>
      <c r="CK77" t="e">
        <f>#REF!+";Hb!%Pi"</f>
        <v>#REF!</v>
      </c>
      <c r="CL77" t="e">
        <f>#REF!+";Hb!%Pj"</f>
        <v>#REF!</v>
      </c>
      <c r="CM77" t="e">
        <f>#REF!+";Hb!%Pk"</f>
        <v>#REF!</v>
      </c>
      <c r="CN77" t="e">
        <f>#REF!+";Hb!%Pl"</f>
        <v>#REF!</v>
      </c>
      <c r="CO77" t="e">
        <f>#REF!+";Hb!%Pm"</f>
        <v>#REF!</v>
      </c>
      <c r="CP77" t="e">
        <f>#REF!+";Hb!%Pn"</f>
        <v>#REF!</v>
      </c>
      <c r="CQ77" t="e">
        <f>#REF!+";Hb!%Po"</f>
        <v>#REF!</v>
      </c>
      <c r="CR77" t="e">
        <f>#REF!+";Hb!%Pp"</f>
        <v>#REF!</v>
      </c>
      <c r="CS77" t="e">
        <f>#REF!+";Hb!%Pq"</f>
        <v>#REF!</v>
      </c>
      <c r="CT77" t="e">
        <f>#REF!+";Hb!%Pr"</f>
        <v>#REF!</v>
      </c>
      <c r="CU77" t="e">
        <f>#REF!+";Hb!%Ps"</f>
        <v>#REF!</v>
      </c>
      <c r="CV77" t="e">
        <f>#REF!+";Hb!%Pt"</f>
        <v>#REF!</v>
      </c>
      <c r="CW77" t="e">
        <f>#REF!+";Hb!%Pu"</f>
        <v>#REF!</v>
      </c>
      <c r="CX77" t="e">
        <f>#REF!+";Hb!%Pv"</f>
        <v>#REF!</v>
      </c>
      <c r="CY77" t="e">
        <f>#REF!+";Hb!%Pw"</f>
        <v>#REF!</v>
      </c>
      <c r="CZ77" t="e">
        <f>#REF!+";Hb!%Px"</f>
        <v>#REF!</v>
      </c>
      <c r="DA77" t="e">
        <f>#REF!+";Hb!%Py"</f>
        <v>#REF!</v>
      </c>
      <c r="DB77" t="e">
        <f>#REF!+";Hb!%Pz"</f>
        <v>#REF!</v>
      </c>
      <c r="DC77" t="e">
        <f>#REF!+";Hb!%P{"</f>
        <v>#REF!</v>
      </c>
      <c r="DD77" t="e">
        <f>#REF!+";Hb!%P|"</f>
        <v>#REF!</v>
      </c>
      <c r="DE77" t="e">
        <f>#REF!+";Hb!%P}"</f>
        <v>#REF!</v>
      </c>
      <c r="DF77" t="e">
        <f>#REF!+";Hb!%P~"</f>
        <v>#REF!</v>
      </c>
      <c r="DG77" t="e">
        <f>#REF!+";Hb!%Q#"</f>
        <v>#REF!</v>
      </c>
      <c r="DH77" t="e">
        <f>#REF!+";Hb!%Q$"</f>
        <v>#REF!</v>
      </c>
      <c r="DI77" t="e">
        <f>#REF!+";Hb!%Q%"</f>
        <v>#REF!</v>
      </c>
      <c r="DJ77" t="e">
        <f>#REF!+";Hb!%Q&amp;"</f>
        <v>#REF!</v>
      </c>
      <c r="DK77" t="e">
        <f>#REF!+";Hb!%Q'"</f>
        <v>#REF!</v>
      </c>
      <c r="DL77" t="e">
        <f>#REF!+";Hb!%Q("</f>
        <v>#REF!</v>
      </c>
      <c r="DM77" t="e">
        <f>#REF!+";Hb!%Q)"</f>
        <v>#REF!</v>
      </c>
      <c r="DN77" t="e">
        <f>#REF!+";Hb!%Q."</f>
        <v>#REF!</v>
      </c>
      <c r="DO77" t="e">
        <f>#REF!+";Hb!%Q/"</f>
        <v>#REF!</v>
      </c>
      <c r="DP77" t="e">
        <f>#REF!+";Hb!%Q0"</f>
        <v>#REF!</v>
      </c>
      <c r="DQ77" t="e">
        <f>#REF!+";Hb!%Q1"</f>
        <v>#REF!</v>
      </c>
      <c r="DR77" t="e">
        <f>#REF!+";Hb!%Q2"</f>
        <v>#REF!</v>
      </c>
      <c r="DS77" t="e">
        <f>#REF!+";Hb!%Q3"</f>
        <v>#REF!</v>
      </c>
      <c r="DT77" t="e">
        <f>#REF!+";Hb!%Q4"</f>
        <v>#REF!</v>
      </c>
      <c r="DU77" t="e">
        <f>#REF!+";Hb!%Q5"</f>
        <v>#REF!</v>
      </c>
      <c r="DV77" t="e">
        <f>#REF!+";Hb!%Q6"</f>
        <v>#REF!</v>
      </c>
      <c r="DW77" t="e">
        <f>#REF!+";Hb!%Q7"</f>
        <v>#REF!</v>
      </c>
      <c r="DX77" t="e">
        <f>#REF!+";Hb!%Q8"</f>
        <v>#REF!</v>
      </c>
      <c r="DY77" t="e">
        <f>#REF!+";Hb!%Q9"</f>
        <v>#REF!</v>
      </c>
      <c r="DZ77" t="e">
        <f>#REF!+";Hb!%Q:"</f>
        <v>#REF!</v>
      </c>
      <c r="EA77" t="e">
        <f>#REF!+";Hb!%Q;"</f>
        <v>#REF!</v>
      </c>
      <c r="EB77" t="e">
        <f>#REF!+";Hb!%Q&lt;"</f>
        <v>#REF!</v>
      </c>
      <c r="EC77" t="e">
        <f>#REF!+";Hb!%Q="</f>
        <v>#REF!</v>
      </c>
      <c r="ED77" t="e">
        <f>#REF!+";Hb!%Q&gt;"</f>
        <v>#REF!</v>
      </c>
      <c r="EE77" t="e">
        <f>#REF!+";Hb!%Q?"</f>
        <v>#REF!</v>
      </c>
      <c r="EF77" t="e">
        <f>#REF!+";Hb!%Q@"</f>
        <v>#REF!</v>
      </c>
      <c r="EG77" t="e">
        <f>#REF!+";Hb!%QA"</f>
        <v>#REF!</v>
      </c>
      <c r="EH77" t="e">
        <f>#REF!+";Hb!%QB"</f>
        <v>#REF!</v>
      </c>
      <c r="EI77" t="e">
        <f>#REF!+";Hb!%QC"</f>
        <v>#REF!</v>
      </c>
      <c r="EJ77" t="e">
        <f>#REF!+";Hb!%QD"</f>
        <v>#REF!</v>
      </c>
      <c r="EK77" t="e">
        <f>#REF!+";Hb!%QE"</f>
        <v>#REF!</v>
      </c>
      <c r="EL77" t="e">
        <f>#REF!+";Hb!%QF"</f>
        <v>#REF!</v>
      </c>
      <c r="EM77" t="e">
        <f>#REF!+";Hb!%QG"</f>
        <v>#REF!</v>
      </c>
      <c r="EN77" t="e">
        <f>#REF!+";Hb!%QH"</f>
        <v>#REF!</v>
      </c>
      <c r="EO77" t="e">
        <f>#REF!+";Hb!%QI"</f>
        <v>#REF!</v>
      </c>
      <c r="EP77" t="e">
        <f>#REF!+";Hb!%QJ"</f>
        <v>#REF!</v>
      </c>
      <c r="EQ77" t="e">
        <f>#REF!+";Hb!%QK"</f>
        <v>#REF!</v>
      </c>
      <c r="ER77" t="e">
        <f>#REF!+";Hb!%QL"</f>
        <v>#REF!</v>
      </c>
      <c r="ES77" t="e">
        <f>#REF!+";Hb!%QM"</f>
        <v>#REF!</v>
      </c>
      <c r="ET77" t="e">
        <f>#REF!+";Hb!%QN"</f>
        <v>#REF!</v>
      </c>
      <c r="EU77" t="e">
        <f>#REF!+";Hb!%QO"</f>
        <v>#REF!</v>
      </c>
      <c r="EV77" t="e">
        <f>#REF!+";Hb!%QP"</f>
        <v>#REF!</v>
      </c>
      <c r="EW77" t="e">
        <f>#REF!+";Hb!%QQ"</f>
        <v>#REF!</v>
      </c>
      <c r="EX77" t="e">
        <f>#REF!+";Hb!%QR"</f>
        <v>#REF!</v>
      </c>
      <c r="EY77" t="e">
        <f>#REF!+";Hb!%QS"</f>
        <v>#REF!</v>
      </c>
      <c r="EZ77" t="e">
        <f>#REF!+";Hb!%QT"</f>
        <v>#REF!</v>
      </c>
      <c r="FA77" t="e">
        <f>#REF!+";Hb!%QU"</f>
        <v>#REF!</v>
      </c>
      <c r="FB77" t="e">
        <f>#REF!+";Hb!%QV"</f>
        <v>#REF!</v>
      </c>
      <c r="FC77" t="e">
        <f>#REF!+";Hb!%QW"</f>
        <v>#REF!</v>
      </c>
      <c r="FD77" t="e">
        <f>#REF!+";Hb!%QX"</f>
        <v>#REF!</v>
      </c>
      <c r="FE77" t="e">
        <f>#REF!+";Hb!%QY"</f>
        <v>#REF!</v>
      </c>
      <c r="FF77" t="e">
        <f>#REF!+";Hb!%QZ"</f>
        <v>#REF!</v>
      </c>
      <c r="FG77" t="e">
        <f>#REF!+";Hb!%Q["</f>
        <v>#REF!</v>
      </c>
      <c r="FH77" t="e">
        <f>#REF!+";Hb!%Q\"</f>
        <v>#REF!</v>
      </c>
      <c r="FI77" t="e">
        <f>#REF!+";Hb!%Q]"</f>
        <v>#REF!</v>
      </c>
      <c r="FJ77" t="e">
        <f>#REF!+";Hb!%Q^"</f>
        <v>#REF!</v>
      </c>
      <c r="FK77" t="e">
        <f>#REF!+";Hb!%Q_"</f>
        <v>#REF!</v>
      </c>
      <c r="FL77" t="e">
        <f>#REF!+";Hb!%Q`"</f>
        <v>#REF!</v>
      </c>
      <c r="FM77" t="e">
        <f>#REF!+";Hb!%Qa"</f>
        <v>#REF!</v>
      </c>
      <c r="FN77" t="e">
        <f>#REF!+";Hb!%Qb"</f>
        <v>#REF!</v>
      </c>
      <c r="FO77" t="e">
        <f>#REF!+";Hb!%Qc"</f>
        <v>#REF!</v>
      </c>
      <c r="FP77" t="e">
        <f>#REF!+";Hb!%Qd"</f>
        <v>#REF!</v>
      </c>
      <c r="FQ77" t="e">
        <f>#REF!+";Hb!%Qe"</f>
        <v>#REF!</v>
      </c>
      <c r="FR77" t="e">
        <f>#REF!+";Hb!%Qf"</f>
        <v>#REF!</v>
      </c>
      <c r="FS77" t="e">
        <f>#REF!+";Hb!%Qg"</f>
        <v>#REF!</v>
      </c>
      <c r="FT77" t="e">
        <f>#REF!+";Hb!%Qh"</f>
        <v>#REF!</v>
      </c>
      <c r="FU77" t="e">
        <f>#REF!+";Hb!%Qi"</f>
        <v>#REF!</v>
      </c>
      <c r="FV77" t="e">
        <f>#REF!+";Hb!%Qj"</f>
        <v>#REF!</v>
      </c>
      <c r="FW77" t="e">
        <f>#REF!+";Hb!%Qk"</f>
        <v>#REF!</v>
      </c>
      <c r="FX77" t="e">
        <f>#REF!+";Hb!%Ql"</f>
        <v>#REF!</v>
      </c>
      <c r="FY77" t="e">
        <f>#REF!+";Hb!%Qm"</f>
        <v>#REF!</v>
      </c>
      <c r="FZ77" t="e">
        <f>#REF!+";Hb!%Qn"</f>
        <v>#REF!</v>
      </c>
      <c r="GA77" t="e">
        <f>#REF!+";Hb!%Qo"</f>
        <v>#REF!</v>
      </c>
      <c r="GB77" t="e">
        <f>#REF!+";Hb!%Qp"</f>
        <v>#REF!</v>
      </c>
      <c r="GC77" t="e">
        <f>#REF!+";Hb!%Qq"</f>
        <v>#REF!</v>
      </c>
      <c r="GD77" t="e">
        <f>#REF!+";Hb!%Qr"</f>
        <v>#REF!</v>
      </c>
      <c r="GE77" t="e">
        <f>#REF!+";Hb!%Qs"</f>
        <v>#REF!</v>
      </c>
      <c r="GF77" t="e">
        <f>#REF!+";Hb!%Qt"</f>
        <v>#REF!</v>
      </c>
      <c r="GG77" t="e">
        <f>#REF!+";Hb!%Qu"</f>
        <v>#REF!</v>
      </c>
      <c r="GH77" t="e">
        <f>#REF!+";Hb!%Qv"</f>
        <v>#REF!</v>
      </c>
      <c r="GI77" t="e">
        <f>#REF!+";Hb!%Qw"</f>
        <v>#REF!</v>
      </c>
      <c r="GJ77" t="e">
        <f>#REF!+";Hb!%Qx"</f>
        <v>#REF!</v>
      </c>
      <c r="GK77" t="e">
        <f>#REF!+";Hb!%Qy"</f>
        <v>#REF!</v>
      </c>
      <c r="GL77" t="e">
        <f>#REF!+";Hb!%Qz"</f>
        <v>#REF!</v>
      </c>
      <c r="GM77" t="e">
        <f>#REF!+";Hb!%Q{"</f>
        <v>#REF!</v>
      </c>
      <c r="GN77" t="e">
        <f>#REF!+";Hb!%Q|"</f>
        <v>#REF!</v>
      </c>
      <c r="GO77" t="e">
        <f>#REF!+";Hb!%Q}"</f>
        <v>#REF!</v>
      </c>
      <c r="GP77" t="e">
        <f>#REF!+";Hb!%Q~"</f>
        <v>#REF!</v>
      </c>
      <c r="GQ77" t="e">
        <f>#REF!+";Hb!%R#"</f>
        <v>#REF!</v>
      </c>
      <c r="GR77" t="e">
        <f>#REF!+";Hb!%R$"</f>
        <v>#REF!</v>
      </c>
      <c r="GS77" t="e">
        <f>#REF!+";Hb!%R%"</f>
        <v>#REF!</v>
      </c>
      <c r="GT77" t="e">
        <f>#REF!+";Hb!%R&amp;"</f>
        <v>#REF!</v>
      </c>
      <c r="GU77" t="e">
        <f>Fields!D:D*"z?u!%"</f>
        <v>#VALUE!</v>
      </c>
      <c r="GV77" t="e">
        <f>Fields!26:26-"z?u!&amp;"</f>
        <v>#VALUE!</v>
      </c>
      <c r="GW77" t="e">
        <f>Fields!295:295-"z?u!'"</f>
        <v>#VALUE!</v>
      </c>
      <c r="GX77" t="e">
        <f>Fields!D1+"z?u!("</f>
        <v>#VALUE!</v>
      </c>
      <c r="GY77" t="e">
        <f>Fields!D2+"z?u!)"</f>
        <v>#VALUE!</v>
      </c>
      <c r="GZ77" t="e">
        <f>Fields!D3+"z?u!."</f>
        <v>#VALUE!</v>
      </c>
      <c r="HA77" t="e">
        <f>Fields!D4+"z?u!/"</f>
        <v>#VALUE!</v>
      </c>
      <c r="HB77" t="e">
        <f>Fields!D6+"z?u!0"</f>
        <v>#VALUE!</v>
      </c>
      <c r="HC77" t="e">
        <f>Fields!D7+"z?u!1"</f>
        <v>#VALUE!</v>
      </c>
      <c r="HD77" t="e">
        <f>Fields!D8+"z?u!2"</f>
        <v>#VALUE!</v>
      </c>
      <c r="HE77" t="e">
        <f>Fields!D9+"z?u!3"</f>
        <v>#VALUE!</v>
      </c>
      <c r="HF77" t="e">
        <f>Fields!D10+"z?u!4"</f>
        <v>#VALUE!</v>
      </c>
      <c r="HG77" t="e">
        <f>Fields!D11+"z?u!5"</f>
        <v>#VALUE!</v>
      </c>
      <c r="HH77" t="e">
        <f>Fields!D12+"z?u!6"</f>
        <v>#VALUE!</v>
      </c>
      <c r="HI77" t="e">
        <f>Fields!D13+"z?u!7"</f>
        <v>#VALUE!</v>
      </c>
      <c r="HJ77" t="e">
        <f>Fields!D14+"z?u!8"</f>
        <v>#VALUE!</v>
      </c>
      <c r="HK77" t="e">
        <f>Fields!D15+"z?u!9"</f>
        <v>#VALUE!</v>
      </c>
      <c r="HL77" t="e">
        <f>Fields!D16+"z?u!:"</f>
        <v>#VALUE!</v>
      </c>
      <c r="HM77" t="e">
        <f>Fields!D18+"z?u!;"</f>
        <v>#VALUE!</v>
      </c>
      <c r="HN77" t="e">
        <f>Fields!D20+"z?u!&lt;"</f>
        <v>#VALUE!</v>
      </c>
      <c r="HO77" t="e">
        <f>Fields!D21+"z?u!="</f>
        <v>#VALUE!</v>
      </c>
      <c r="HP77" t="e">
        <f>Fields!D22+"z?u!&gt;"</f>
        <v>#VALUE!</v>
      </c>
      <c r="HQ77" t="e">
        <f>Fields!D23+"z?u!?"</f>
        <v>#VALUE!</v>
      </c>
      <c r="HR77" t="e">
        <f>Fields!D24+"z?u!@"</f>
        <v>#VALUE!</v>
      </c>
      <c r="HS77" t="e">
        <f>Fields!A26+"z?u!A"</f>
        <v>#VALUE!</v>
      </c>
      <c r="HT77" t="e">
        <f>Fields!B26+"z?u!B"</f>
        <v>#VALUE!</v>
      </c>
      <c r="HU77" t="e">
        <f>Fields!C26+"z?u!C"</f>
        <v>#VALUE!</v>
      </c>
      <c r="HV77" t="e">
        <f>Fields!D26+"z?u!D"</f>
        <v>#VALUE!</v>
      </c>
      <c r="HW77" t="e">
        <f>Fields!E26+"z?u!E"</f>
        <v>#VALUE!</v>
      </c>
      <c r="HX77" t="e">
        <f>Fields!F26+"z?u!F"</f>
        <v>#VALUE!</v>
      </c>
      <c r="HY77" t="e">
        <f>Fields!P26+"z?u!G"</f>
        <v>#VALUE!</v>
      </c>
      <c r="HZ77" t="e">
        <f>Fields!Q26+"z?u!H"</f>
        <v>#VALUE!</v>
      </c>
      <c r="IA77" t="e">
        <f>Fields!D27+"z?u!I"</f>
        <v>#VALUE!</v>
      </c>
      <c r="IB77" t="e">
        <f>Fields!D28+"z?u!J"</f>
        <v>#VALUE!</v>
      </c>
      <c r="IC77" t="e">
        <f>Fields!D29+"z?u!K"</f>
        <v>#VALUE!</v>
      </c>
      <c r="ID77" t="e">
        <f>Fields!D30+"z?u!L"</f>
        <v>#VALUE!</v>
      </c>
      <c r="IE77" t="e">
        <f>Fields!D31+"z?u!M"</f>
        <v>#VALUE!</v>
      </c>
      <c r="IF77" t="e">
        <f>Fields!D32+"z?u!N"</f>
        <v>#VALUE!</v>
      </c>
      <c r="IG77" t="e">
        <f>Fields!D33+"z?u!O"</f>
        <v>#VALUE!</v>
      </c>
      <c r="IH77" s="6" t="e">
        <f>Fields!D34+"z?u!P"</f>
        <v>#VALUE!</v>
      </c>
      <c r="II77" t="e">
        <f>Fields!D35+"z?u!Q"</f>
        <v>#VALUE!</v>
      </c>
      <c r="IJ77" t="e">
        <f>Fields!D36+"z?u!R"</f>
        <v>#VALUE!</v>
      </c>
      <c r="IK77" t="e">
        <f>Fields!D37+"z?u!S"</f>
        <v>#VALUE!</v>
      </c>
      <c r="IL77" t="e">
        <f>Fields!D38+"z?u!T"</f>
        <v>#VALUE!</v>
      </c>
      <c r="IM77" t="e">
        <f>Fields!D39+"z?u!U"</f>
        <v>#VALUE!</v>
      </c>
      <c r="IN77" t="e">
        <f>Fields!D40+"z?u!V"</f>
        <v>#VALUE!</v>
      </c>
      <c r="IO77" t="e">
        <f>Fields!D41+"z?u!W"</f>
        <v>#VALUE!</v>
      </c>
      <c r="IP77" t="e">
        <f>Fields!D42+"z?u!X"</f>
        <v>#VALUE!</v>
      </c>
      <c r="IQ77" t="e">
        <f>Fields!D43+"z?u!Y"</f>
        <v>#VALUE!</v>
      </c>
      <c r="IR77" t="e">
        <f>Fields!D44+"z?u!Z"</f>
        <v>#VALUE!</v>
      </c>
      <c r="IS77" t="e">
        <f>Fields!D45+"z?u!["</f>
        <v>#VALUE!</v>
      </c>
      <c r="IT77" t="e">
        <f>Fields!D46+"z?u!\"</f>
        <v>#VALUE!</v>
      </c>
      <c r="IU77" t="e">
        <f>Fields!D47+"z?u!]"</f>
        <v>#VALUE!</v>
      </c>
      <c r="IV77" t="e">
        <f>Fields!D48+"z?u!^"</f>
        <v>#VALUE!</v>
      </c>
    </row>
    <row r="78" spans="6:256" x14ac:dyDescent="0.25">
      <c r="F78" t="e">
        <f>Fields!D49+"z?u!_"</f>
        <v>#VALUE!</v>
      </c>
      <c r="G78" t="e">
        <f>Fields!D50+"z?u!`"</f>
        <v>#VALUE!</v>
      </c>
      <c r="H78" t="e">
        <f>Fields!D51+"z?u!a"</f>
        <v>#VALUE!</v>
      </c>
      <c r="I78" t="e">
        <f>Fields!D52+"z?u!b"</f>
        <v>#VALUE!</v>
      </c>
      <c r="J78" t="e">
        <f>Fields!D53+"z?u!c"</f>
        <v>#VALUE!</v>
      </c>
      <c r="K78" t="e">
        <f>Fields!D54+"z?u!d"</f>
        <v>#VALUE!</v>
      </c>
      <c r="L78" t="e">
        <f>Fields!D55+"z?u!e"</f>
        <v>#VALUE!</v>
      </c>
      <c r="M78" t="e">
        <f>Fields!D56+"z?u!f"</f>
        <v>#VALUE!</v>
      </c>
      <c r="N78" t="e">
        <f>Fields!D57+"z?u!g"</f>
        <v>#VALUE!</v>
      </c>
      <c r="O78" t="e">
        <f>Fields!D58+"z?u!h"</f>
        <v>#VALUE!</v>
      </c>
      <c r="P78" t="e">
        <f>Fields!D59+"z?u!i"</f>
        <v>#VALUE!</v>
      </c>
      <c r="Q78" t="e">
        <f>Fields!D60+"z?u!j"</f>
        <v>#VALUE!</v>
      </c>
      <c r="R78" t="e">
        <f>Fields!D61+"z?u!k"</f>
        <v>#VALUE!</v>
      </c>
      <c r="S78" t="e">
        <f>Fields!D62+"z?u!l"</f>
        <v>#VALUE!</v>
      </c>
      <c r="T78" t="e">
        <f>Fields!D63+"z?u!m"</f>
        <v>#VALUE!</v>
      </c>
      <c r="U78" t="e">
        <f>Fields!D64+"z?u!n"</f>
        <v>#VALUE!</v>
      </c>
      <c r="V78" t="e">
        <f>Fields!D65+"z?u!o"</f>
        <v>#VALUE!</v>
      </c>
      <c r="W78" t="e">
        <f>Fields!D66+"z?u!p"</f>
        <v>#VALUE!</v>
      </c>
      <c r="X78" t="e">
        <f>Fields!D67+"z?u!q"</f>
        <v>#VALUE!</v>
      </c>
      <c r="Y78" t="e">
        <f>Fields!D68+"z?u!r"</f>
        <v>#VALUE!</v>
      </c>
      <c r="Z78" t="e">
        <f>Fields!D69+"z?u!s"</f>
        <v>#VALUE!</v>
      </c>
      <c r="AA78" t="e">
        <f>Fields!D70+"z?u!t"</f>
        <v>#VALUE!</v>
      </c>
      <c r="AB78" t="e">
        <f>Fields!D71+"z?u!u"</f>
        <v>#VALUE!</v>
      </c>
      <c r="AC78" t="e">
        <f>Fields!D72+"z?u!v"</f>
        <v>#VALUE!</v>
      </c>
      <c r="AD78" t="e">
        <f>Fields!D74+"z?u!w"</f>
        <v>#VALUE!</v>
      </c>
      <c r="AE78" t="e">
        <f>Fields!D75+"z?u!x"</f>
        <v>#VALUE!</v>
      </c>
      <c r="AF78" t="e">
        <f>Fields!D76+"z?u!y"</f>
        <v>#VALUE!</v>
      </c>
      <c r="AG78" t="e">
        <f>Fields!D77+"z?u!z"</f>
        <v>#VALUE!</v>
      </c>
      <c r="AH78" t="e">
        <f>Fields!D78+"z?u!{"</f>
        <v>#VALUE!</v>
      </c>
      <c r="AI78" t="e">
        <f>Fields!D79+"z?u!|"</f>
        <v>#VALUE!</v>
      </c>
      <c r="AJ78" t="e">
        <f>Fields!D80+"z?u!}"</f>
        <v>#VALUE!</v>
      </c>
      <c r="AK78" t="e">
        <f>Fields!D81+"z?u!~"</f>
        <v>#VALUE!</v>
      </c>
      <c r="AL78" t="e">
        <f>Fields!D82+"z?u!$#"</f>
        <v>#VALUE!</v>
      </c>
      <c r="AM78" t="e">
        <f>Fields!D84+"z?u!$$"</f>
        <v>#VALUE!</v>
      </c>
      <c r="AN78" t="e">
        <f>Fields!D85+"z?u!$%"</f>
        <v>#VALUE!</v>
      </c>
      <c r="AO78" t="e">
        <f>Fields!D86+"z?u!$&amp;"</f>
        <v>#VALUE!</v>
      </c>
      <c r="AP78" t="e">
        <f>Fields!D87+"z?u!$'"</f>
        <v>#VALUE!</v>
      </c>
      <c r="AQ78" t="e">
        <f>Fields!D88+"z?u!$("</f>
        <v>#VALUE!</v>
      </c>
      <c r="AR78" t="e">
        <f>Fields!D89+"z?u!$)"</f>
        <v>#VALUE!</v>
      </c>
      <c r="AS78" t="e">
        <f>Fields!D90+"z?u!$."</f>
        <v>#VALUE!</v>
      </c>
      <c r="AT78" t="e">
        <f>Fields!D91+"z?u!$/"</f>
        <v>#VALUE!</v>
      </c>
      <c r="AU78" t="e">
        <f>Fields!D92+"z?u!$0"</f>
        <v>#VALUE!</v>
      </c>
      <c r="AV78" t="e">
        <f>Fields!D93+"z?u!$1"</f>
        <v>#VALUE!</v>
      </c>
      <c r="AW78" t="e">
        <f>Fields!D94+"z?u!$2"</f>
        <v>#VALUE!</v>
      </c>
      <c r="AX78" t="e">
        <f>Fields!D95+"z?u!$3"</f>
        <v>#VALUE!</v>
      </c>
      <c r="AY78" t="e">
        <f>Fields!D96+"z?u!$4"</f>
        <v>#VALUE!</v>
      </c>
      <c r="AZ78" t="e">
        <f>Fields!D97+"z?u!$5"</f>
        <v>#VALUE!</v>
      </c>
      <c r="BA78" t="e">
        <f>Fields!D98+"z?u!$6"</f>
        <v>#VALUE!</v>
      </c>
      <c r="BB78" t="e">
        <f>Fields!D99+"z?u!$7"</f>
        <v>#VALUE!</v>
      </c>
      <c r="BC78" t="e">
        <f>Fields!D100+"z?u!$8"</f>
        <v>#VALUE!</v>
      </c>
      <c r="BD78" t="e">
        <f>Fields!D101+"z?u!$9"</f>
        <v>#VALUE!</v>
      </c>
      <c r="BE78" t="e">
        <f>Fields!D102+"z?u!$:"</f>
        <v>#VALUE!</v>
      </c>
      <c r="BF78" t="e">
        <f>Fields!D103+"z?u!$;"</f>
        <v>#VALUE!</v>
      </c>
      <c r="BG78" t="e">
        <f>Fields!A104+"z?u!$&lt;"</f>
        <v>#VALUE!</v>
      </c>
      <c r="BH78" t="e">
        <f>Fields!B104+"z?u!$="</f>
        <v>#VALUE!</v>
      </c>
      <c r="BI78" t="e">
        <f>Fields!C104+"z?u!$&gt;"</f>
        <v>#VALUE!</v>
      </c>
      <c r="BJ78" t="e">
        <f>Fields!D104+"z?u!$?"</f>
        <v>#VALUE!</v>
      </c>
      <c r="BK78" t="e">
        <f>Fields!E104+"z?u!$@"</f>
        <v>#VALUE!</v>
      </c>
      <c r="BL78" t="e">
        <f>Fields!F104+"z?u!$A"</f>
        <v>#VALUE!</v>
      </c>
      <c r="BM78" t="e">
        <f>Fields!P104+"z?u!$B"</f>
        <v>#VALUE!</v>
      </c>
      <c r="BN78" t="e">
        <f>Fields!Q104+"z?u!$C"</f>
        <v>#VALUE!</v>
      </c>
      <c r="BO78" t="e">
        <f>Fields!25:25-";Hb!%R'"</f>
        <v>#VALUE!</v>
      </c>
      <c r="BP78" t="e">
        <f>Fields!83:83-";Hb!%R("</f>
        <v>#VALUE!</v>
      </c>
      <c r="BQ78" t="e">
        <f>Fields!A25+";Hb!%R)"</f>
        <v>#VALUE!</v>
      </c>
      <c r="BR78" t="e">
        <f>Fields!B25+";Hb!%R."</f>
        <v>#VALUE!</v>
      </c>
      <c r="BS78" t="e">
        <f>Fields!C25+";Hb!%R/"</f>
        <v>#VALUE!</v>
      </c>
      <c r="BT78" t="e">
        <f>Fields!D25+";Hb!%R0"</f>
        <v>#VALUE!</v>
      </c>
      <c r="BU78" t="e">
        <f>Fields!E25+";Hb!%R1"</f>
        <v>#VALUE!</v>
      </c>
      <c r="BV78" t="e">
        <f>Fields!F25+";Hb!%R2"</f>
        <v>#VALUE!</v>
      </c>
      <c r="BW78" t="e">
        <f>Fields!P25+";Hb!%R3"</f>
        <v>#VALUE!</v>
      </c>
      <c r="BX78" t="e">
        <f>Fields!Q25+";Hb!%R4"</f>
        <v>#VALUE!</v>
      </c>
      <c r="BY78" t="e">
        <f>Fields!A83+";Hb!%R5"</f>
        <v>#VALUE!</v>
      </c>
      <c r="BZ78" t="e">
        <f>Fields!B83+";Hb!%R6"</f>
        <v>#VALUE!</v>
      </c>
      <c r="CA78" t="e">
        <f>Fields!C83+";Hb!%R7"</f>
        <v>#VALUE!</v>
      </c>
      <c r="CB78" t="e">
        <f>Fields!D83+";Hb!%R8"</f>
        <v>#VALUE!</v>
      </c>
      <c r="CC78" t="e">
        <f>Fields!E83+";Hb!%R9"</f>
        <v>#VALUE!</v>
      </c>
      <c r="CD78" t="e">
        <f>Fields!F83+";Hb!%R:"</f>
        <v>#VALUE!</v>
      </c>
      <c r="CE78" t="e">
        <f>Fields!P83+";Hb!%R;"</f>
        <v>#VALUE!</v>
      </c>
      <c r="CF78" t="e">
        <f>Fields!Q83+";Hb!%R&lt;"</f>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53"/>
  <sheetViews>
    <sheetView zoomScale="115" zoomScaleNormal="115" workbookViewId="0">
      <pane xSplit="4" ySplit="1" topLeftCell="J2" activePane="bottomRight" state="frozen"/>
      <selection activeCell="C97" sqref="C97"/>
      <selection pane="topRight" activeCell="C97" sqref="C97"/>
      <selection pane="bottomLeft" activeCell="C97" sqref="C97"/>
      <selection pane="bottomRight" activeCell="C13" sqref="C13"/>
    </sheetView>
  </sheetViews>
  <sheetFormatPr defaultRowHeight="15" outlineLevelRow="1" x14ac:dyDescent="0.25"/>
  <cols>
    <col min="1" max="1" width="14.5703125" style="46" customWidth="1"/>
    <col min="2" max="2" width="20.7109375" style="41" customWidth="1"/>
    <col min="3" max="3" width="42.28515625" style="41" customWidth="1"/>
    <col min="4" max="4" width="16.85546875" style="41" customWidth="1"/>
    <col min="5" max="5" width="70.5703125" style="41" customWidth="1"/>
    <col min="6" max="6" width="43.5703125" style="41" bestFit="1" customWidth="1"/>
    <col min="7" max="7" width="49.42578125" style="41" bestFit="1" customWidth="1"/>
    <col min="8" max="8" width="32.85546875" style="41" customWidth="1"/>
    <col min="9" max="9" width="17.5703125" style="41" customWidth="1"/>
    <col min="10" max="10" width="48.140625" customWidth="1"/>
    <col min="12" max="12" width="62" style="41" customWidth="1"/>
    <col min="13" max="13" width="48.140625" customWidth="1"/>
    <col min="14" max="14" width="17.5703125" style="41" customWidth="1"/>
    <col min="15" max="15" width="68.7109375" style="43" customWidth="1"/>
    <col min="16" max="16" width="20" customWidth="1"/>
  </cols>
  <sheetData>
    <row r="1" spans="1:15" x14ac:dyDescent="0.25">
      <c r="A1" s="46" t="s">
        <v>377</v>
      </c>
      <c r="B1" s="41" t="s">
        <v>731</v>
      </c>
      <c r="C1" s="41" t="s">
        <v>732</v>
      </c>
      <c r="D1" s="41" t="s">
        <v>733</v>
      </c>
      <c r="E1" s="41" t="s">
        <v>734</v>
      </c>
      <c r="F1" s="41" t="s">
        <v>736</v>
      </c>
      <c r="G1" s="41" t="s">
        <v>735</v>
      </c>
      <c r="H1" s="41" t="s">
        <v>737</v>
      </c>
      <c r="I1" s="41" t="s">
        <v>738</v>
      </c>
      <c r="J1" s="41" t="s">
        <v>739</v>
      </c>
      <c r="K1" s="43" t="s">
        <v>837</v>
      </c>
      <c r="L1" s="41" t="s">
        <v>2315</v>
      </c>
      <c r="M1" s="43"/>
      <c r="N1"/>
      <c r="O1"/>
    </row>
    <row r="2" spans="1:15" s="42" customFormat="1" ht="30" x14ac:dyDescent="0.25">
      <c r="A2" s="44" t="s">
        <v>1414</v>
      </c>
      <c r="B2" s="42" t="s">
        <v>888</v>
      </c>
      <c r="C2" s="42" t="s">
        <v>1598</v>
      </c>
      <c r="D2" s="42" t="s">
        <v>758</v>
      </c>
      <c r="E2" s="62" t="s">
        <v>1194</v>
      </c>
      <c r="F2" s="62" t="s">
        <v>1190</v>
      </c>
      <c r="G2" s="62" t="s">
        <v>985</v>
      </c>
      <c r="J2" s="109" t="s">
        <v>886</v>
      </c>
      <c r="K2" s="110"/>
      <c r="L2" s="109" t="s">
        <v>2317</v>
      </c>
      <c r="M2" s="109"/>
    </row>
    <row r="3" spans="1:15" s="42" customFormat="1" x14ac:dyDescent="0.25">
      <c r="A3" s="44" t="s">
        <v>1414</v>
      </c>
      <c r="B3" s="42" t="s">
        <v>116</v>
      </c>
      <c r="C3" s="42" t="s">
        <v>1838</v>
      </c>
      <c r="D3" s="42" t="s">
        <v>758</v>
      </c>
      <c r="E3" s="72" t="s">
        <v>442</v>
      </c>
      <c r="F3" s="62" t="s">
        <v>411</v>
      </c>
      <c r="G3" s="62" t="s">
        <v>236</v>
      </c>
      <c r="J3" s="109"/>
      <c r="K3" s="110"/>
      <c r="L3" s="109" t="s">
        <v>2337</v>
      </c>
      <c r="M3" s="109"/>
    </row>
    <row r="4" spans="1:15" s="42" customFormat="1" x14ac:dyDescent="0.25">
      <c r="A4" s="44" t="s">
        <v>1414</v>
      </c>
      <c r="B4" s="42" t="s">
        <v>887</v>
      </c>
      <c r="C4" s="42" t="s">
        <v>1645</v>
      </c>
      <c r="D4" s="42" t="s">
        <v>763</v>
      </c>
      <c r="E4" s="73" t="s">
        <v>443</v>
      </c>
      <c r="F4" s="62" t="s">
        <v>347</v>
      </c>
      <c r="G4" s="62" t="s">
        <v>237</v>
      </c>
      <c r="J4" s="109"/>
      <c r="K4" s="110"/>
      <c r="L4" s="109" t="s">
        <v>2324</v>
      </c>
      <c r="M4" s="109"/>
    </row>
    <row r="5" spans="1:15" s="42" customFormat="1" x14ac:dyDescent="0.25">
      <c r="A5" s="44" t="s">
        <v>1414</v>
      </c>
      <c r="B5" s="42" t="s">
        <v>17</v>
      </c>
      <c r="C5" s="42" t="s">
        <v>1643</v>
      </c>
      <c r="D5" s="42" t="s">
        <v>758</v>
      </c>
      <c r="E5" s="62" t="s">
        <v>403</v>
      </c>
      <c r="F5" s="62" t="s">
        <v>338</v>
      </c>
      <c r="G5" s="62" t="s">
        <v>228</v>
      </c>
      <c r="J5" s="109"/>
      <c r="K5" s="110"/>
      <c r="L5" s="109" t="s">
        <v>2337</v>
      </c>
      <c r="M5" s="109"/>
    </row>
    <row r="6" spans="1:15" s="42" customFormat="1" x14ac:dyDescent="0.25">
      <c r="A6" s="44" t="s">
        <v>1414</v>
      </c>
      <c r="B6" s="42" t="s">
        <v>889</v>
      </c>
      <c r="C6" s="42" t="s">
        <v>1789</v>
      </c>
      <c r="D6" s="42" t="s">
        <v>763</v>
      </c>
      <c r="E6" s="42" t="s">
        <v>1434</v>
      </c>
      <c r="F6" s="42" t="s">
        <v>1435</v>
      </c>
      <c r="G6" s="42" t="s">
        <v>1436</v>
      </c>
      <c r="J6" s="109"/>
      <c r="K6" s="110"/>
      <c r="L6" s="109" t="s">
        <v>2337</v>
      </c>
      <c r="M6" s="109"/>
    </row>
    <row r="7" spans="1:15" s="42" customFormat="1" x14ac:dyDescent="0.25">
      <c r="A7" s="44" t="s">
        <v>1414</v>
      </c>
      <c r="B7" s="42" t="s">
        <v>571</v>
      </c>
      <c r="C7" s="42" t="s">
        <v>1622</v>
      </c>
      <c r="D7" s="42" t="s">
        <v>758</v>
      </c>
      <c r="E7" s="79" t="s">
        <v>2256</v>
      </c>
      <c r="F7" s="71" t="s">
        <v>298</v>
      </c>
      <c r="G7" s="71" t="s">
        <v>286</v>
      </c>
      <c r="J7" s="109"/>
      <c r="K7" s="110"/>
      <c r="L7" s="109" t="s">
        <v>2337</v>
      </c>
      <c r="M7" s="109"/>
    </row>
    <row r="8" spans="1:15" s="42" customFormat="1" x14ac:dyDescent="0.25">
      <c r="A8" s="44" t="s">
        <v>1414</v>
      </c>
      <c r="B8" s="42" t="s">
        <v>210</v>
      </c>
      <c r="C8" s="42" t="s">
        <v>1623</v>
      </c>
      <c r="D8" s="42" t="s">
        <v>868</v>
      </c>
      <c r="E8" s="72" t="s">
        <v>490</v>
      </c>
      <c r="F8" s="71" t="s">
        <v>351</v>
      </c>
      <c r="G8" s="62" t="s">
        <v>258</v>
      </c>
      <c r="J8" s="109"/>
      <c r="K8" s="110"/>
      <c r="L8" s="109" t="s">
        <v>2327</v>
      </c>
      <c r="M8" s="109"/>
    </row>
    <row r="9" spans="1:15" s="42" customFormat="1" x14ac:dyDescent="0.25">
      <c r="A9" s="44" t="s">
        <v>1414</v>
      </c>
      <c r="B9" s="42" t="s">
        <v>113</v>
      </c>
      <c r="C9" s="42" t="s">
        <v>1644</v>
      </c>
      <c r="D9" s="42" t="s">
        <v>758</v>
      </c>
      <c r="E9" s="62" t="s">
        <v>404</v>
      </c>
      <c r="F9" s="62" t="s">
        <v>339</v>
      </c>
      <c r="G9" s="62" t="s">
        <v>229</v>
      </c>
      <c r="J9" s="109"/>
      <c r="K9" s="110"/>
      <c r="L9" s="109" t="s">
        <v>2337</v>
      </c>
      <c r="M9" s="109"/>
    </row>
    <row r="10" spans="1:15" s="42" customFormat="1" ht="18.75" customHeight="1" x14ac:dyDescent="0.25">
      <c r="A10" s="44" t="s">
        <v>1414</v>
      </c>
      <c r="B10" s="42" t="s">
        <v>122</v>
      </c>
      <c r="C10" s="42" t="s">
        <v>1893</v>
      </c>
      <c r="D10" s="42" t="s">
        <v>758</v>
      </c>
      <c r="E10" s="170" t="s">
        <v>2111</v>
      </c>
      <c r="F10" s="170" t="s">
        <v>2112</v>
      </c>
      <c r="G10" s="206" t="s">
        <v>2113</v>
      </c>
      <c r="J10" s="109"/>
      <c r="K10" s="110"/>
      <c r="L10" s="109" t="s">
        <v>2337</v>
      </c>
      <c r="M10" s="109"/>
    </row>
    <row r="11" spans="1:15" s="42" customFormat="1" ht="17.25" customHeight="1" x14ac:dyDescent="0.25">
      <c r="A11" s="44" t="s">
        <v>1414</v>
      </c>
      <c r="B11" s="42" t="s">
        <v>122</v>
      </c>
      <c r="C11" s="42" t="s">
        <v>1894</v>
      </c>
      <c r="D11" s="42" t="s">
        <v>758</v>
      </c>
      <c r="E11" s="204" t="s">
        <v>2116</v>
      </c>
      <c r="F11" s="204" t="s">
        <v>2115</v>
      </c>
      <c r="G11" s="205" t="s">
        <v>2114</v>
      </c>
      <c r="J11" s="109"/>
      <c r="K11" s="115"/>
      <c r="L11" s="109" t="s">
        <v>2337</v>
      </c>
      <c r="M11" s="109"/>
    </row>
    <row r="12" spans="1:15" s="42" customFormat="1" x14ac:dyDescent="0.25">
      <c r="A12" s="44" t="s">
        <v>1414</v>
      </c>
      <c r="B12" s="42" t="s">
        <v>114</v>
      </c>
      <c r="C12" s="42" t="s">
        <v>1646</v>
      </c>
      <c r="D12" s="42" t="s">
        <v>758</v>
      </c>
      <c r="E12" s="62" t="s">
        <v>405</v>
      </c>
      <c r="F12" s="62" t="s">
        <v>340</v>
      </c>
      <c r="G12" s="62" t="s">
        <v>230</v>
      </c>
      <c r="J12" s="109"/>
      <c r="K12" s="110"/>
      <c r="L12" s="109" t="s">
        <v>2337</v>
      </c>
      <c r="M12" s="109"/>
    </row>
    <row r="13" spans="1:15" s="42" customFormat="1" x14ac:dyDescent="0.25">
      <c r="A13" s="44" t="s">
        <v>1414</v>
      </c>
      <c r="B13" s="42" t="s">
        <v>803</v>
      </c>
      <c r="C13" s="42" t="s">
        <v>1647</v>
      </c>
      <c r="D13" s="42" t="s">
        <v>758</v>
      </c>
      <c r="E13" s="62" t="s">
        <v>406</v>
      </c>
      <c r="F13" s="64" t="s">
        <v>385</v>
      </c>
      <c r="G13" s="62" t="s">
        <v>231</v>
      </c>
      <c r="J13" s="109"/>
      <c r="K13" s="110"/>
      <c r="L13" s="109" t="s">
        <v>2337</v>
      </c>
      <c r="M13" s="109"/>
    </row>
    <row r="14" spans="1:15" s="42" customFormat="1" x14ac:dyDescent="0.25">
      <c r="A14" s="44" t="s">
        <v>1414</v>
      </c>
      <c r="B14" s="42" t="s">
        <v>804</v>
      </c>
      <c r="C14" s="42" t="s">
        <v>1648</v>
      </c>
      <c r="D14" s="42" t="s">
        <v>758</v>
      </c>
      <c r="E14" s="65" t="s">
        <v>407</v>
      </c>
      <c r="F14" s="71" t="s">
        <v>390</v>
      </c>
      <c r="G14" s="65" t="s">
        <v>389</v>
      </c>
      <c r="J14" s="109"/>
      <c r="K14" s="110"/>
      <c r="L14" s="109" t="s">
        <v>2337</v>
      </c>
      <c r="M14" s="109"/>
    </row>
    <row r="15" spans="1:15" s="42" customFormat="1" x14ac:dyDescent="0.25">
      <c r="A15" s="44" t="s">
        <v>1414</v>
      </c>
      <c r="B15" s="42" t="s">
        <v>120</v>
      </c>
      <c r="C15" s="42" t="s">
        <v>1649</v>
      </c>
      <c r="D15" s="42" t="s">
        <v>758</v>
      </c>
      <c r="E15" s="62" t="s">
        <v>408</v>
      </c>
      <c r="F15" s="62" t="s">
        <v>341</v>
      </c>
      <c r="G15" s="62" t="s">
        <v>232</v>
      </c>
      <c r="J15" s="109"/>
      <c r="K15" s="110"/>
      <c r="L15" s="109" t="s">
        <v>2337</v>
      </c>
      <c r="M15" s="109"/>
    </row>
    <row r="16" spans="1:15" s="42" customFormat="1" x14ac:dyDescent="0.25">
      <c r="A16" s="44" t="s">
        <v>1414</v>
      </c>
      <c r="B16" s="42" t="s">
        <v>121</v>
      </c>
      <c r="C16" s="42" t="s">
        <v>1650</v>
      </c>
      <c r="D16" s="42" t="s">
        <v>758</v>
      </c>
      <c r="E16" s="62" t="s">
        <v>409</v>
      </c>
      <c r="F16" s="62" t="s">
        <v>342</v>
      </c>
      <c r="G16" s="62" t="s">
        <v>233</v>
      </c>
      <c r="K16" s="110"/>
      <c r="L16" s="109" t="s">
        <v>2337</v>
      </c>
      <c r="M16" s="109"/>
    </row>
    <row r="17" spans="1:13" s="42" customFormat="1" ht="30" x14ac:dyDescent="0.25">
      <c r="A17" s="44" t="s">
        <v>1253</v>
      </c>
      <c r="B17" s="42" t="s">
        <v>745</v>
      </c>
      <c r="C17" s="42" t="s">
        <v>2279</v>
      </c>
      <c r="D17" s="42" t="s">
        <v>758</v>
      </c>
      <c r="E17" s="74" t="s">
        <v>957</v>
      </c>
      <c r="F17" s="64" t="s">
        <v>958</v>
      </c>
      <c r="G17" s="66" t="s">
        <v>959</v>
      </c>
      <c r="J17" s="109" t="s">
        <v>1183</v>
      </c>
      <c r="K17" s="110"/>
      <c r="L17" s="109" t="s">
        <v>2337</v>
      </c>
      <c r="M17" s="109"/>
    </row>
    <row r="18" spans="1:13" s="42" customFormat="1" x14ac:dyDescent="0.25">
      <c r="A18" s="44" t="s">
        <v>1253</v>
      </c>
      <c r="B18" s="42" t="s">
        <v>107</v>
      </c>
      <c r="C18" s="42" t="s">
        <v>1618</v>
      </c>
      <c r="D18" s="42" t="s">
        <v>758</v>
      </c>
      <c r="E18" s="62" t="s">
        <v>1397</v>
      </c>
      <c r="F18" s="62" t="s">
        <v>1191</v>
      </c>
      <c r="G18" s="62" t="s">
        <v>987</v>
      </c>
      <c r="J18" s="109"/>
      <c r="K18" s="110"/>
      <c r="L18" s="109" t="s">
        <v>2337</v>
      </c>
      <c r="M18" s="109"/>
    </row>
    <row r="19" spans="1:13" s="42" customFormat="1" x14ac:dyDescent="0.25">
      <c r="A19" s="44" t="s">
        <v>1253</v>
      </c>
      <c r="B19" s="42" t="s">
        <v>995</v>
      </c>
      <c r="C19" s="42" t="s">
        <v>1790</v>
      </c>
      <c r="D19" s="42" t="s">
        <v>868</v>
      </c>
      <c r="E19" s="42" t="s">
        <v>2268</v>
      </c>
      <c r="F19" s="62" t="s">
        <v>2269</v>
      </c>
      <c r="G19" s="42" t="s">
        <v>2267</v>
      </c>
      <c r="J19" s="109"/>
      <c r="K19" s="110"/>
      <c r="L19" s="109" t="s">
        <v>2327</v>
      </c>
      <c r="M19" s="109"/>
    </row>
    <row r="20" spans="1:13" s="42" customFormat="1" ht="30" x14ac:dyDescent="0.25">
      <c r="A20" s="44" t="s">
        <v>1414</v>
      </c>
      <c r="B20" s="42" t="s">
        <v>805</v>
      </c>
      <c r="C20" s="42" t="s">
        <v>1651</v>
      </c>
      <c r="D20" s="42" t="s">
        <v>834</v>
      </c>
      <c r="E20" s="75" t="s">
        <v>419</v>
      </c>
      <c r="F20" s="62" t="s">
        <v>155</v>
      </c>
      <c r="G20" s="62" t="s">
        <v>418</v>
      </c>
      <c r="J20" s="109" t="s">
        <v>1048</v>
      </c>
      <c r="K20" s="110"/>
      <c r="L20" s="109" t="s">
        <v>2322</v>
      </c>
      <c r="M20" s="109"/>
    </row>
    <row r="21" spans="1:13" s="42" customFormat="1" ht="90" x14ac:dyDescent="0.25">
      <c r="A21" s="44" t="s">
        <v>1414</v>
      </c>
      <c r="B21" s="42" t="s">
        <v>806</v>
      </c>
      <c r="C21" s="42" t="s">
        <v>1652</v>
      </c>
      <c r="D21" s="42" t="s">
        <v>758</v>
      </c>
      <c r="E21" s="76" t="s">
        <v>1477</v>
      </c>
      <c r="F21" s="64" t="s">
        <v>966</v>
      </c>
      <c r="G21" s="66" t="s">
        <v>967</v>
      </c>
      <c r="J21" s="109" t="s">
        <v>1049</v>
      </c>
      <c r="K21" s="110"/>
      <c r="L21" s="109" t="s">
        <v>2322</v>
      </c>
      <c r="M21" s="109"/>
    </row>
    <row r="22" spans="1:13" s="42" customFormat="1" ht="90" x14ac:dyDescent="0.25">
      <c r="A22" s="44" t="s">
        <v>1414</v>
      </c>
      <c r="B22" s="42" t="s">
        <v>807</v>
      </c>
      <c r="C22" s="42" t="s">
        <v>1653</v>
      </c>
      <c r="D22" s="42" t="s">
        <v>758</v>
      </c>
      <c r="E22" s="76" t="s">
        <v>2360</v>
      </c>
      <c r="F22" s="64" t="s">
        <v>966</v>
      </c>
      <c r="G22" s="66" t="s">
        <v>2361</v>
      </c>
      <c r="J22" s="109" t="s">
        <v>1048</v>
      </c>
      <c r="K22" s="110"/>
      <c r="L22" s="109" t="s">
        <v>2322</v>
      </c>
      <c r="M22" s="109"/>
    </row>
    <row r="23" spans="1:13" s="42" customFormat="1" x14ac:dyDescent="0.25">
      <c r="A23" s="44" t="s">
        <v>1414</v>
      </c>
      <c r="B23" s="42" t="s">
        <v>125</v>
      </c>
      <c r="C23" s="42" t="s">
        <v>1654</v>
      </c>
      <c r="D23" s="42" t="s">
        <v>758</v>
      </c>
      <c r="E23" s="72" t="s">
        <v>450</v>
      </c>
      <c r="F23" s="68" t="s">
        <v>365</v>
      </c>
      <c r="G23" s="68" t="s">
        <v>239</v>
      </c>
      <c r="J23" s="109"/>
      <c r="K23" s="110"/>
      <c r="L23" s="109" t="s">
        <v>2322</v>
      </c>
      <c r="M23" s="109"/>
    </row>
    <row r="24" spans="1:13" s="42" customFormat="1" x14ac:dyDescent="0.25">
      <c r="A24" s="44" t="s">
        <v>1414</v>
      </c>
      <c r="B24" s="42" t="s">
        <v>890</v>
      </c>
      <c r="C24" s="42" t="s">
        <v>1655</v>
      </c>
      <c r="D24" s="42" t="s">
        <v>758</v>
      </c>
      <c r="E24" s="72" t="s">
        <v>452</v>
      </c>
      <c r="F24" s="68" t="s">
        <v>367</v>
      </c>
      <c r="G24" s="68" t="s">
        <v>241</v>
      </c>
      <c r="J24" s="109"/>
      <c r="K24" s="110"/>
      <c r="L24" s="109" t="s">
        <v>2322</v>
      </c>
      <c r="M24" s="109"/>
    </row>
    <row r="25" spans="1:13" s="42" customFormat="1" x14ac:dyDescent="0.25">
      <c r="A25" s="44" t="s">
        <v>1414</v>
      </c>
      <c r="B25" s="42" t="s">
        <v>891</v>
      </c>
      <c r="C25" s="42" t="s">
        <v>1656</v>
      </c>
      <c r="D25" s="42" t="s">
        <v>758</v>
      </c>
      <c r="E25" s="72" t="s">
        <v>453</v>
      </c>
      <c r="F25" s="68" t="s">
        <v>368</v>
      </c>
      <c r="G25" s="68" t="s">
        <v>242</v>
      </c>
      <c r="J25" s="109"/>
      <c r="K25" s="110"/>
      <c r="L25" s="109" t="s">
        <v>2322</v>
      </c>
      <c r="M25" s="109"/>
    </row>
    <row r="26" spans="1:13" s="42" customFormat="1" x14ac:dyDescent="0.25">
      <c r="A26" s="44" t="s">
        <v>1414</v>
      </c>
      <c r="B26" s="42" t="s">
        <v>126</v>
      </c>
      <c r="C26" s="42" t="s">
        <v>1657</v>
      </c>
      <c r="D26" s="42" t="s">
        <v>758</v>
      </c>
      <c r="E26" s="72" t="s">
        <v>451</v>
      </c>
      <c r="F26" s="68" t="s">
        <v>366</v>
      </c>
      <c r="G26" s="68" t="s">
        <v>240</v>
      </c>
      <c r="J26" s="109"/>
      <c r="K26" s="110"/>
      <c r="L26" s="109" t="s">
        <v>2322</v>
      </c>
      <c r="M26" s="109"/>
    </row>
    <row r="27" spans="1:13" s="42" customFormat="1" x14ac:dyDescent="0.25">
      <c r="A27" s="44" t="s">
        <v>1253</v>
      </c>
      <c r="B27" s="42" t="s">
        <v>139</v>
      </c>
      <c r="C27" s="42" t="s">
        <v>1621</v>
      </c>
      <c r="D27" s="42" t="s">
        <v>763</v>
      </c>
      <c r="E27" s="72" t="s">
        <v>2122</v>
      </c>
      <c r="F27" s="71" t="s">
        <v>2123</v>
      </c>
      <c r="G27" s="70" t="s">
        <v>2124</v>
      </c>
      <c r="J27" s="109"/>
      <c r="K27" s="109"/>
      <c r="L27" s="109" t="s">
        <v>2328</v>
      </c>
      <c r="M27" s="109"/>
    </row>
    <row r="28" spans="1:13" s="42" customFormat="1" x14ac:dyDescent="0.25">
      <c r="A28" s="44" t="s">
        <v>1253</v>
      </c>
      <c r="B28" s="42" t="s">
        <v>576</v>
      </c>
      <c r="C28" s="42" t="s">
        <v>1620</v>
      </c>
      <c r="D28" s="42" t="s">
        <v>763</v>
      </c>
      <c r="E28" s="72" t="s">
        <v>2257</v>
      </c>
      <c r="F28" s="71" t="s">
        <v>2258</v>
      </c>
      <c r="G28" s="70" t="s">
        <v>2259</v>
      </c>
      <c r="J28" s="109"/>
      <c r="K28" s="110"/>
      <c r="L28" s="109" t="s">
        <v>2328</v>
      </c>
      <c r="M28" s="109"/>
    </row>
    <row r="29" spans="1:13" s="42" customFormat="1" ht="30" x14ac:dyDescent="0.25">
      <c r="A29" s="44" t="s">
        <v>1414</v>
      </c>
      <c r="B29" s="42" t="s">
        <v>747</v>
      </c>
      <c r="C29" s="42" t="s">
        <v>1603</v>
      </c>
      <c r="D29" s="42" t="s">
        <v>758</v>
      </c>
      <c r="E29" s="79" t="s">
        <v>2262</v>
      </c>
      <c r="F29" s="71" t="s">
        <v>301</v>
      </c>
      <c r="G29" s="71" t="s">
        <v>330</v>
      </c>
      <c r="J29" s="109"/>
      <c r="K29" s="110"/>
      <c r="L29" s="109" t="s">
        <v>2322</v>
      </c>
      <c r="M29" s="109"/>
    </row>
    <row r="30" spans="1:13" s="54" customFormat="1" ht="30" x14ac:dyDescent="0.25">
      <c r="A30" s="44" t="s">
        <v>1253</v>
      </c>
      <c r="B30" s="42" t="s">
        <v>133</v>
      </c>
      <c r="C30" s="42" t="s">
        <v>2273</v>
      </c>
      <c r="D30" s="42" t="s">
        <v>758</v>
      </c>
      <c r="E30" s="72" t="s">
        <v>475</v>
      </c>
      <c r="F30" s="62" t="s">
        <v>371</v>
      </c>
      <c r="G30" s="70" t="s">
        <v>245</v>
      </c>
      <c r="J30" s="55" t="s">
        <v>1033</v>
      </c>
      <c r="K30" s="55"/>
      <c r="L30" s="109" t="s">
        <v>2322</v>
      </c>
      <c r="M30" s="55"/>
    </row>
    <row r="31" spans="1:13" s="42" customFormat="1" ht="30" x14ac:dyDescent="0.25">
      <c r="A31" s="44" t="s">
        <v>1253</v>
      </c>
      <c r="B31" s="42" t="s">
        <v>895</v>
      </c>
      <c r="C31" s="42" t="s">
        <v>1636</v>
      </c>
      <c r="D31" s="42" t="s">
        <v>758</v>
      </c>
      <c r="E31" s="72" t="s">
        <v>476</v>
      </c>
      <c r="F31" s="68" t="s">
        <v>365</v>
      </c>
      <c r="G31" s="70" t="s">
        <v>246</v>
      </c>
      <c r="J31" s="55" t="s">
        <v>1034</v>
      </c>
      <c r="K31" s="110"/>
      <c r="L31" s="109" t="s">
        <v>2322</v>
      </c>
      <c r="M31" s="109"/>
    </row>
    <row r="32" spans="1:13" s="42" customFormat="1" x14ac:dyDescent="0.25">
      <c r="A32" s="44" t="s">
        <v>1253</v>
      </c>
      <c r="B32" s="42" t="s">
        <v>896</v>
      </c>
      <c r="C32" s="42" t="s">
        <v>1635</v>
      </c>
      <c r="D32" s="42" t="s">
        <v>758</v>
      </c>
      <c r="E32" s="72" t="s">
        <v>477</v>
      </c>
      <c r="F32" s="68" t="s">
        <v>367</v>
      </c>
      <c r="G32" s="70" t="s">
        <v>247</v>
      </c>
      <c r="J32" s="55" t="s">
        <v>1035</v>
      </c>
      <c r="K32" s="110"/>
      <c r="L32" s="109" t="s">
        <v>2322</v>
      </c>
      <c r="M32" s="109"/>
    </row>
    <row r="33" spans="1:13" s="42" customFormat="1" x14ac:dyDescent="0.25">
      <c r="A33" s="44" t="s">
        <v>1253</v>
      </c>
      <c r="B33" s="42" t="s">
        <v>897</v>
      </c>
      <c r="C33" s="42" t="s">
        <v>1634</v>
      </c>
      <c r="D33" s="42" t="s">
        <v>758</v>
      </c>
      <c r="E33" s="72" t="s">
        <v>478</v>
      </c>
      <c r="F33" s="68" t="s">
        <v>368</v>
      </c>
      <c r="G33" s="70" t="s">
        <v>248</v>
      </c>
      <c r="J33" s="55" t="s">
        <v>1036</v>
      </c>
      <c r="K33" s="110"/>
      <c r="L33" s="109" t="s">
        <v>2322</v>
      </c>
      <c r="M33" s="109"/>
    </row>
    <row r="34" spans="1:13" s="42" customFormat="1" x14ac:dyDescent="0.25">
      <c r="A34" s="44" t="s">
        <v>1253</v>
      </c>
      <c r="B34" s="42" t="s">
        <v>906</v>
      </c>
      <c r="C34" s="42" t="s">
        <v>1633</v>
      </c>
      <c r="D34" s="42" t="s">
        <v>758</v>
      </c>
      <c r="E34" s="72" t="s">
        <v>479</v>
      </c>
      <c r="F34" s="68" t="s">
        <v>366</v>
      </c>
      <c r="G34" s="70" t="s">
        <v>249</v>
      </c>
      <c r="J34" s="55" t="s">
        <v>1037</v>
      </c>
      <c r="K34" s="110"/>
      <c r="L34" s="109" t="s">
        <v>2322</v>
      </c>
      <c r="M34" s="109"/>
    </row>
    <row r="35" spans="1:13" s="42" customFormat="1" x14ac:dyDescent="0.25">
      <c r="A35" s="44" t="s">
        <v>1253</v>
      </c>
      <c r="B35" s="42" t="s">
        <v>592</v>
      </c>
      <c r="C35" s="42" t="s">
        <v>1615</v>
      </c>
      <c r="D35" s="42" t="s">
        <v>758</v>
      </c>
      <c r="E35" s="62" t="s">
        <v>1376</v>
      </c>
      <c r="F35" s="62" t="s">
        <v>1377</v>
      </c>
      <c r="G35" s="62" t="s">
        <v>1378</v>
      </c>
      <c r="J35" s="109"/>
      <c r="K35" s="110"/>
      <c r="L35" s="109" t="s">
        <v>2322</v>
      </c>
      <c r="M35" s="109"/>
    </row>
    <row r="36" spans="1:13" s="42" customFormat="1" x14ac:dyDescent="0.25">
      <c r="A36" s="44" t="s">
        <v>1253</v>
      </c>
      <c r="B36" s="42" t="s">
        <v>1842</v>
      </c>
      <c r="C36" s="42" t="s">
        <v>1791</v>
      </c>
      <c r="D36" s="42" t="s">
        <v>834</v>
      </c>
      <c r="E36" s="42" t="s">
        <v>436</v>
      </c>
      <c r="F36" s="42" t="s">
        <v>335</v>
      </c>
      <c r="G36" s="42" t="s">
        <v>291</v>
      </c>
      <c r="J36" s="109"/>
      <c r="K36" s="110"/>
      <c r="L36" s="109" t="s">
        <v>2338</v>
      </c>
      <c r="M36" s="109"/>
    </row>
    <row r="37" spans="1:13" s="42" customFormat="1" x14ac:dyDescent="0.25">
      <c r="A37" s="44" t="s">
        <v>1253</v>
      </c>
      <c r="B37" s="42" t="s">
        <v>579</v>
      </c>
      <c r="C37" s="42" t="s">
        <v>1619</v>
      </c>
      <c r="D37" s="42" t="s">
        <v>868</v>
      </c>
      <c r="E37" s="72" t="s">
        <v>496</v>
      </c>
      <c r="F37" s="71" t="s">
        <v>353</v>
      </c>
      <c r="G37" s="62" t="s">
        <v>264</v>
      </c>
      <c r="J37" s="109"/>
      <c r="K37" s="110"/>
      <c r="L37" s="109" t="s">
        <v>2327</v>
      </c>
      <c r="M37" s="109"/>
    </row>
    <row r="38" spans="1:13" s="42" customFormat="1" x14ac:dyDescent="0.25">
      <c r="A38" s="44" t="s">
        <v>740</v>
      </c>
      <c r="B38" s="42" t="s">
        <v>165</v>
      </c>
      <c r="C38" s="42" t="s">
        <v>1617</v>
      </c>
      <c r="D38" s="42" t="s">
        <v>868</v>
      </c>
      <c r="E38" s="80" t="s">
        <v>491</v>
      </c>
      <c r="F38" s="71" t="s">
        <v>352</v>
      </c>
      <c r="G38" s="62" t="s">
        <v>260</v>
      </c>
      <c r="J38" s="109"/>
      <c r="K38" s="110"/>
      <c r="L38" s="109" t="s">
        <v>2327</v>
      </c>
      <c r="M38" s="109"/>
    </row>
    <row r="39" spans="1:13" s="42" customFormat="1" x14ac:dyDescent="0.25">
      <c r="A39" s="44" t="s">
        <v>740</v>
      </c>
      <c r="B39" s="42" t="s">
        <v>524</v>
      </c>
      <c r="C39" s="42" t="s">
        <v>1637</v>
      </c>
      <c r="D39" s="42" t="s">
        <v>763</v>
      </c>
      <c r="E39" s="72" t="s">
        <v>974</v>
      </c>
      <c r="F39" s="62" t="s">
        <v>975</v>
      </c>
      <c r="G39" s="64" t="s">
        <v>976</v>
      </c>
      <c r="J39" s="109"/>
      <c r="K39" s="110"/>
      <c r="L39" s="109" t="s">
        <v>2328</v>
      </c>
      <c r="M39" s="109"/>
    </row>
    <row r="40" spans="1:13" s="48" customFormat="1" x14ac:dyDescent="0.25">
      <c r="A40" s="44" t="s">
        <v>740</v>
      </c>
      <c r="B40" s="42" t="s">
        <v>167</v>
      </c>
      <c r="C40" s="42" t="s">
        <v>1611</v>
      </c>
      <c r="D40" s="42" t="s">
        <v>868</v>
      </c>
      <c r="E40" s="42" t="s">
        <v>2268</v>
      </c>
      <c r="F40" s="62" t="s">
        <v>2269</v>
      </c>
      <c r="G40" s="42" t="s">
        <v>2267</v>
      </c>
      <c r="J40" s="45"/>
      <c r="K40" s="52"/>
      <c r="L40" s="109" t="s">
        <v>2327</v>
      </c>
      <c r="M40" s="45"/>
    </row>
    <row r="41" spans="1:13" s="42" customFormat="1" x14ac:dyDescent="0.25">
      <c r="A41" s="44" t="s">
        <v>1253</v>
      </c>
      <c r="B41" s="42" t="s">
        <v>791</v>
      </c>
      <c r="C41" s="42" t="s">
        <v>1792</v>
      </c>
      <c r="D41" s="42" t="s">
        <v>868</v>
      </c>
      <c r="E41" s="42" t="s">
        <v>2268</v>
      </c>
      <c r="F41" s="62" t="s">
        <v>2269</v>
      </c>
      <c r="G41" s="42" t="s">
        <v>2267</v>
      </c>
      <c r="J41" s="109"/>
      <c r="K41" s="110"/>
      <c r="L41" s="109" t="s">
        <v>2327</v>
      </c>
      <c r="M41" s="109"/>
    </row>
    <row r="42" spans="1:13" s="42" customFormat="1" x14ac:dyDescent="0.25">
      <c r="A42" s="44" t="s">
        <v>740</v>
      </c>
      <c r="B42" s="42" t="s">
        <v>1063</v>
      </c>
      <c r="C42" s="42" t="s">
        <v>1793</v>
      </c>
      <c r="D42" s="42" t="s">
        <v>868</v>
      </c>
      <c r="E42" s="72" t="s">
        <v>1901</v>
      </c>
      <c r="F42" s="71" t="s">
        <v>1902</v>
      </c>
      <c r="G42" s="62" t="s">
        <v>1903</v>
      </c>
      <c r="K42" s="110"/>
      <c r="L42" s="109" t="s">
        <v>2327</v>
      </c>
      <c r="M42" s="109"/>
    </row>
    <row r="43" spans="1:13" s="42" customFormat="1" x14ac:dyDescent="0.25">
      <c r="A43" s="44" t="s">
        <v>740</v>
      </c>
      <c r="B43" s="54" t="s">
        <v>1403</v>
      </c>
      <c r="C43" s="42" t="s">
        <v>1794</v>
      </c>
      <c r="D43" s="42" t="s">
        <v>868</v>
      </c>
      <c r="E43" s="42" t="s">
        <v>2268</v>
      </c>
      <c r="F43" s="62" t="s">
        <v>2269</v>
      </c>
      <c r="G43" s="42" t="s">
        <v>2267</v>
      </c>
      <c r="J43" s="42" t="s">
        <v>1402</v>
      </c>
      <c r="K43" s="110"/>
      <c r="L43" s="109" t="s">
        <v>2327</v>
      </c>
      <c r="M43" s="109"/>
    </row>
    <row r="44" spans="1:13" s="42" customFormat="1" x14ac:dyDescent="0.25">
      <c r="A44" s="44" t="s">
        <v>740</v>
      </c>
      <c r="B44" s="54" t="s">
        <v>674</v>
      </c>
      <c r="C44" s="42" t="s">
        <v>1795</v>
      </c>
      <c r="D44" s="42" t="s">
        <v>868</v>
      </c>
      <c r="E44" s="42" t="s">
        <v>2268</v>
      </c>
      <c r="F44" s="62" t="s">
        <v>2269</v>
      </c>
      <c r="G44" s="42" t="s">
        <v>2267</v>
      </c>
      <c r="J44" s="42" t="s">
        <v>1404</v>
      </c>
      <c r="K44" s="110"/>
      <c r="L44" s="109" t="s">
        <v>2327</v>
      </c>
      <c r="M44" s="109"/>
    </row>
    <row r="45" spans="1:13" s="42" customFormat="1" x14ac:dyDescent="0.25">
      <c r="A45" s="44" t="s">
        <v>740</v>
      </c>
      <c r="B45" s="54" t="s">
        <v>1408</v>
      </c>
      <c r="C45" s="42" t="s">
        <v>1796</v>
      </c>
      <c r="D45" s="42" t="s">
        <v>868</v>
      </c>
      <c r="E45" s="42" t="s">
        <v>2268</v>
      </c>
      <c r="F45" s="62" t="s">
        <v>2269</v>
      </c>
      <c r="G45" s="42" t="s">
        <v>2267</v>
      </c>
      <c r="J45" s="42" t="s">
        <v>1409</v>
      </c>
      <c r="K45" s="115"/>
      <c r="L45" s="109" t="s">
        <v>2327</v>
      </c>
      <c r="M45" s="109"/>
    </row>
    <row r="46" spans="1:13" s="42" customFormat="1" x14ac:dyDescent="0.25">
      <c r="A46" s="44" t="s">
        <v>740</v>
      </c>
      <c r="B46" s="54" t="s">
        <v>1400</v>
      </c>
      <c r="C46" s="42" t="s">
        <v>1797</v>
      </c>
      <c r="D46" s="54" t="s">
        <v>868</v>
      </c>
      <c r="E46" s="42" t="s">
        <v>2268</v>
      </c>
      <c r="F46" s="62" t="s">
        <v>2269</v>
      </c>
      <c r="G46" s="42" t="s">
        <v>2267</v>
      </c>
      <c r="K46" s="115"/>
      <c r="L46" s="109" t="s">
        <v>2327</v>
      </c>
      <c r="M46" s="109"/>
    </row>
    <row r="47" spans="1:13" s="42" customFormat="1" x14ac:dyDescent="0.25">
      <c r="A47" s="44" t="s">
        <v>740</v>
      </c>
      <c r="B47" s="54" t="s">
        <v>1401</v>
      </c>
      <c r="C47" s="42" t="s">
        <v>1798</v>
      </c>
      <c r="D47" s="54" t="s">
        <v>868</v>
      </c>
      <c r="E47" s="42" t="s">
        <v>2268</v>
      </c>
      <c r="F47" s="62" t="s">
        <v>2269</v>
      </c>
      <c r="G47" s="42" t="s">
        <v>2267</v>
      </c>
      <c r="K47" s="115"/>
      <c r="L47" s="109" t="s">
        <v>2327</v>
      </c>
      <c r="M47" s="109"/>
    </row>
    <row r="48" spans="1:13" s="42" customFormat="1" x14ac:dyDescent="0.25">
      <c r="A48" s="44" t="s">
        <v>1253</v>
      </c>
      <c r="B48" s="42" t="s">
        <v>898</v>
      </c>
      <c r="C48" s="42" t="s">
        <v>1799</v>
      </c>
      <c r="D48" s="42" t="s">
        <v>868</v>
      </c>
      <c r="E48" s="42" t="s">
        <v>2268</v>
      </c>
      <c r="F48" s="62" t="s">
        <v>2269</v>
      </c>
      <c r="G48" s="42" t="s">
        <v>2267</v>
      </c>
      <c r="J48" s="109"/>
      <c r="K48" s="110"/>
      <c r="L48" s="109" t="s">
        <v>2327</v>
      </c>
      <c r="M48" s="109"/>
    </row>
    <row r="49" spans="1:13" s="42" customFormat="1" x14ac:dyDescent="0.25">
      <c r="A49" s="44" t="s">
        <v>740</v>
      </c>
      <c r="B49" s="42" t="s">
        <v>1410</v>
      </c>
      <c r="C49" s="42" t="s">
        <v>1800</v>
      </c>
      <c r="D49" s="42" t="s">
        <v>868</v>
      </c>
      <c r="E49" s="42" t="s">
        <v>2268</v>
      </c>
      <c r="F49" s="62" t="s">
        <v>2269</v>
      </c>
      <c r="G49" s="42" t="s">
        <v>2267</v>
      </c>
      <c r="K49" s="115"/>
      <c r="L49" s="109" t="s">
        <v>2327</v>
      </c>
      <c r="M49" s="109"/>
    </row>
    <row r="50" spans="1:13" s="42" customFormat="1" x14ac:dyDescent="0.25">
      <c r="A50" s="44" t="s">
        <v>740</v>
      </c>
      <c r="B50" s="42" t="s">
        <v>1411</v>
      </c>
      <c r="C50" s="42" t="s">
        <v>1801</v>
      </c>
      <c r="D50" s="42" t="s">
        <v>868</v>
      </c>
      <c r="E50" s="42" t="s">
        <v>2268</v>
      </c>
      <c r="F50" s="62" t="s">
        <v>2269</v>
      </c>
      <c r="G50" s="42" t="s">
        <v>2267</v>
      </c>
      <c r="K50" s="115"/>
      <c r="L50" s="109" t="s">
        <v>2327</v>
      </c>
      <c r="M50" s="109"/>
    </row>
    <row r="51" spans="1:13" s="54" customFormat="1" outlineLevel="1" x14ac:dyDescent="0.25">
      <c r="A51" s="187" t="s">
        <v>740</v>
      </c>
      <c r="B51" s="54" t="s">
        <v>1407</v>
      </c>
      <c r="C51" s="42" t="s">
        <v>1802</v>
      </c>
      <c r="D51" s="42" t="s">
        <v>868</v>
      </c>
      <c r="E51" s="42" t="s">
        <v>2268</v>
      </c>
      <c r="F51" s="62" t="s">
        <v>2269</v>
      </c>
      <c r="G51" s="42" t="s">
        <v>2267</v>
      </c>
      <c r="K51" s="188"/>
      <c r="L51" s="109" t="s">
        <v>2327</v>
      </c>
      <c r="M51" s="55"/>
    </row>
    <row r="52" spans="1:13" s="42" customFormat="1" outlineLevel="1" x14ac:dyDescent="0.25">
      <c r="A52" s="44" t="s">
        <v>740</v>
      </c>
      <c r="B52" s="54" t="s">
        <v>1064</v>
      </c>
      <c r="C52" s="42" t="s">
        <v>2283</v>
      </c>
      <c r="D52" s="42" t="s">
        <v>868</v>
      </c>
      <c r="E52" s="42" t="s">
        <v>2268</v>
      </c>
      <c r="F52" s="62" t="s">
        <v>2269</v>
      </c>
      <c r="G52" s="42" t="s">
        <v>2267</v>
      </c>
      <c r="K52" s="110"/>
      <c r="L52" s="109" t="s">
        <v>2327</v>
      </c>
      <c r="M52" s="109"/>
    </row>
    <row r="53" spans="1:13" s="42" customFormat="1" outlineLevel="1" x14ac:dyDescent="0.25">
      <c r="A53" s="44" t="s">
        <v>740</v>
      </c>
      <c r="B53" s="54" t="s">
        <v>1066</v>
      </c>
      <c r="C53" s="42" t="s">
        <v>1803</v>
      </c>
      <c r="D53" s="42" t="s">
        <v>868</v>
      </c>
      <c r="E53" s="42" t="s">
        <v>2268</v>
      </c>
      <c r="F53" s="62" t="s">
        <v>2269</v>
      </c>
      <c r="G53" s="42" t="s">
        <v>2267</v>
      </c>
      <c r="K53" s="110"/>
      <c r="L53" s="109" t="s">
        <v>2327</v>
      </c>
      <c r="M53" s="109"/>
    </row>
    <row r="54" spans="1:13" s="42" customFormat="1" x14ac:dyDescent="0.25">
      <c r="A54" s="44" t="s">
        <v>740</v>
      </c>
      <c r="B54" s="42" t="s">
        <v>1062</v>
      </c>
      <c r="C54" s="42" t="s">
        <v>2282</v>
      </c>
      <c r="D54" s="42" t="s">
        <v>868</v>
      </c>
      <c r="E54" s="42" t="s">
        <v>2268</v>
      </c>
      <c r="F54" s="62" t="s">
        <v>2269</v>
      </c>
      <c r="G54" s="42" t="s">
        <v>2267</v>
      </c>
      <c r="J54" s="109"/>
      <c r="K54" s="110"/>
      <c r="L54" s="109" t="s">
        <v>2327</v>
      </c>
      <c r="M54" s="109"/>
    </row>
    <row r="55" spans="1:13" s="42" customFormat="1" outlineLevel="1" x14ac:dyDescent="0.25">
      <c r="A55" s="44" t="s">
        <v>740</v>
      </c>
      <c r="B55" s="42" t="s">
        <v>170</v>
      </c>
      <c r="C55" s="42" t="s">
        <v>1610</v>
      </c>
      <c r="D55" s="42" t="s">
        <v>868</v>
      </c>
      <c r="E55" s="42" t="s">
        <v>2268</v>
      </c>
      <c r="F55" s="62" t="s">
        <v>2269</v>
      </c>
      <c r="G55" s="42" t="s">
        <v>2267</v>
      </c>
      <c r="J55" s="65"/>
      <c r="K55" s="110"/>
      <c r="L55" s="109" t="s">
        <v>2327</v>
      </c>
      <c r="M55" s="8"/>
    </row>
    <row r="56" spans="1:13" s="42" customFormat="1" outlineLevel="1" x14ac:dyDescent="0.25">
      <c r="A56" s="44" t="s">
        <v>740</v>
      </c>
      <c r="B56" s="42" t="s">
        <v>169</v>
      </c>
      <c r="C56" s="42" t="s">
        <v>2280</v>
      </c>
      <c r="D56" s="42" t="s">
        <v>868</v>
      </c>
      <c r="E56" s="42" t="s">
        <v>2268</v>
      </c>
      <c r="F56" s="62" t="s">
        <v>2269</v>
      </c>
      <c r="G56" s="42" t="s">
        <v>2267</v>
      </c>
      <c r="J56" s="65"/>
      <c r="K56" s="110"/>
      <c r="L56" s="109" t="s">
        <v>2327</v>
      </c>
      <c r="M56" s="8"/>
    </row>
    <row r="57" spans="1:13" s="42" customFormat="1" outlineLevel="1" x14ac:dyDescent="0.25">
      <c r="A57" s="44" t="s">
        <v>1253</v>
      </c>
      <c r="B57" s="42" t="s">
        <v>1070</v>
      </c>
      <c r="C57" s="42" t="s">
        <v>1804</v>
      </c>
      <c r="D57" s="42" t="s">
        <v>868</v>
      </c>
      <c r="E57" s="42" t="s">
        <v>2268</v>
      </c>
      <c r="F57" s="62" t="s">
        <v>2269</v>
      </c>
      <c r="G57" s="42" t="s">
        <v>2267</v>
      </c>
      <c r="J57" s="109"/>
      <c r="K57" s="110"/>
      <c r="L57" s="109" t="s">
        <v>2327</v>
      </c>
      <c r="M57" s="109"/>
    </row>
    <row r="58" spans="1:13" s="54" customFormat="1" outlineLevel="1" x14ac:dyDescent="0.25">
      <c r="A58" s="187" t="s">
        <v>740</v>
      </c>
      <c r="B58" s="54" t="s">
        <v>899</v>
      </c>
      <c r="C58" s="42" t="s">
        <v>1805</v>
      </c>
      <c r="D58" s="42" t="s">
        <v>868</v>
      </c>
      <c r="E58" s="42" t="s">
        <v>2268</v>
      </c>
      <c r="F58" s="62" t="s">
        <v>2269</v>
      </c>
      <c r="G58" s="42" t="s">
        <v>2267</v>
      </c>
      <c r="J58" s="55"/>
      <c r="K58" s="188"/>
      <c r="L58" s="109" t="s">
        <v>2327</v>
      </c>
      <c r="M58" s="55"/>
    </row>
    <row r="59" spans="1:13" s="42" customFormat="1" x14ac:dyDescent="0.25">
      <c r="A59" s="44" t="s">
        <v>740</v>
      </c>
      <c r="B59" s="42" t="s">
        <v>1069</v>
      </c>
      <c r="C59" s="42" t="s">
        <v>1806</v>
      </c>
      <c r="D59" s="42" t="s">
        <v>868</v>
      </c>
      <c r="E59" s="42" t="s">
        <v>2268</v>
      </c>
      <c r="F59" s="62" t="s">
        <v>2269</v>
      </c>
      <c r="G59" s="42" t="s">
        <v>2267</v>
      </c>
      <c r="J59" s="109"/>
      <c r="K59" s="110"/>
      <c r="L59" s="109" t="s">
        <v>2327</v>
      </c>
      <c r="M59" s="109"/>
    </row>
    <row r="60" spans="1:13" s="42" customFormat="1" x14ac:dyDescent="0.25">
      <c r="A60" s="44" t="s">
        <v>740</v>
      </c>
      <c r="B60" s="42" t="s">
        <v>1068</v>
      </c>
      <c r="C60" s="42" t="s">
        <v>1807</v>
      </c>
      <c r="D60" s="42" t="s">
        <v>868</v>
      </c>
      <c r="E60" s="42" t="s">
        <v>2268</v>
      </c>
      <c r="F60" s="62" t="s">
        <v>2269</v>
      </c>
      <c r="G60" s="42" t="s">
        <v>2267</v>
      </c>
      <c r="J60" s="109"/>
      <c r="K60" s="110"/>
      <c r="L60" s="109" t="s">
        <v>2327</v>
      </c>
      <c r="M60" s="109"/>
    </row>
    <row r="61" spans="1:13" s="42" customFormat="1" x14ac:dyDescent="0.25">
      <c r="A61" s="44" t="s">
        <v>740</v>
      </c>
      <c r="B61" s="42" t="s">
        <v>600</v>
      </c>
      <c r="C61" s="42" t="s">
        <v>1612</v>
      </c>
      <c r="D61" s="42" t="s">
        <v>868</v>
      </c>
      <c r="E61" s="42" t="s">
        <v>2268</v>
      </c>
      <c r="F61" s="62" t="s">
        <v>2269</v>
      </c>
      <c r="G61" s="42" t="s">
        <v>2267</v>
      </c>
      <c r="K61" s="110"/>
      <c r="L61" s="109" t="s">
        <v>2327</v>
      </c>
      <c r="M61" s="109"/>
    </row>
    <row r="62" spans="1:13" s="42" customFormat="1" x14ac:dyDescent="0.25">
      <c r="A62" s="44" t="s">
        <v>740</v>
      </c>
      <c r="B62" s="42" t="s">
        <v>1184</v>
      </c>
      <c r="C62" s="42" t="s">
        <v>1808</v>
      </c>
      <c r="D62" s="42" t="s">
        <v>868</v>
      </c>
      <c r="E62" s="42" t="s">
        <v>2268</v>
      </c>
      <c r="F62" s="62" t="s">
        <v>2269</v>
      </c>
      <c r="G62" s="42" t="s">
        <v>2267</v>
      </c>
      <c r="K62" s="110"/>
      <c r="L62" s="109" t="s">
        <v>2327</v>
      </c>
      <c r="M62" s="109"/>
    </row>
    <row r="63" spans="1:13" s="42" customFormat="1" x14ac:dyDescent="0.25">
      <c r="A63" s="44" t="s">
        <v>740</v>
      </c>
      <c r="B63" s="42" t="s">
        <v>688</v>
      </c>
      <c r="C63" s="42" t="s">
        <v>1809</v>
      </c>
      <c r="D63" s="42" t="s">
        <v>868</v>
      </c>
      <c r="E63" s="42" t="s">
        <v>2268</v>
      </c>
      <c r="F63" s="62" t="s">
        <v>2269</v>
      </c>
      <c r="G63" s="42" t="s">
        <v>2267</v>
      </c>
      <c r="K63" s="110"/>
      <c r="L63" s="109" t="s">
        <v>2327</v>
      </c>
      <c r="M63" s="109"/>
    </row>
    <row r="64" spans="1:13" s="42" customFormat="1" x14ac:dyDescent="0.25">
      <c r="A64" s="44" t="s">
        <v>740</v>
      </c>
      <c r="B64" s="42" t="s">
        <v>597</v>
      </c>
      <c r="C64" s="42" t="s">
        <v>1613</v>
      </c>
      <c r="D64" s="42" t="s">
        <v>868</v>
      </c>
      <c r="E64" s="42" t="s">
        <v>2268</v>
      </c>
      <c r="F64" s="62" t="s">
        <v>2269</v>
      </c>
      <c r="G64" s="42" t="s">
        <v>2267</v>
      </c>
      <c r="K64" s="110"/>
      <c r="L64" s="109" t="s">
        <v>2327</v>
      </c>
      <c r="M64" s="109"/>
    </row>
    <row r="65" spans="1:13" s="42" customFormat="1" x14ac:dyDescent="0.25">
      <c r="A65" s="44" t="s">
        <v>740</v>
      </c>
      <c r="B65" s="42" t="s">
        <v>1067</v>
      </c>
      <c r="C65" s="42" t="s">
        <v>1810</v>
      </c>
      <c r="D65" s="42" t="s">
        <v>868</v>
      </c>
      <c r="E65" s="42" t="s">
        <v>1372</v>
      </c>
      <c r="F65" s="62" t="s">
        <v>358</v>
      </c>
      <c r="G65" s="62" t="s">
        <v>276</v>
      </c>
      <c r="J65" s="109"/>
      <c r="K65" s="110"/>
      <c r="L65" s="109" t="s">
        <v>2327</v>
      </c>
      <c r="M65" s="109"/>
    </row>
    <row r="66" spans="1:13" s="42" customFormat="1" x14ac:dyDescent="0.25">
      <c r="A66" s="44" t="s">
        <v>1253</v>
      </c>
      <c r="B66" s="42" t="s">
        <v>140</v>
      </c>
      <c r="C66" s="42" t="s">
        <v>1601</v>
      </c>
      <c r="D66" s="42" t="s">
        <v>758</v>
      </c>
      <c r="E66" s="62" t="s">
        <v>1518</v>
      </c>
      <c r="F66" s="62" t="s">
        <v>1519</v>
      </c>
      <c r="G66" s="62" t="s">
        <v>1520</v>
      </c>
      <c r="J66" s="109"/>
      <c r="K66" s="110"/>
      <c r="L66" s="109" t="s">
        <v>2322</v>
      </c>
      <c r="M66" s="109"/>
    </row>
    <row r="67" spans="1:13" s="42" customFormat="1" x14ac:dyDescent="0.25">
      <c r="A67" s="44" t="s">
        <v>740</v>
      </c>
      <c r="B67" s="42" t="s">
        <v>106</v>
      </c>
      <c r="C67" s="42" t="s">
        <v>1602</v>
      </c>
      <c r="D67" s="42" t="s">
        <v>758</v>
      </c>
      <c r="E67" s="62" t="s">
        <v>982</v>
      </c>
      <c r="F67" s="62" t="s">
        <v>983</v>
      </c>
      <c r="G67" s="62" t="s">
        <v>984</v>
      </c>
      <c r="J67" s="109"/>
      <c r="K67" s="110"/>
      <c r="L67" s="109" t="s">
        <v>2322</v>
      </c>
      <c r="M67" s="109"/>
    </row>
    <row r="68" spans="1:13" s="42" customFormat="1" ht="42.75" x14ac:dyDescent="0.2">
      <c r="A68" s="44" t="s">
        <v>1253</v>
      </c>
      <c r="B68" s="42" t="s">
        <v>1254</v>
      </c>
      <c r="C68" s="42" t="s">
        <v>1811</v>
      </c>
      <c r="D68" s="42" t="s">
        <v>758</v>
      </c>
      <c r="E68" s="42" t="s">
        <v>1437</v>
      </c>
      <c r="F68" s="42" t="s">
        <v>1438</v>
      </c>
      <c r="G68" s="42" t="s">
        <v>1439</v>
      </c>
      <c r="J68" s="186" t="s">
        <v>1399</v>
      </c>
      <c r="K68" s="110"/>
      <c r="L68" s="109" t="s">
        <v>2322</v>
      </c>
      <c r="M68" s="109"/>
    </row>
    <row r="69" spans="1:13" s="42" customFormat="1" ht="30" x14ac:dyDescent="0.25">
      <c r="A69" s="44" t="s">
        <v>1253</v>
      </c>
      <c r="B69" s="42" t="s">
        <v>748</v>
      </c>
      <c r="C69" s="42" t="s">
        <v>1784</v>
      </c>
      <c r="D69" s="42" t="s">
        <v>758</v>
      </c>
      <c r="E69" s="62" t="s">
        <v>2368</v>
      </c>
      <c r="F69" s="62" t="s">
        <v>2369</v>
      </c>
      <c r="G69" s="62" t="s">
        <v>2370</v>
      </c>
      <c r="J69" s="109"/>
      <c r="K69" s="110"/>
      <c r="L69" s="109" t="s">
        <v>2339</v>
      </c>
      <c r="M69" s="109"/>
    </row>
    <row r="70" spans="1:13" s="42" customFormat="1" ht="30" x14ac:dyDescent="0.25">
      <c r="A70" s="44" t="s">
        <v>1253</v>
      </c>
      <c r="B70" s="42" t="s">
        <v>749</v>
      </c>
      <c r="C70" s="42" t="s">
        <v>1784</v>
      </c>
      <c r="D70" s="42" t="s">
        <v>758</v>
      </c>
      <c r="E70" s="62" t="s">
        <v>2365</v>
      </c>
      <c r="F70" s="62" t="s">
        <v>2366</v>
      </c>
      <c r="G70" s="62" t="s">
        <v>2367</v>
      </c>
      <c r="J70" s="109"/>
      <c r="K70" s="110"/>
      <c r="L70" s="109" t="s">
        <v>2339</v>
      </c>
      <c r="M70" s="109"/>
    </row>
    <row r="71" spans="1:13" s="42" customFormat="1" ht="30" x14ac:dyDescent="0.25">
      <c r="A71" s="44" t="s">
        <v>1253</v>
      </c>
      <c r="B71" s="42" t="s">
        <v>750</v>
      </c>
      <c r="C71" s="42" t="s">
        <v>1784</v>
      </c>
      <c r="D71" s="42" t="s">
        <v>758</v>
      </c>
      <c r="E71" s="62" t="s">
        <v>2362</v>
      </c>
      <c r="F71" s="62" t="s">
        <v>2363</v>
      </c>
      <c r="G71" s="62" t="s">
        <v>2364</v>
      </c>
      <c r="J71" s="109"/>
      <c r="K71" s="110"/>
      <c r="L71" s="109" t="s">
        <v>2339</v>
      </c>
      <c r="M71" s="109"/>
    </row>
    <row r="72" spans="1:13" s="42" customFormat="1" ht="30" x14ac:dyDescent="0.25">
      <c r="A72" s="44" t="s">
        <v>1253</v>
      </c>
      <c r="B72" s="42" t="s">
        <v>751</v>
      </c>
      <c r="C72" s="42" t="s">
        <v>1784</v>
      </c>
      <c r="D72" s="42" t="s">
        <v>758</v>
      </c>
      <c r="E72" s="62" t="s">
        <v>2362</v>
      </c>
      <c r="F72" s="62" t="s">
        <v>2363</v>
      </c>
      <c r="G72" s="62" t="s">
        <v>2364</v>
      </c>
      <c r="J72" s="109"/>
      <c r="K72" s="110"/>
      <c r="L72" s="109" t="s">
        <v>2339</v>
      </c>
      <c r="M72" s="109"/>
    </row>
    <row r="73" spans="1:13" s="42" customFormat="1" ht="30" x14ac:dyDescent="0.25">
      <c r="A73" s="44" t="s">
        <v>1253</v>
      </c>
      <c r="B73" s="42" t="s">
        <v>752</v>
      </c>
      <c r="C73" s="42" t="s">
        <v>1784</v>
      </c>
      <c r="D73" s="42" t="s">
        <v>758</v>
      </c>
      <c r="E73" s="62" t="s">
        <v>2362</v>
      </c>
      <c r="F73" s="62" t="s">
        <v>2363</v>
      </c>
      <c r="G73" s="62" t="s">
        <v>2364</v>
      </c>
      <c r="J73" s="109"/>
      <c r="K73" s="110"/>
      <c r="L73" s="109" t="s">
        <v>2339</v>
      </c>
      <c r="M73" s="109"/>
    </row>
    <row r="74" spans="1:13" s="42" customFormat="1" ht="30" x14ac:dyDescent="0.25">
      <c r="A74" s="44" t="s">
        <v>1253</v>
      </c>
      <c r="B74" s="42" t="s">
        <v>753</v>
      </c>
      <c r="C74" s="42" t="s">
        <v>1784</v>
      </c>
      <c r="D74" s="42" t="s">
        <v>758</v>
      </c>
      <c r="E74" s="62" t="s">
        <v>2362</v>
      </c>
      <c r="F74" s="62" t="s">
        <v>2363</v>
      </c>
      <c r="G74" s="62" t="s">
        <v>2364</v>
      </c>
      <c r="J74" s="109"/>
      <c r="K74" s="110"/>
      <c r="L74" s="109" t="s">
        <v>2339</v>
      </c>
      <c r="M74" s="109"/>
    </row>
    <row r="75" spans="1:13" s="42" customFormat="1" ht="30" x14ac:dyDescent="0.25">
      <c r="A75" s="44" t="s">
        <v>1253</v>
      </c>
      <c r="B75" s="42" t="s">
        <v>754</v>
      </c>
      <c r="C75" s="42" t="s">
        <v>1784</v>
      </c>
      <c r="D75" s="42" t="s">
        <v>758</v>
      </c>
      <c r="E75" s="62" t="s">
        <v>2362</v>
      </c>
      <c r="F75" s="62" t="s">
        <v>2363</v>
      </c>
      <c r="G75" s="62" t="s">
        <v>2364</v>
      </c>
      <c r="J75" s="109"/>
      <c r="K75" s="110"/>
      <c r="L75" s="109" t="s">
        <v>2339</v>
      </c>
      <c r="M75" s="109"/>
    </row>
    <row r="76" spans="1:13" s="42" customFormat="1" ht="30" x14ac:dyDescent="0.25">
      <c r="A76" s="44" t="s">
        <v>1253</v>
      </c>
      <c r="B76" s="42" t="s">
        <v>755</v>
      </c>
      <c r="C76" s="42" t="s">
        <v>1784</v>
      </c>
      <c r="D76" s="42" t="s">
        <v>758</v>
      </c>
      <c r="E76" s="62" t="s">
        <v>2362</v>
      </c>
      <c r="F76" s="62" t="s">
        <v>2363</v>
      </c>
      <c r="G76" s="62" t="s">
        <v>2364</v>
      </c>
      <c r="J76" s="109"/>
      <c r="K76" s="110"/>
      <c r="L76" s="109" t="s">
        <v>2339</v>
      </c>
      <c r="M76" s="109"/>
    </row>
    <row r="77" spans="1:13" s="42" customFormat="1" ht="30" x14ac:dyDescent="0.25">
      <c r="A77" s="44" t="s">
        <v>1253</v>
      </c>
      <c r="B77" s="42" t="s">
        <v>756</v>
      </c>
      <c r="C77" s="42" t="s">
        <v>1784</v>
      </c>
      <c r="D77" s="42" t="s">
        <v>758</v>
      </c>
      <c r="E77" s="62" t="s">
        <v>2362</v>
      </c>
      <c r="F77" s="62" t="s">
        <v>2363</v>
      </c>
      <c r="G77" s="62" t="s">
        <v>2364</v>
      </c>
      <c r="J77" s="109"/>
      <c r="K77" s="110"/>
      <c r="L77" s="109" t="s">
        <v>2339</v>
      </c>
      <c r="M77" s="109"/>
    </row>
    <row r="78" spans="1:13" s="42" customFormat="1" ht="30" x14ac:dyDescent="0.25">
      <c r="A78" s="44" t="s">
        <v>1253</v>
      </c>
      <c r="B78" s="42" t="s">
        <v>757</v>
      </c>
      <c r="C78" s="42" t="s">
        <v>1784</v>
      </c>
      <c r="D78" s="42" t="s">
        <v>758</v>
      </c>
      <c r="E78" s="62" t="s">
        <v>2362</v>
      </c>
      <c r="F78" s="62" t="s">
        <v>2363</v>
      </c>
      <c r="G78" s="62" t="s">
        <v>2364</v>
      </c>
      <c r="J78" s="109"/>
      <c r="K78" s="110"/>
      <c r="L78" s="109" t="s">
        <v>2339</v>
      </c>
      <c r="M78" s="109"/>
    </row>
    <row r="79" spans="1:13" s="42" customFormat="1" x14ac:dyDescent="0.25">
      <c r="A79" s="44" t="s">
        <v>1253</v>
      </c>
      <c r="B79" s="42" t="s">
        <v>900</v>
      </c>
      <c r="C79" s="42" t="s">
        <v>1812</v>
      </c>
      <c r="D79" s="42" t="s">
        <v>758</v>
      </c>
      <c r="E79" s="42" t="s">
        <v>1543</v>
      </c>
      <c r="F79" s="42" t="s">
        <v>1544</v>
      </c>
      <c r="G79" s="42" t="s">
        <v>1545</v>
      </c>
      <c r="J79" s="109" t="s">
        <v>1040</v>
      </c>
      <c r="K79" s="110"/>
      <c r="L79" s="109" t="s">
        <v>2322</v>
      </c>
      <c r="M79" s="109"/>
    </row>
    <row r="80" spans="1:13" s="42" customFormat="1" x14ac:dyDescent="0.25">
      <c r="A80" s="44" t="s">
        <v>1253</v>
      </c>
      <c r="B80" s="42" t="s">
        <v>901</v>
      </c>
      <c r="C80" s="42" t="s">
        <v>1813</v>
      </c>
      <c r="D80" s="42" t="s">
        <v>758</v>
      </c>
      <c r="E80" s="62" t="s">
        <v>1500</v>
      </c>
      <c r="F80" s="62" t="s">
        <v>1501</v>
      </c>
      <c r="G80" s="62" t="s">
        <v>1502</v>
      </c>
      <c r="J80" s="109"/>
      <c r="K80" s="110"/>
      <c r="L80" s="109" t="s">
        <v>2322</v>
      </c>
      <c r="M80" s="109"/>
    </row>
    <row r="81" spans="1:13" s="42" customFormat="1" x14ac:dyDescent="0.25">
      <c r="A81" s="44" t="s">
        <v>740</v>
      </c>
      <c r="B81" s="42" t="s">
        <v>660</v>
      </c>
      <c r="C81" s="42" t="s">
        <v>1814</v>
      </c>
      <c r="D81" s="42" t="s">
        <v>868</v>
      </c>
      <c r="E81" s="42" t="s">
        <v>2268</v>
      </c>
      <c r="F81" s="62" t="s">
        <v>2269</v>
      </c>
      <c r="G81" s="42" t="s">
        <v>2267</v>
      </c>
      <c r="J81" s="109"/>
      <c r="K81" s="110"/>
      <c r="L81" s="109" t="s">
        <v>2327</v>
      </c>
      <c r="M81" s="109"/>
    </row>
    <row r="82" spans="1:13" s="42" customFormat="1" x14ac:dyDescent="0.25">
      <c r="A82" s="44" t="s">
        <v>1253</v>
      </c>
      <c r="B82" s="42" t="s">
        <v>134</v>
      </c>
      <c r="C82" s="42" t="s">
        <v>2330</v>
      </c>
      <c r="D82" s="42" t="s">
        <v>716</v>
      </c>
      <c r="E82" s="76" t="s">
        <v>434</v>
      </c>
      <c r="F82" s="64" t="s">
        <v>333</v>
      </c>
      <c r="G82" s="64" t="s">
        <v>289</v>
      </c>
      <c r="J82" s="109" t="s">
        <v>2281</v>
      </c>
      <c r="K82" s="110"/>
      <c r="L82" s="109" t="s">
        <v>2322</v>
      </c>
      <c r="M82" s="109"/>
    </row>
    <row r="83" spans="1:13" s="42" customFormat="1" x14ac:dyDescent="0.25">
      <c r="A83" s="44" t="s">
        <v>1253</v>
      </c>
      <c r="B83" s="42" t="s">
        <v>135</v>
      </c>
      <c r="C83" s="42" t="s">
        <v>1631</v>
      </c>
      <c r="D83" s="42" t="s">
        <v>763</v>
      </c>
      <c r="E83" s="72" t="s">
        <v>486</v>
      </c>
      <c r="F83" s="71" t="s">
        <v>349</v>
      </c>
      <c r="G83" s="70" t="s">
        <v>254</v>
      </c>
      <c r="J83" s="109"/>
      <c r="K83" s="110"/>
      <c r="L83" s="109" t="s">
        <v>2328</v>
      </c>
      <c r="M83" s="109"/>
    </row>
    <row r="84" spans="1:13" s="42" customFormat="1" x14ac:dyDescent="0.25">
      <c r="A84" s="44" t="s">
        <v>1253</v>
      </c>
      <c r="B84" s="42" t="s">
        <v>138</v>
      </c>
      <c r="C84" s="42" t="s">
        <v>1896</v>
      </c>
      <c r="D84" s="42" t="s">
        <v>758</v>
      </c>
      <c r="E84" s="72" t="s">
        <v>474</v>
      </c>
      <c r="F84" s="71" t="s">
        <v>375</v>
      </c>
      <c r="G84" s="64" t="s">
        <v>977</v>
      </c>
      <c r="J84" s="109" t="s">
        <v>1029</v>
      </c>
      <c r="K84" s="110"/>
      <c r="L84" s="109" t="s">
        <v>2322</v>
      </c>
      <c r="M84" s="109"/>
    </row>
    <row r="85" spans="1:13" s="42" customFormat="1" x14ac:dyDescent="0.25">
      <c r="A85" s="44" t="s">
        <v>1253</v>
      </c>
      <c r="B85" s="42" t="s">
        <v>1843</v>
      </c>
      <c r="C85" s="42" t="s">
        <v>1839</v>
      </c>
      <c r="D85" s="42" t="s">
        <v>758</v>
      </c>
      <c r="E85" s="86" t="s">
        <v>1881</v>
      </c>
      <c r="F85" s="86" t="s">
        <v>1882</v>
      </c>
      <c r="G85" s="86" t="s">
        <v>1883</v>
      </c>
      <c r="J85" s="109" t="s">
        <v>1185</v>
      </c>
      <c r="K85" s="110"/>
      <c r="L85" s="109" t="s">
        <v>2340</v>
      </c>
      <c r="M85" s="109"/>
    </row>
    <row r="86" spans="1:13" s="42" customFormat="1" x14ac:dyDescent="0.25">
      <c r="A86" s="44" t="s">
        <v>1253</v>
      </c>
      <c r="B86" s="42" t="s">
        <v>902</v>
      </c>
      <c r="C86" s="42" t="s">
        <v>1815</v>
      </c>
      <c r="D86" s="42" t="s">
        <v>758</v>
      </c>
      <c r="E86" s="42" t="s">
        <v>1369</v>
      </c>
      <c r="F86" s="42" t="s">
        <v>1370</v>
      </c>
      <c r="G86" s="42" t="s">
        <v>1371</v>
      </c>
      <c r="J86" s="109" t="s">
        <v>1398</v>
      </c>
      <c r="K86" s="110"/>
      <c r="L86" s="109" t="s">
        <v>2340</v>
      </c>
      <c r="M86" s="109"/>
    </row>
    <row r="87" spans="1:13" s="42" customFormat="1" ht="30" x14ac:dyDescent="0.25">
      <c r="A87" s="44" t="s">
        <v>740</v>
      </c>
      <c r="B87" s="54" t="s">
        <v>811</v>
      </c>
      <c r="C87" s="54" t="s">
        <v>1785</v>
      </c>
      <c r="D87" s="54" t="s">
        <v>758</v>
      </c>
      <c r="E87" s="191" t="s">
        <v>1506</v>
      </c>
      <c r="F87" s="62" t="s">
        <v>155</v>
      </c>
      <c r="G87" s="64" t="s">
        <v>1507</v>
      </c>
      <c r="J87" s="109"/>
      <c r="K87" s="110"/>
      <c r="L87" s="109" t="s">
        <v>2322</v>
      </c>
      <c r="M87" s="109"/>
    </row>
    <row r="88" spans="1:13" s="42" customFormat="1" ht="261" customHeight="1" x14ac:dyDescent="0.25">
      <c r="A88" s="44" t="s">
        <v>740</v>
      </c>
      <c r="B88" s="54" t="s">
        <v>812</v>
      </c>
      <c r="C88" s="54" t="s">
        <v>1658</v>
      </c>
      <c r="D88" s="54" t="s">
        <v>758</v>
      </c>
      <c r="E88" s="76" t="s">
        <v>1508</v>
      </c>
      <c r="F88" s="64" t="s">
        <v>966</v>
      </c>
      <c r="G88" s="66" t="s">
        <v>1509</v>
      </c>
      <c r="J88" s="109"/>
      <c r="K88" s="110"/>
      <c r="L88" s="109" t="s">
        <v>2322</v>
      </c>
      <c r="M88" s="109"/>
    </row>
    <row r="89" spans="1:13" s="42" customFormat="1" x14ac:dyDescent="0.25">
      <c r="A89" s="44" t="s">
        <v>740</v>
      </c>
      <c r="B89" s="54" t="s">
        <v>130</v>
      </c>
      <c r="C89" s="54" t="s">
        <v>1659</v>
      </c>
      <c r="D89" s="54" t="s">
        <v>758</v>
      </c>
      <c r="E89" s="77" t="s">
        <v>2252</v>
      </c>
      <c r="F89" s="71" t="s">
        <v>300</v>
      </c>
      <c r="G89" s="65" t="s">
        <v>328</v>
      </c>
      <c r="J89" s="109"/>
      <c r="K89" s="110"/>
      <c r="L89" s="109" t="s">
        <v>2322</v>
      </c>
      <c r="M89" s="109"/>
    </row>
    <row r="90" spans="1:13" s="42" customFormat="1" ht="45" x14ac:dyDescent="0.25">
      <c r="A90" s="44" t="s">
        <v>740</v>
      </c>
      <c r="B90" s="54" t="s">
        <v>132</v>
      </c>
      <c r="C90" s="42" t="s">
        <v>1661</v>
      </c>
      <c r="D90" s="54" t="s">
        <v>758</v>
      </c>
      <c r="E90" s="74" t="s">
        <v>1510</v>
      </c>
      <c r="F90" s="68" t="s">
        <v>365</v>
      </c>
      <c r="G90" s="69" t="s">
        <v>1511</v>
      </c>
      <c r="J90" s="109"/>
      <c r="K90" s="110"/>
      <c r="L90" s="109" t="s">
        <v>2322</v>
      </c>
      <c r="M90" s="109"/>
    </row>
    <row r="91" spans="1:13" s="42" customFormat="1" ht="45" x14ac:dyDescent="0.25">
      <c r="A91" s="44" t="s">
        <v>740</v>
      </c>
      <c r="B91" s="54" t="s">
        <v>892</v>
      </c>
      <c r="C91" s="42" t="s">
        <v>1642</v>
      </c>
      <c r="D91" s="54" t="s">
        <v>758</v>
      </c>
      <c r="E91" s="74" t="s">
        <v>1512</v>
      </c>
      <c r="F91" s="68" t="s">
        <v>367</v>
      </c>
      <c r="G91" s="69" t="s">
        <v>1513</v>
      </c>
      <c r="J91" s="109"/>
      <c r="K91" s="110"/>
      <c r="L91" s="109" t="s">
        <v>2322</v>
      </c>
      <c r="M91" s="109"/>
    </row>
    <row r="92" spans="1:13" s="42" customFormat="1" ht="45" x14ac:dyDescent="0.25">
      <c r="A92" s="44" t="s">
        <v>740</v>
      </c>
      <c r="B92" s="54" t="s">
        <v>893</v>
      </c>
      <c r="C92" s="42" t="s">
        <v>1641</v>
      </c>
      <c r="D92" s="54" t="s">
        <v>758</v>
      </c>
      <c r="E92" s="74" t="s">
        <v>1514</v>
      </c>
      <c r="F92" s="68" t="s">
        <v>368</v>
      </c>
      <c r="G92" s="69" t="s">
        <v>1515</v>
      </c>
      <c r="J92" s="109"/>
      <c r="K92" s="110"/>
      <c r="L92" s="109" t="s">
        <v>2322</v>
      </c>
      <c r="M92" s="109"/>
    </row>
    <row r="93" spans="1:13" s="42" customFormat="1" ht="45" x14ac:dyDescent="0.25">
      <c r="A93" s="44" t="s">
        <v>740</v>
      </c>
      <c r="B93" s="54" t="s">
        <v>894</v>
      </c>
      <c r="C93" s="42" t="s">
        <v>1640</v>
      </c>
      <c r="D93" s="54" t="s">
        <v>758</v>
      </c>
      <c r="E93" s="74" t="s">
        <v>1516</v>
      </c>
      <c r="F93" s="68" t="s">
        <v>366</v>
      </c>
      <c r="G93" s="69" t="s">
        <v>1517</v>
      </c>
      <c r="J93" s="109"/>
      <c r="K93" s="110"/>
      <c r="L93" s="109" t="s">
        <v>2322</v>
      </c>
      <c r="M93" s="109"/>
    </row>
    <row r="94" spans="1:13" s="42" customFormat="1" x14ac:dyDescent="0.25">
      <c r="A94" s="44" t="s">
        <v>932</v>
      </c>
      <c r="B94" s="54" t="s">
        <v>691</v>
      </c>
      <c r="C94" s="42" t="s">
        <v>1816</v>
      </c>
      <c r="D94" s="42" t="s">
        <v>868</v>
      </c>
      <c r="E94" s="42" t="s">
        <v>2268</v>
      </c>
      <c r="F94" s="62" t="s">
        <v>2269</v>
      </c>
      <c r="G94" s="42" t="s">
        <v>2267</v>
      </c>
      <c r="J94" s="109"/>
      <c r="K94" s="110"/>
      <c r="L94" s="109" t="s">
        <v>2327</v>
      </c>
      <c r="M94" s="109"/>
    </row>
    <row r="95" spans="1:13" s="42" customFormat="1" x14ac:dyDescent="0.25">
      <c r="A95" s="44" t="s">
        <v>1186</v>
      </c>
      <c r="B95" s="54" t="s">
        <v>613</v>
      </c>
      <c r="C95" s="42" t="s">
        <v>1788</v>
      </c>
      <c r="D95" s="54" t="s">
        <v>716</v>
      </c>
      <c r="E95" s="72" t="s">
        <v>1908</v>
      </c>
      <c r="F95" s="64" t="s">
        <v>1907</v>
      </c>
      <c r="G95" s="64" t="s">
        <v>1909</v>
      </c>
      <c r="J95" s="109"/>
      <c r="K95" s="110"/>
      <c r="L95" s="109" t="s">
        <v>2322</v>
      </c>
      <c r="M95" s="109"/>
    </row>
    <row r="96" spans="1:13" s="42" customFormat="1" x14ac:dyDescent="0.25">
      <c r="A96" s="44" t="s">
        <v>911</v>
      </c>
      <c r="B96" s="42" t="s">
        <v>744</v>
      </c>
      <c r="C96" s="42" t="s">
        <v>1847</v>
      </c>
      <c r="D96" s="42" t="s">
        <v>758</v>
      </c>
      <c r="E96" s="64" t="s">
        <v>970</v>
      </c>
      <c r="F96" s="64" t="s">
        <v>969</v>
      </c>
      <c r="G96" s="64" t="s">
        <v>968</v>
      </c>
      <c r="J96" s="109"/>
      <c r="K96" s="110"/>
      <c r="L96" s="109" t="s">
        <v>2322</v>
      </c>
      <c r="M96" s="109"/>
    </row>
    <row r="97" spans="1:13" s="42" customFormat="1" x14ac:dyDescent="0.25">
      <c r="A97" s="44" t="s">
        <v>1187</v>
      </c>
      <c r="B97" s="42" t="s">
        <v>136</v>
      </c>
      <c r="C97" s="42" t="s">
        <v>1849</v>
      </c>
      <c r="D97" s="42" t="s">
        <v>758</v>
      </c>
      <c r="E97" s="78" t="s">
        <v>488</v>
      </c>
      <c r="F97" s="62" t="s">
        <v>359</v>
      </c>
      <c r="G97" s="62" t="s">
        <v>256</v>
      </c>
      <c r="J97" s="109"/>
      <c r="K97" s="110"/>
      <c r="L97" s="109" t="s">
        <v>2322</v>
      </c>
      <c r="M97" s="109"/>
    </row>
    <row r="98" spans="1:13" s="42" customFormat="1" x14ac:dyDescent="0.25">
      <c r="A98" s="44" t="s">
        <v>913</v>
      </c>
      <c r="B98" s="42" t="s">
        <v>137</v>
      </c>
      <c r="C98" s="42" t="s">
        <v>1817</v>
      </c>
      <c r="D98" s="42" t="s">
        <v>758</v>
      </c>
      <c r="E98" s="78" t="s">
        <v>489</v>
      </c>
      <c r="F98" s="71" t="s">
        <v>360</v>
      </c>
      <c r="G98" s="62" t="s">
        <v>257</v>
      </c>
      <c r="J98" s="109"/>
      <c r="K98" s="110"/>
      <c r="L98" s="109" t="s">
        <v>2322</v>
      </c>
      <c r="M98" s="109"/>
    </row>
    <row r="99" spans="1:13" s="42" customFormat="1" x14ac:dyDescent="0.25">
      <c r="A99" s="44" t="s">
        <v>925</v>
      </c>
      <c r="B99" s="42" t="s">
        <v>530</v>
      </c>
      <c r="C99" s="42" t="s">
        <v>1632</v>
      </c>
      <c r="D99" s="42" t="s">
        <v>758</v>
      </c>
      <c r="E99" s="72" t="s">
        <v>2254</v>
      </c>
      <c r="F99" s="64" t="s">
        <v>2119</v>
      </c>
      <c r="G99" s="64" t="s">
        <v>1860</v>
      </c>
      <c r="J99" s="109"/>
      <c r="K99" s="110"/>
      <c r="L99" s="109" t="s">
        <v>2322</v>
      </c>
      <c r="M99" s="109"/>
    </row>
    <row r="100" spans="1:13" s="42" customFormat="1" x14ac:dyDescent="0.25">
      <c r="A100" s="44" t="s">
        <v>930</v>
      </c>
      <c r="B100" s="42" t="s">
        <v>682</v>
      </c>
      <c r="C100" s="42" t="s">
        <v>1818</v>
      </c>
      <c r="D100" s="42" t="s">
        <v>868</v>
      </c>
      <c r="E100" s="42" t="s">
        <v>2268</v>
      </c>
      <c r="F100" s="62" t="s">
        <v>2269</v>
      </c>
      <c r="G100" s="42" t="s">
        <v>2267</v>
      </c>
      <c r="J100" s="109"/>
      <c r="K100" s="110"/>
      <c r="L100" s="109" t="s">
        <v>2327</v>
      </c>
      <c r="M100" s="109"/>
    </row>
    <row r="101" spans="1:13" s="42" customFormat="1" x14ac:dyDescent="0.25">
      <c r="A101" s="44" t="s">
        <v>930</v>
      </c>
      <c r="B101" s="42" t="s">
        <v>563</v>
      </c>
      <c r="C101" s="42" t="s">
        <v>1840</v>
      </c>
      <c r="D101" s="42" t="s">
        <v>758</v>
      </c>
      <c r="E101" s="64" t="s">
        <v>2255</v>
      </c>
      <c r="F101" s="64" t="s">
        <v>1205</v>
      </c>
      <c r="G101" s="64" t="s">
        <v>1206</v>
      </c>
      <c r="J101" s="109"/>
      <c r="K101" s="110"/>
      <c r="L101" s="109" t="s">
        <v>2322</v>
      </c>
      <c r="M101" s="109"/>
    </row>
    <row r="102" spans="1:13" s="42" customFormat="1" x14ac:dyDescent="0.25">
      <c r="A102" s="44" t="s">
        <v>1188</v>
      </c>
      <c r="B102" s="42" t="s">
        <v>1841</v>
      </c>
      <c r="C102" s="42" t="s">
        <v>1837</v>
      </c>
      <c r="D102" s="42" t="s">
        <v>716</v>
      </c>
      <c r="E102" s="62" t="s">
        <v>1345</v>
      </c>
      <c r="F102" s="62" t="s">
        <v>1346</v>
      </c>
      <c r="G102" s="62" t="s">
        <v>1347</v>
      </c>
      <c r="J102" s="109"/>
      <c r="K102" s="110"/>
      <c r="L102" s="109" t="s">
        <v>2340</v>
      </c>
      <c r="M102" s="109"/>
    </row>
    <row r="103" spans="1:13" s="42" customFormat="1" x14ac:dyDescent="0.25">
      <c r="A103" s="44" t="s">
        <v>914</v>
      </c>
      <c r="B103" s="42" t="s">
        <v>1530</v>
      </c>
      <c r="C103" s="42" t="s">
        <v>1786</v>
      </c>
      <c r="D103" s="42" t="s">
        <v>763</v>
      </c>
      <c r="E103" s="73" t="s">
        <v>445</v>
      </c>
      <c r="F103" s="62" t="s">
        <v>347</v>
      </c>
      <c r="G103" s="62" t="s">
        <v>272</v>
      </c>
      <c r="J103" s="109"/>
      <c r="K103" s="110"/>
      <c r="L103" s="109" t="s">
        <v>2328</v>
      </c>
      <c r="M103" s="109"/>
    </row>
    <row r="104" spans="1:13" s="42" customFormat="1" ht="30" x14ac:dyDescent="0.25">
      <c r="A104" s="44" t="s">
        <v>740</v>
      </c>
      <c r="B104" s="86" t="s">
        <v>618</v>
      </c>
      <c r="C104" s="42" t="s">
        <v>1608</v>
      </c>
      <c r="D104" s="42" t="s">
        <v>868</v>
      </c>
      <c r="E104" s="64" t="s">
        <v>1878</v>
      </c>
      <c r="F104" s="64" t="s">
        <v>1879</v>
      </c>
      <c r="G104" s="64" t="s">
        <v>1880</v>
      </c>
      <c r="J104" s="109"/>
      <c r="K104" s="110"/>
      <c r="L104" s="109" t="s">
        <v>2327</v>
      </c>
      <c r="M104" s="109"/>
    </row>
    <row r="105" spans="1:13" s="42" customFormat="1" x14ac:dyDescent="0.25">
      <c r="A105" s="44"/>
      <c r="J105" s="109"/>
      <c r="K105" s="110"/>
      <c r="L105" s="109"/>
      <c r="M105" s="109"/>
    </row>
    <row r="106" spans="1:13" s="42" customFormat="1" x14ac:dyDescent="0.25">
      <c r="A106" s="44"/>
      <c r="I106" s="42" t="s">
        <v>1045</v>
      </c>
      <c r="J106" s="109"/>
      <c r="K106" s="110"/>
      <c r="L106" s="109"/>
      <c r="M106" s="109"/>
    </row>
    <row r="107" spans="1:13" s="42" customFormat="1" x14ac:dyDescent="0.25">
      <c r="A107" s="44"/>
      <c r="I107" s="42" t="s">
        <v>1045</v>
      </c>
      <c r="J107" s="109"/>
      <c r="K107" s="110"/>
      <c r="L107" s="109"/>
      <c r="M107" s="109"/>
    </row>
    <row r="108" spans="1:13" s="42" customFormat="1" x14ac:dyDescent="0.25">
      <c r="A108" s="44"/>
      <c r="I108" s="42" t="s">
        <v>1050</v>
      </c>
      <c r="J108" s="109"/>
      <c r="K108" s="110"/>
      <c r="L108" s="109"/>
      <c r="M108" s="109"/>
    </row>
    <row r="109" spans="1:13" s="42" customFormat="1" x14ac:dyDescent="0.25">
      <c r="A109" s="44"/>
      <c r="I109" s="42" t="s">
        <v>1053</v>
      </c>
      <c r="J109" s="109"/>
      <c r="K109" s="110"/>
      <c r="L109" s="109"/>
      <c r="M109" s="109"/>
    </row>
    <row r="110" spans="1:13" s="42" customFormat="1" x14ac:dyDescent="0.25">
      <c r="A110" s="44"/>
      <c r="I110" s="42" t="s">
        <v>943</v>
      </c>
      <c r="J110" s="109"/>
      <c r="K110" s="110"/>
      <c r="L110" s="109"/>
      <c r="M110" s="109"/>
    </row>
    <row r="111" spans="1:13" s="42" customFormat="1" x14ac:dyDescent="0.25">
      <c r="A111" s="44"/>
      <c r="J111" s="109"/>
      <c r="K111" s="110"/>
      <c r="L111" s="109"/>
      <c r="M111" s="109"/>
    </row>
    <row r="112" spans="1:13" s="44" customFormat="1" x14ac:dyDescent="0.25">
      <c r="B112" s="42"/>
      <c r="C112" s="42"/>
      <c r="D112" s="42"/>
    </row>
    <row r="113" spans="1:30" s="44" customFormat="1" x14ac:dyDescent="0.25">
      <c r="B113" s="42"/>
      <c r="C113" s="42"/>
      <c r="D113" s="42"/>
    </row>
    <row r="114" spans="1:30" s="44" customFormat="1" x14ac:dyDescent="0.25">
      <c r="B114" s="42"/>
      <c r="C114" s="42"/>
      <c r="D114" s="42"/>
    </row>
    <row r="115" spans="1:30" s="44" customFormat="1" x14ac:dyDescent="0.25">
      <c r="B115" s="42"/>
      <c r="C115" s="42"/>
      <c r="D115" s="42"/>
    </row>
    <row r="116" spans="1:30" s="51" customFormat="1" x14ac:dyDescent="0.25">
      <c r="A116" s="44"/>
      <c r="B116" s="42"/>
      <c r="C116" s="42"/>
      <c r="D116" s="42"/>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row>
    <row r="117" spans="1:30" x14ac:dyDescent="0.25">
      <c r="A117" s="44"/>
      <c r="B117" s="42"/>
      <c r="C117" s="42"/>
      <c r="D117" s="42"/>
      <c r="E117" s="42"/>
      <c r="F117" s="42"/>
      <c r="G117" s="42"/>
      <c r="H117" s="42"/>
      <c r="I117" s="42"/>
      <c r="J117" s="45"/>
      <c r="K117" s="115"/>
      <c r="L117" s="45"/>
      <c r="M117" s="50"/>
      <c r="N117"/>
      <c r="O117"/>
    </row>
    <row r="118" spans="1:30" x14ac:dyDescent="0.25">
      <c r="A118" s="44"/>
      <c r="B118" s="42"/>
      <c r="C118" s="42"/>
      <c r="D118" s="42"/>
      <c r="E118" s="42"/>
      <c r="F118" s="42"/>
      <c r="G118" s="42"/>
      <c r="H118" s="42"/>
      <c r="I118" s="42"/>
      <c r="J118" s="45"/>
      <c r="K118" s="115"/>
      <c r="L118" s="45"/>
      <c r="M118" s="50"/>
      <c r="N118"/>
      <c r="O118"/>
    </row>
    <row r="119" spans="1:30" x14ac:dyDescent="0.25">
      <c r="A119" s="44"/>
      <c r="B119" s="42"/>
      <c r="C119" s="42"/>
      <c r="D119" s="42"/>
      <c r="E119" s="42"/>
      <c r="F119" s="42"/>
      <c r="G119" s="42"/>
      <c r="H119" s="42"/>
      <c r="I119" s="42"/>
      <c r="J119" s="45"/>
      <c r="K119" s="115"/>
      <c r="L119" s="45"/>
      <c r="M119" s="50"/>
      <c r="N119"/>
      <c r="O119"/>
    </row>
    <row r="120" spans="1:30" x14ac:dyDescent="0.25">
      <c r="A120" s="44"/>
      <c r="B120" s="42"/>
      <c r="C120" s="42"/>
      <c r="D120" s="42"/>
      <c r="E120" s="42"/>
      <c r="F120" s="42"/>
      <c r="G120" s="42"/>
      <c r="H120" s="42"/>
      <c r="I120" s="42"/>
      <c r="J120" s="45"/>
      <c r="K120" s="115"/>
      <c r="L120" s="45"/>
      <c r="M120" s="50"/>
      <c r="N120"/>
      <c r="O120"/>
    </row>
    <row r="121" spans="1:30" x14ac:dyDescent="0.25">
      <c r="A121" s="44"/>
      <c r="B121" s="42"/>
      <c r="C121" s="42"/>
      <c r="D121" s="42"/>
      <c r="E121" s="42"/>
      <c r="F121" s="42"/>
      <c r="G121" s="42"/>
      <c r="H121" s="42"/>
      <c r="I121" s="42"/>
      <c r="J121" s="45"/>
      <c r="K121" s="115"/>
      <c r="L121" s="45"/>
      <c r="M121" s="50"/>
      <c r="N121"/>
      <c r="O121"/>
    </row>
    <row r="122" spans="1:30" x14ac:dyDescent="0.25">
      <c r="A122" s="44"/>
      <c r="B122" s="42"/>
      <c r="C122" s="42"/>
      <c r="D122" s="42"/>
      <c r="E122" s="42"/>
      <c r="F122" s="42"/>
      <c r="G122" s="42"/>
      <c r="H122" s="42"/>
      <c r="I122" s="42"/>
      <c r="J122" s="109"/>
      <c r="K122" s="115"/>
      <c r="L122" s="109"/>
      <c r="M122" s="49"/>
      <c r="N122"/>
      <c r="O122"/>
    </row>
    <row r="123" spans="1:30" x14ac:dyDescent="0.25">
      <c r="A123" s="44"/>
      <c r="B123" s="42"/>
      <c r="C123" s="42"/>
      <c r="D123" s="42"/>
      <c r="E123" s="42"/>
      <c r="F123" s="42"/>
      <c r="G123" s="42"/>
      <c r="H123" s="42"/>
      <c r="I123" s="42"/>
      <c r="J123" s="109"/>
      <c r="K123" s="115"/>
      <c r="L123" s="109"/>
      <c r="M123" s="49"/>
      <c r="N123"/>
      <c r="O123"/>
    </row>
    <row r="124" spans="1:30" x14ac:dyDescent="0.25">
      <c r="A124" s="44"/>
      <c r="B124" s="42"/>
      <c r="C124" s="42"/>
      <c r="D124" s="42"/>
      <c r="E124" s="42"/>
      <c r="F124" s="42"/>
      <c r="G124" s="42"/>
      <c r="H124" s="42"/>
      <c r="I124" s="42"/>
      <c r="J124" s="45"/>
      <c r="K124" s="115"/>
      <c r="L124" s="45"/>
      <c r="M124" s="50"/>
      <c r="N124"/>
      <c r="O124"/>
    </row>
    <row r="125" spans="1:30" x14ac:dyDescent="0.25">
      <c r="A125" s="44"/>
      <c r="B125" s="42"/>
      <c r="C125" s="42"/>
      <c r="D125" s="42"/>
      <c r="E125" s="42"/>
      <c r="F125" s="42"/>
      <c r="G125" s="42"/>
      <c r="H125" s="42"/>
      <c r="I125" s="42"/>
      <c r="J125" s="45"/>
      <c r="K125" s="115"/>
      <c r="L125" s="45"/>
      <c r="M125" s="50"/>
      <c r="N125"/>
      <c r="O125"/>
    </row>
    <row r="126" spans="1:30" x14ac:dyDescent="0.25">
      <c r="A126" s="44"/>
      <c r="B126" s="42"/>
      <c r="C126" s="42"/>
      <c r="D126" s="42"/>
      <c r="E126" s="42"/>
      <c r="F126" s="42"/>
      <c r="G126" s="42"/>
      <c r="H126" s="42"/>
      <c r="I126" s="42"/>
      <c r="J126" s="45"/>
      <c r="K126" s="115"/>
      <c r="L126" s="45"/>
      <c r="M126" s="50"/>
      <c r="N126"/>
      <c r="O126"/>
    </row>
    <row r="127" spans="1:30" x14ac:dyDescent="0.25">
      <c r="A127" s="44"/>
      <c r="B127" s="42"/>
      <c r="C127" s="42"/>
      <c r="D127" s="42"/>
      <c r="E127" s="42"/>
      <c r="F127" s="42"/>
      <c r="G127" s="42"/>
      <c r="H127" s="42"/>
      <c r="I127" s="42"/>
      <c r="J127" s="45"/>
      <c r="K127" s="115"/>
      <c r="L127" s="45"/>
      <c r="M127" s="50"/>
      <c r="N127"/>
      <c r="O127"/>
    </row>
    <row r="128" spans="1:30" x14ac:dyDescent="0.25">
      <c r="A128" s="44"/>
      <c r="B128" s="42"/>
      <c r="C128" s="42"/>
      <c r="D128" s="42"/>
      <c r="E128" s="42"/>
      <c r="F128" s="42"/>
      <c r="G128" s="42"/>
      <c r="H128" s="42"/>
      <c r="I128" s="42"/>
      <c r="J128" s="45"/>
      <c r="K128" s="115"/>
      <c r="L128" s="45"/>
      <c r="M128" s="50"/>
      <c r="N128"/>
      <c r="O128"/>
    </row>
    <row r="129" spans="1:15" x14ac:dyDescent="0.25">
      <c r="A129" s="44"/>
      <c r="B129" s="42"/>
      <c r="C129" s="42"/>
      <c r="D129" s="42"/>
      <c r="E129" s="42"/>
      <c r="F129" s="42"/>
      <c r="G129" s="42"/>
      <c r="H129" s="42"/>
      <c r="I129" s="109"/>
      <c r="J129" s="45"/>
      <c r="K129" s="115"/>
      <c r="L129" s="45"/>
      <c r="M129" s="50"/>
      <c r="N129"/>
      <c r="O129"/>
    </row>
    <row r="130" spans="1:15" x14ac:dyDescent="0.25">
      <c r="A130" s="44"/>
      <c r="B130" s="42"/>
      <c r="C130" s="42"/>
      <c r="D130" s="42"/>
      <c r="E130" s="42"/>
      <c r="F130" s="42"/>
      <c r="G130" s="42"/>
      <c r="H130" s="42"/>
      <c r="I130" s="42"/>
      <c r="J130" s="45"/>
      <c r="K130" s="115"/>
      <c r="L130" s="45"/>
      <c r="M130" s="50"/>
      <c r="N130"/>
      <c r="O130"/>
    </row>
    <row r="131" spans="1:15" x14ac:dyDescent="0.25">
      <c r="A131" s="44"/>
      <c r="B131" s="42"/>
      <c r="C131" s="42"/>
      <c r="D131" s="42"/>
      <c r="E131" s="42"/>
      <c r="F131" s="42"/>
      <c r="G131" s="42"/>
      <c r="H131" s="42"/>
      <c r="I131" s="42"/>
      <c r="J131" s="45"/>
      <c r="K131" s="115"/>
      <c r="L131" s="45"/>
      <c r="M131" s="50"/>
      <c r="N131"/>
      <c r="O131"/>
    </row>
    <row r="132" spans="1:15" x14ac:dyDescent="0.25">
      <c r="A132" s="44"/>
      <c r="B132" s="42"/>
      <c r="C132" s="42"/>
      <c r="D132" s="42"/>
      <c r="E132" s="42"/>
      <c r="F132" s="42"/>
      <c r="G132" s="42"/>
      <c r="H132" s="42"/>
      <c r="I132" s="42"/>
      <c r="J132" s="45"/>
      <c r="K132" s="115"/>
      <c r="L132" s="45"/>
      <c r="M132" s="50"/>
      <c r="N132"/>
      <c r="O132"/>
    </row>
    <row r="133" spans="1:15" x14ac:dyDescent="0.25">
      <c r="A133" s="44"/>
      <c r="B133" s="42"/>
      <c r="C133" s="42"/>
      <c r="D133" s="42"/>
      <c r="E133" s="42"/>
      <c r="F133" s="42"/>
      <c r="G133" s="42"/>
      <c r="H133" s="42"/>
      <c r="I133" s="42"/>
      <c r="J133" s="45"/>
      <c r="K133" s="115"/>
      <c r="L133" s="45"/>
      <c r="M133" s="50"/>
      <c r="N133"/>
      <c r="O133"/>
    </row>
    <row r="134" spans="1:15" x14ac:dyDescent="0.25">
      <c r="A134" s="44"/>
      <c r="B134" s="42"/>
      <c r="C134" s="42"/>
      <c r="D134" s="42"/>
      <c r="E134" s="42"/>
      <c r="F134" s="42"/>
      <c r="G134" s="42"/>
      <c r="H134" s="42"/>
      <c r="I134" s="42"/>
      <c r="J134" s="109"/>
      <c r="K134" s="115"/>
      <c r="L134" s="109"/>
      <c r="M134" s="49"/>
      <c r="N134"/>
      <c r="O134"/>
    </row>
    <row r="135" spans="1:15" x14ac:dyDescent="0.25">
      <c r="A135" s="44"/>
      <c r="B135" s="42"/>
      <c r="C135" s="42"/>
      <c r="D135" s="42"/>
      <c r="E135" s="42"/>
      <c r="F135" s="42"/>
      <c r="G135" s="42"/>
      <c r="H135" s="42"/>
      <c r="I135" s="42"/>
      <c r="J135" s="109"/>
      <c r="K135" s="115"/>
      <c r="L135" s="109"/>
      <c r="M135" s="49"/>
      <c r="N135"/>
      <c r="O135"/>
    </row>
    <row r="136" spans="1:15" x14ac:dyDescent="0.25">
      <c r="A136" s="44"/>
      <c r="B136" s="42"/>
      <c r="C136" s="42"/>
      <c r="D136" s="42"/>
      <c r="E136" s="42"/>
      <c r="F136" s="42"/>
      <c r="G136" s="42"/>
      <c r="H136" s="42"/>
      <c r="I136" s="42"/>
      <c r="J136" s="109"/>
      <c r="K136" s="115"/>
      <c r="L136" s="109"/>
      <c r="M136" s="49"/>
      <c r="N136"/>
      <c r="O136"/>
    </row>
    <row r="137" spans="1:15" x14ac:dyDescent="0.25">
      <c r="A137" s="44"/>
      <c r="B137" s="42"/>
      <c r="C137" s="42"/>
      <c r="D137" s="42"/>
      <c r="E137" s="42"/>
      <c r="F137" s="42"/>
      <c r="G137" s="42"/>
      <c r="H137" s="42"/>
      <c r="I137" s="42"/>
      <c r="J137" s="109"/>
      <c r="K137" s="115"/>
      <c r="L137" s="109"/>
      <c r="M137" s="49"/>
      <c r="N137"/>
      <c r="O137"/>
    </row>
    <row r="138" spans="1:15" x14ac:dyDescent="0.25">
      <c r="A138" s="44"/>
      <c r="B138" s="42"/>
      <c r="C138" s="42"/>
      <c r="D138" s="42"/>
      <c r="E138" s="42"/>
      <c r="F138" s="42"/>
      <c r="G138" s="42"/>
      <c r="H138" s="42"/>
      <c r="I138" s="42"/>
      <c r="J138" s="45"/>
      <c r="K138" s="115"/>
      <c r="L138" s="45"/>
      <c r="M138" s="50"/>
      <c r="N138"/>
      <c r="O138"/>
    </row>
    <row r="139" spans="1:15" x14ac:dyDescent="0.25">
      <c r="A139" s="131"/>
      <c r="B139" s="53"/>
      <c r="C139" s="53"/>
      <c r="D139" s="53"/>
      <c r="E139" s="53"/>
      <c r="F139" s="53"/>
      <c r="G139" s="53"/>
      <c r="H139" s="53"/>
      <c r="I139" s="53"/>
      <c r="J139" s="132"/>
      <c r="K139" s="115"/>
      <c r="L139" s="132"/>
      <c r="M139" s="49"/>
      <c r="N139"/>
      <c r="O139"/>
    </row>
    <row r="140" spans="1:15" x14ac:dyDescent="0.25">
      <c r="A140" s="44"/>
      <c r="B140" s="42"/>
      <c r="C140" s="42"/>
      <c r="D140" s="42"/>
      <c r="E140" s="42"/>
      <c r="F140" s="42"/>
      <c r="G140" s="42"/>
      <c r="H140" s="42"/>
      <c r="I140" s="42"/>
      <c r="J140" s="42"/>
      <c r="K140" s="115"/>
      <c r="L140" s="42"/>
      <c r="M140" s="43"/>
      <c r="N140"/>
      <c r="O140"/>
    </row>
    <row r="141" spans="1:15" x14ac:dyDescent="0.25">
      <c r="A141" s="44"/>
      <c r="B141" s="42"/>
      <c r="C141" s="42"/>
      <c r="D141" s="42"/>
      <c r="E141" s="42"/>
      <c r="F141" s="42"/>
      <c r="G141" s="42"/>
      <c r="H141" s="42"/>
      <c r="I141" s="42"/>
      <c r="J141" s="42"/>
      <c r="K141" s="115"/>
      <c r="L141" s="42"/>
      <c r="M141" s="43"/>
      <c r="N141"/>
      <c r="O141"/>
    </row>
    <row r="142" spans="1:15" x14ac:dyDescent="0.25">
      <c r="A142" s="44"/>
      <c r="B142" s="42"/>
      <c r="C142" s="42"/>
      <c r="D142" s="42"/>
      <c r="E142" s="42"/>
      <c r="F142" s="42"/>
      <c r="G142" s="42"/>
      <c r="H142" s="42"/>
      <c r="I142" s="42"/>
      <c r="J142" s="42"/>
      <c r="K142" s="115"/>
      <c r="L142" s="42"/>
      <c r="M142" s="43"/>
      <c r="N142"/>
      <c r="O142"/>
    </row>
    <row r="143" spans="1:15" x14ac:dyDescent="0.25">
      <c r="A143" s="44"/>
      <c r="B143" s="42"/>
      <c r="C143" s="42"/>
      <c r="D143" s="42"/>
      <c r="E143" s="42"/>
      <c r="F143" s="42"/>
      <c r="G143" s="42"/>
      <c r="H143" s="42"/>
      <c r="I143" s="42"/>
      <c r="J143" s="42"/>
      <c r="K143" s="115"/>
      <c r="L143" s="42"/>
      <c r="M143" s="43"/>
      <c r="N143"/>
      <c r="O143"/>
    </row>
    <row r="144" spans="1:15" x14ac:dyDescent="0.25">
      <c r="A144" s="44"/>
      <c r="B144" s="42"/>
      <c r="C144" s="42"/>
      <c r="D144" s="42"/>
      <c r="E144" s="42"/>
      <c r="F144" s="42"/>
      <c r="G144" s="42"/>
      <c r="H144" s="42"/>
      <c r="I144" s="42"/>
      <c r="J144" s="42"/>
      <c r="K144" s="115"/>
      <c r="L144" s="42"/>
      <c r="M144" s="43"/>
      <c r="N144"/>
      <c r="O144"/>
    </row>
    <row r="145" spans="1:15" x14ac:dyDescent="0.25">
      <c r="A145" s="44"/>
      <c r="B145" s="42"/>
      <c r="C145" s="42"/>
      <c r="D145" s="42"/>
      <c r="E145" s="42"/>
      <c r="F145" s="42"/>
      <c r="G145" s="42"/>
      <c r="H145" s="42"/>
      <c r="I145" s="42"/>
      <c r="J145" s="42"/>
      <c r="K145" s="115"/>
      <c r="L145" s="42"/>
      <c r="M145" s="43"/>
      <c r="N145"/>
      <c r="O145"/>
    </row>
    <row r="146" spans="1:15" x14ac:dyDescent="0.25">
      <c r="A146" s="44"/>
      <c r="B146" s="42"/>
      <c r="C146" s="42"/>
      <c r="D146" s="42"/>
      <c r="E146" s="42"/>
      <c r="F146" s="42"/>
      <c r="G146" s="42"/>
      <c r="H146" s="42"/>
      <c r="I146" s="42"/>
      <c r="J146" s="42"/>
      <c r="K146" s="115"/>
      <c r="L146" s="42"/>
      <c r="M146" s="43"/>
      <c r="N146"/>
      <c r="O146"/>
    </row>
    <row r="147" spans="1:15" x14ac:dyDescent="0.25">
      <c r="A147" s="44"/>
      <c r="B147" s="42"/>
      <c r="C147" s="42"/>
      <c r="D147" s="42"/>
      <c r="E147" s="42"/>
      <c r="F147" s="42"/>
      <c r="G147" s="42"/>
      <c r="H147" s="42"/>
      <c r="I147" s="42"/>
      <c r="J147" s="42"/>
      <c r="K147" s="115"/>
      <c r="L147" s="42"/>
      <c r="M147" s="43"/>
      <c r="N147"/>
      <c r="O147"/>
    </row>
    <row r="148" spans="1:15" x14ac:dyDescent="0.25">
      <c r="A148" s="44"/>
      <c r="B148" s="42"/>
      <c r="C148" s="42"/>
      <c r="D148" s="42"/>
      <c r="E148" s="42"/>
      <c r="F148" s="42"/>
      <c r="G148" s="42"/>
      <c r="H148" s="42"/>
      <c r="I148" s="42"/>
      <c r="J148" s="42"/>
      <c r="K148" s="115"/>
      <c r="L148" s="42"/>
      <c r="M148" s="43"/>
      <c r="N148"/>
      <c r="O148"/>
    </row>
    <row r="149" spans="1:15" x14ac:dyDescent="0.25">
      <c r="A149" s="44"/>
      <c r="B149" s="42"/>
      <c r="C149" s="42"/>
      <c r="D149" s="42"/>
      <c r="E149" s="42"/>
      <c r="F149" s="42"/>
      <c r="G149" s="42"/>
      <c r="H149" s="42"/>
      <c r="I149" s="42"/>
      <c r="J149" s="42"/>
      <c r="K149" s="115"/>
      <c r="L149" s="42"/>
      <c r="M149" s="43"/>
      <c r="N149"/>
      <c r="O149"/>
    </row>
    <row r="150" spans="1:15" x14ac:dyDescent="0.25">
      <c r="A150" s="44"/>
      <c r="B150" s="42"/>
      <c r="C150" s="42"/>
      <c r="D150" s="42"/>
      <c r="E150" s="42"/>
      <c r="F150" s="42"/>
      <c r="G150" s="42"/>
      <c r="H150" s="42"/>
      <c r="I150" s="42"/>
      <c r="J150" s="42"/>
      <c r="K150" s="115"/>
      <c r="L150" s="42"/>
      <c r="M150" s="43"/>
      <c r="N150"/>
      <c r="O150"/>
    </row>
    <row r="151" spans="1:15" x14ac:dyDescent="0.25">
      <c r="A151" s="44"/>
      <c r="B151" s="42"/>
      <c r="C151" s="42"/>
      <c r="D151" s="42"/>
      <c r="E151" s="42"/>
      <c r="F151" s="42"/>
      <c r="G151" s="42"/>
      <c r="H151" s="42"/>
      <c r="I151" s="42"/>
      <c r="J151" s="42"/>
      <c r="K151" s="115"/>
      <c r="L151" s="42"/>
      <c r="M151" s="43"/>
      <c r="N151"/>
      <c r="O151"/>
    </row>
    <row r="152" spans="1:15" x14ac:dyDescent="0.25">
      <c r="A152" s="44"/>
      <c r="B152" s="42"/>
      <c r="C152" s="42"/>
      <c r="D152" s="42"/>
      <c r="E152" s="42"/>
      <c r="F152" s="42"/>
      <c r="G152" s="42"/>
      <c r="H152" s="42"/>
      <c r="I152" s="42"/>
      <c r="J152" s="42"/>
      <c r="K152" s="115"/>
      <c r="L152" s="42"/>
      <c r="M152" s="43"/>
      <c r="N152"/>
      <c r="O152"/>
    </row>
    <row r="153" spans="1:15" x14ac:dyDescent="0.25">
      <c r="A153" s="44"/>
      <c r="B153" s="42"/>
      <c r="C153" s="42"/>
      <c r="D153" s="42"/>
      <c r="E153" s="42"/>
      <c r="F153" s="42"/>
      <c r="G153" s="42"/>
      <c r="H153" s="42"/>
      <c r="I153" s="42"/>
      <c r="J153" s="42"/>
      <c r="K153" s="115"/>
      <c r="L153" s="42"/>
      <c r="M153" s="43"/>
      <c r="N153"/>
      <c r="O153"/>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1"/>
  <sheetViews>
    <sheetView zoomScaleNormal="100" workbookViewId="0">
      <selection activeCell="D15" sqref="D15"/>
    </sheetView>
  </sheetViews>
  <sheetFormatPr defaultColWidth="9.140625" defaultRowHeight="15" x14ac:dyDescent="0.25"/>
  <cols>
    <col min="1" max="1" width="21" style="126" bestFit="1" customWidth="1"/>
    <col min="2" max="2" width="32" style="126" bestFit="1" customWidth="1"/>
    <col min="3" max="3" width="26.5703125" style="126" bestFit="1" customWidth="1"/>
    <col min="4" max="4" width="48.42578125" style="126" bestFit="1" customWidth="1"/>
    <col min="5" max="5" width="24.5703125" style="126" bestFit="1" customWidth="1"/>
    <col min="6" max="6" width="44.28515625" style="126" bestFit="1" customWidth="1"/>
    <col min="7" max="7" width="70.140625" style="106" bestFit="1" customWidth="1"/>
    <col min="8" max="8" width="43.85546875" style="106" bestFit="1" customWidth="1"/>
    <col min="9" max="9" width="49.42578125" style="106" bestFit="1" customWidth="1"/>
    <col min="10" max="10" width="18.28515625" style="126" bestFit="1" customWidth="1"/>
    <col min="11" max="11" width="16.28515625" style="126" bestFit="1" customWidth="1"/>
    <col min="12" max="12" width="43.5703125" style="127" bestFit="1" customWidth="1"/>
    <col min="13" max="13" width="23.85546875" style="126" bestFit="1" customWidth="1"/>
    <col min="14" max="16384" width="9.140625" style="126"/>
  </cols>
  <sheetData>
    <row r="1" spans="1:13" x14ac:dyDescent="0.25">
      <c r="A1" s="129" t="s">
        <v>1061</v>
      </c>
      <c r="B1" s="116" t="s">
        <v>731</v>
      </c>
      <c r="C1" s="116" t="s">
        <v>732</v>
      </c>
      <c r="D1" s="116" t="s">
        <v>1542</v>
      </c>
      <c r="E1" s="116" t="s">
        <v>733</v>
      </c>
      <c r="F1" s="116" t="s">
        <v>1584</v>
      </c>
      <c r="G1" s="185" t="s">
        <v>734</v>
      </c>
      <c r="H1" s="185" t="s">
        <v>736</v>
      </c>
      <c r="I1" s="185" t="s">
        <v>735</v>
      </c>
      <c r="J1" s="116" t="s">
        <v>737</v>
      </c>
      <c r="K1" s="116" t="s">
        <v>738</v>
      </c>
      <c r="L1" s="130" t="s">
        <v>739</v>
      </c>
      <c r="M1" s="117" t="s">
        <v>837</v>
      </c>
    </row>
    <row r="2" spans="1:13" x14ac:dyDescent="0.25">
      <c r="A2" s="104"/>
      <c r="B2" s="104" t="s">
        <v>1094</v>
      </c>
      <c r="C2" s="104" t="s">
        <v>1095</v>
      </c>
      <c r="D2" s="104" t="s">
        <v>1663</v>
      </c>
      <c r="E2" s="104" t="s">
        <v>758</v>
      </c>
      <c r="F2" s="104" t="str">
        <f t="shared" ref="F2:F32" si="0">CONCATENATE("&lt;",TRIM(C2),"&gt; &lt;/",TRIM(C2),"&gt;")</f>
        <v>&lt;InquiryType&gt; &lt;/InquiryType&gt;</v>
      </c>
      <c r="G2" s="62" t="s">
        <v>1379</v>
      </c>
      <c r="H2" s="62" t="s">
        <v>1381</v>
      </c>
      <c r="I2" s="62" t="s">
        <v>1382</v>
      </c>
      <c r="J2" s="104"/>
      <c r="K2" s="104"/>
      <c r="L2" s="105"/>
      <c r="M2" s="104"/>
    </row>
    <row r="3" spans="1:13" x14ac:dyDescent="0.25">
      <c r="A3" s="104" t="s">
        <v>1077</v>
      </c>
      <c r="B3" s="104" t="s">
        <v>524</v>
      </c>
      <c r="C3" s="104" t="s">
        <v>717</v>
      </c>
      <c r="D3" s="104" t="s">
        <v>1662</v>
      </c>
      <c r="E3" s="104" t="s">
        <v>763</v>
      </c>
      <c r="F3" s="104" t="str">
        <f t="shared" si="0"/>
        <v>&lt;Date&gt; &lt;/Date&gt;</v>
      </c>
      <c r="G3" s="62" t="s">
        <v>1440</v>
      </c>
      <c r="H3" s="62" t="s">
        <v>1441</v>
      </c>
      <c r="I3" s="62" t="s">
        <v>1442</v>
      </c>
      <c r="J3" s="104"/>
      <c r="K3" s="104"/>
      <c r="L3" s="105" t="s">
        <v>1419</v>
      </c>
      <c r="M3" s="104"/>
    </row>
    <row r="4" spans="1:13" x14ac:dyDescent="0.25">
      <c r="A4" s="104" t="s">
        <v>1546</v>
      </c>
      <c r="B4" s="104" t="s">
        <v>1177</v>
      </c>
      <c r="C4" s="104" t="s">
        <v>900</v>
      </c>
      <c r="D4" s="104" t="s">
        <v>1599</v>
      </c>
      <c r="E4" s="104" t="s">
        <v>758</v>
      </c>
      <c r="F4" s="104" t="str">
        <f t="shared" si="0"/>
        <v>&lt;OfficeCode&gt; &lt;/OfficeCode&gt;</v>
      </c>
      <c r="G4" s="42" t="s">
        <v>1543</v>
      </c>
      <c r="H4" s="42" t="s">
        <v>1544</v>
      </c>
      <c r="I4" s="42" t="s">
        <v>1545</v>
      </c>
      <c r="J4" s="104"/>
      <c r="K4" s="104"/>
      <c r="L4" s="105"/>
      <c r="M4" s="104"/>
    </row>
    <row r="5" spans="1:13" x14ac:dyDescent="0.25">
      <c r="A5" s="104"/>
      <c r="B5" s="104" t="s">
        <v>1178</v>
      </c>
      <c r="C5" s="104" t="s">
        <v>901</v>
      </c>
      <c r="D5" s="104" t="s">
        <v>1600</v>
      </c>
      <c r="E5" s="119" t="s">
        <v>758</v>
      </c>
      <c r="F5" s="194" t="str">
        <f>CONCATENATE("&lt;",TRIM(C5),"&gt; &lt;/",TRIM(C5),"&gt;")</f>
        <v>&lt;OperatorCode&gt; &lt;/OperatorCode&gt;</v>
      </c>
      <c r="G5" s="62" t="s">
        <v>1500</v>
      </c>
      <c r="H5" s="62" t="s">
        <v>1501</v>
      </c>
      <c r="I5" s="62" t="s">
        <v>1502</v>
      </c>
      <c r="J5" s="118"/>
      <c r="K5" s="104"/>
      <c r="L5" s="105"/>
      <c r="M5" s="104"/>
    </row>
    <row r="6" spans="1:13" x14ac:dyDescent="0.25">
      <c r="A6" s="104" t="s">
        <v>1077</v>
      </c>
      <c r="B6" s="104" t="s">
        <v>592</v>
      </c>
      <c r="C6" s="104" t="s">
        <v>1334</v>
      </c>
      <c r="D6" s="104" t="s">
        <v>1664</v>
      </c>
      <c r="E6" s="104" t="s">
        <v>834</v>
      </c>
      <c r="F6" s="104" t="str">
        <f t="shared" si="0"/>
        <v>&lt;PaymentMode&gt; &lt;/PaymentMode&gt;</v>
      </c>
      <c r="G6" s="62" t="s">
        <v>1376</v>
      </c>
      <c r="H6" s="62" t="s">
        <v>1377</v>
      </c>
      <c r="I6" s="62" t="s">
        <v>1378</v>
      </c>
      <c r="J6" s="104"/>
      <c r="K6" s="104"/>
      <c r="L6" s="105"/>
      <c r="M6" s="104"/>
    </row>
    <row r="7" spans="1:13" ht="30" x14ac:dyDescent="0.25">
      <c r="A7" s="104" t="s">
        <v>1531</v>
      </c>
      <c r="B7" s="104" t="s">
        <v>745</v>
      </c>
      <c r="C7" s="104" t="s">
        <v>882</v>
      </c>
      <c r="D7" s="104" t="s">
        <v>1758</v>
      </c>
      <c r="E7" s="104" t="s">
        <v>758</v>
      </c>
      <c r="F7" s="104" t="str">
        <f t="shared" si="0"/>
        <v>&lt;DrivingLicenseNo&gt; &lt;/DrivingLicenseNo&gt;</v>
      </c>
      <c r="G7" s="64" t="s">
        <v>957</v>
      </c>
      <c r="H7" s="64" t="s">
        <v>958</v>
      </c>
      <c r="I7" s="66" t="s">
        <v>959</v>
      </c>
      <c r="J7" s="104"/>
      <c r="K7" s="104"/>
      <c r="L7" s="105"/>
      <c r="M7" s="104"/>
    </row>
    <row r="8" spans="1:13" x14ac:dyDescent="0.25">
      <c r="A8" s="104" t="s">
        <v>1097</v>
      </c>
      <c r="B8" s="104" t="s">
        <v>746</v>
      </c>
      <c r="C8" s="104" t="s">
        <v>877</v>
      </c>
      <c r="D8" s="104" t="s">
        <v>1759</v>
      </c>
      <c r="E8" s="104" t="s">
        <v>758</v>
      </c>
      <c r="F8" s="104" t="str">
        <f t="shared" si="0"/>
        <v>&lt;EmpIdentificationNo&gt; &lt;/EmpIdentificationNo&gt;</v>
      </c>
      <c r="G8" s="62" t="s">
        <v>963</v>
      </c>
      <c r="H8" s="62" t="s">
        <v>964</v>
      </c>
      <c r="I8" s="62" t="s">
        <v>965</v>
      </c>
      <c r="J8" s="104"/>
      <c r="K8" s="104"/>
      <c r="L8" s="105"/>
      <c r="M8" s="104"/>
    </row>
    <row r="9" spans="1:13" x14ac:dyDescent="0.25">
      <c r="A9" s="104" t="s">
        <v>1553</v>
      </c>
      <c r="B9" s="104" t="s">
        <v>1026</v>
      </c>
      <c r="C9" s="104" t="s">
        <v>1027</v>
      </c>
      <c r="D9" s="104" t="s">
        <v>1695</v>
      </c>
      <c r="E9" s="57" t="s">
        <v>758</v>
      </c>
      <c r="F9" s="57" t="str">
        <f t="shared" si="0"/>
        <v>&lt;EltType&gt; &lt;/EltType&gt;</v>
      </c>
      <c r="G9" s="62" t="s">
        <v>1380</v>
      </c>
      <c r="H9" s="62" t="s">
        <v>1384</v>
      </c>
      <c r="I9" s="62" t="s">
        <v>1383</v>
      </c>
      <c r="J9" s="104"/>
      <c r="K9" s="104"/>
      <c r="L9" s="105" t="s">
        <v>1028</v>
      </c>
      <c r="M9" s="104"/>
    </row>
    <row r="10" spans="1:13" x14ac:dyDescent="0.25">
      <c r="A10" s="104" t="s">
        <v>1553</v>
      </c>
      <c r="B10" s="104" t="s">
        <v>1098</v>
      </c>
      <c r="C10" s="104" t="s">
        <v>1099</v>
      </c>
      <c r="D10" s="104" t="s">
        <v>1772</v>
      </c>
      <c r="E10" s="104" t="s">
        <v>758</v>
      </c>
      <c r="F10" s="104" t="str">
        <f t="shared" si="0"/>
        <v>&lt;EltCode&gt; &lt;/EltCode&gt;</v>
      </c>
      <c r="G10" s="42" t="s">
        <v>474</v>
      </c>
      <c r="H10" s="71" t="s">
        <v>375</v>
      </c>
      <c r="I10" s="64" t="s">
        <v>977</v>
      </c>
      <c r="J10" s="104"/>
      <c r="K10" s="104"/>
      <c r="L10" s="105"/>
      <c r="M10" s="104"/>
    </row>
    <row r="11" spans="1:13" x14ac:dyDescent="0.25">
      <c r="A11" s="104" t="s">
        <v>1103</v>
      </c>
      <c r="B11" s="104" t="s">
        <v>1030</v>
      </c>
      <c r="C11" s="104" t="s">
        <v>1031</v>
      </c>
      <c r="D11" s="104" t="s">
        <v>1697</v>
      </c>
      <c r="E11" s="104" t="s">
        <v>758</v>
      </c>
      <c r="F11" s="104" t="str">
        <f t="shared" si="0"/>
        <v>&lt;Active&gt; &lt;/Active&gt;</v>
      </c>
      <c r="G11" s="64" t="s">
        <v>1485</v>
      </c>
      <c r="H11" s="64" t="s">
        <v>1486</v>
      </c>
      <c r="I11" s="64" t="s">
        <v>1487</v>
      </c>
      <c r="J11" s="104"/>
      <c r="K11" s="104"/>
      <c r="L11" s="105"/>
      <c r="M11" s="104"/>
    </row>
    <row r="12" spans="1:13" x14ac:dyDescent="0.25">
      <c r="A12" s="104" t="s">
        <v>1103</v>
      </c>
      <c r="B12" s="104" t="s">
        <v>1100</v>
      </c>
      <c r="C12" s="104" t="s">
        <v>850</v>
      </c>
      <c r="D12" s="104" t="s">
        <v>1698</v>
      </c>
      <c r="E12" s="104" t="s">
        <v>758</v>
      </c>
      <c r="F12" s="104" t="str">
        <f t="shared" si="0"/>
        <v>&lt;LienHolderName&gt; &lt;/LienHolderName&gt;</v>
      </c>
      <c r="G12" s="62" t="s">
        <v>475</v>
      </c>
      <c r="H12" s="62" t="s">
        <v>371</v>
      </c>
      <c r="I12" s="62" t="s">
        <v>245</v>
      </c>
      <c r="J12" s="104"/>
      <c r="K12" s="104"/>
      <c r="L12" s="105"/>
      <c r="M12" s="104"/>
    </row>
    <row r="13" spans="1:13" x14ac:dyDescent="0.25">
      <c r="A13" s="104" t="s">
        <v>1103</v>
      </c>
      <c r="B13" s="104" t="s">
        <v>1101</v>
      </c>
      <c r="C13" s="104" t="s">
        <v>845</v>
      </c>
      <c r="D13" s="104" t="s">
        <v>1699</v>
      </c>
      <c r="E13" s="104" t="s">
        <v>758</v>
      </c>
      <c r="F13" s="104" t="str">
        <f t="shared" si="0"/>
        <v>&lt;Street&gt; &lt;/Street&gt;</v>
      </c>
      <c r="G13" s="62" t="s">
        <v>476</v>
      </c>
      <c r="H13" s="68" t="s">
        <v>365</v>
      </c>
      <c r="I13" s="62" t="s">
        <v>246</v>
      </c>
      <c r="J13" s="104"/>
      <c r="K13" s="104"/>
      <c r="L13" s="105"/>
      <c r="M13" s="104"/>
    </row>
    <row r="14" spans="1:13" x14ac:dyDescent="0.25">
      <c r="A14" s="104" t="s">
        <v>1103</v>
      </c>
      <c r="B14" s="104" t="s">
        <v>809</v>
      </c>
      <c r="C14" s="104" t="s">
        <v>40</v>
      </c>
      <c r="D14" s="104" t="s">
        <v>1700</v>
      </c>
      <c r="E14" s="104" t="s">
        <v>758</v>
      </c>
      <c r="F14" s="104" t="str">
        <f t="shared" si="0"/>
        <v>&lt;City&gt; &lt;/City&gt;</v>
      </c>
      <c r="G14" s="62" t="s">
        <v>477</v>
      </c>
      <c r="H14" s="68" t="s">
        <v>367</v>
      </c>
      <c r="I14" s="62" t="s">
        <v>247</v>
      </c>
      <c r="J14" s="104"/>
      <c r="K14" s="104"/>
      <c r="L14" s="105"/>
      <c r="M14" s="104"/>
    </row>
    <row r="15" spans="1:13" x14ac:dyDescent="0.25">
      <c r="A15" s="104" t="s">
        <v>1103</v>
      </c>
      <c r="B15" s="104" t="s">
        <v>810</v>
      </c>
      <c r="C15" s="104" t="s">
        <v>41</v>
      </c>
      <c r="D15" s="104" t="s">
        <v>1701</v>
      </c>
      <c r="E15" s="104" t="s">
        <v>758</v>
      </c>
      <c r="F15" s="104" t="str">
        <f t="shared" si="0"/>
        <v>&lt;State&gt; &lt;/State&gt;</v>
      </c>
      <c r="G15" s="62" t="s">
        <v>478</v>
      </c>
      <c r="H15" s="68" t="s">
        <v>368</v>
      </c>
      <c r="I15" s="62" t="s">
        <v>248</v>
      </c>
      <c r="J15" s="104"/>
      <c r="K15" s="104"/>
      <c r="L15" s="105"/>
      <c r="M15" s="104"/>
    </row>
    <row r="16" spans="1:13" x14ac:dyDescent="0.25">
      <c r="A16" s="104" t="s">
        <v>1103</v>
      </c>
      <c r="B16" s="104" t="s">
        <v>1102</v>
      </c>
      <c r="C16" s="104" t="s">
        <v>39</v>
      </c>
      <c r="D16" s="104" t="s">
        <v>1760</v>
      </c>
      <c r="E16" s="104" t="s">
        <v>758</v>
      </c>
      <c r="F16" s="104" t="str">
        <f t="shared" si="0"/>
        <v>&lt;Zip&gt; &lt;/Zip&gt;</v>
      </c>
      <c r="G16" s="62" t="s">
        <v>479</v>
      </c>
      <c r="H16" s="68" t="s">
        <v>366</v>
      </c>
      <c r="I16" s="62" t="s">
        <v>249</v>
      </c>
      <c r="J16" s="104"/>
      <c r="K16" s="104"/>
      <c r="L16" s="105"/>
      <c r="M16" s="104"/>
    </row>
    <row r="17" spans="1:13" x14ac:dyDescent="0.25">
      <c r="A17" s="104" t="s">
        <v>1103</v>
      </c>
      <c r="B17" s="104" t="s">
        <v>1038</v>
      </c>
      <c r="C17" s="104" t="s">
        <v>1547</v>
      </c>
      <c r="D17" s="104" t="s">
        <v>1703</v>
      </c>
      <c r="E17" s="104" t="s">
        <v>758</v>
      </c>
      <c r="F17" s="104" t="str">
        <f t="shared" si="0"/>
        <v>&lt;PublicTagAgent&gt; &lt;/PublicTagAgent&gt;</v>
      </c>
      <c r="G17" s="62" t="s">
        <v>1884</v>
      </c>
      <c r="H17" s="62" t="s">
        <v>1443</v>
      </c>
      <c r="I17" s="62" t="s">
        <v>1444</v>
      </c>
      <c r="J17" s="104"/>
      <c r="K17" s="104"/>
      <c r="L17" s="105"/>
      <c r="M17" s="104"/>
    </row>
    <row r="18" spans="1:13" x14ac:dyDescent="0.25">
      <c r="A18" s="104" t="s">
        <v>1103</v>
      </c>
      <c r="B18" s="104" t="s">
        <v>1041</v>
      </c>
      <c r="C18" s="104" t="s">
        <v>1043</v>
      </c>
      <c r="D18" s="104" t="s">
        <v>1704</v>
      </c>
      <c r="E18" s="104" t="s">
        <v>763</v>
      </c>
      <c r="F18" s="104" t="str">
        <f t="shared" si="0"/>
        <v>&lt;BeginDate&gt; &lt;/BeginDate&gt;</v>
      </c>
      <c r="G18" s="62" t="s">
        <v>1548</v>
      </c>
      <c r="H18" s="62" t="s">
        <v>975</v>
      </c>
      <c r="I18" s="62" t="s">
        <v>1551</v>
      </c>
      <c r="J18" s="104"/>
      <c r="K18" s="104" t="s">
        <v>1045</v>
      </c>
      <c r="L18" s="105"/>
      <c r="M18" s="104"/>
    </row>
    <row r="19" spans="1:13" x14ac:dyDescent="0.25">
      <c r="A19" s="104" t="s">
        <v>1103</v>
      </c>
      <c r="B19" s="104" t="s">
        <v>1042</v>
      </c>
      <c r="C19" s="104" t="s">
        <v>1044</v>
      </c>
      <c r="D19" s="104" t="s">
        <v>1705</v>
      </c>
      <c r="E19" s="104" t="s">
        <v>763</v>
      </c>
      <c r="F19" s="104" t="str">
        <f t="shared" si="0"/>
        <v>&lt;EndDate&gt; &lt;/EndDate&gt;</v>
      </c>
      <c r="G19" s="62" t="s">
        <v>1549</v>
      </c>
      <c r="H19" s="62" t="s">
        <v>1550</v>
      </c>
      <c r="I19" s="62" t="s">
        <v>1552</v>
      </c>
      <c r="J19" s="104"/>
      <c r="K19" s="104" t="s">
        <v>1045</v>
      </c>
      <c r="L19" s="105"/>
      <c r="M19" s="104"/>
    </row>
    <row r="20" spans="1:13" x14ac:dyDescent="0.25">
      <c r="A20" s="104"/>
      <c r="B20" s="104" t="s">
        <v>1104</v>
      </c>
      <c r="C20" s="104" t="s">
        <v>155</v>
      </c>
      <c r="D20" s="104"/>
      <c r="E20" s="104" t="s">
        <v>155</v>
      </c>
      <c r="F20" s="104" t="str">
        <f t="shared" si="0"/>
        <v>&lt;N/A&gt; &lt;/N/A&gt;</v>
      </c>
      <c r="G20" s="62"/>
      <c r="H20" s="62"/>
      <c r="I20" s="62"/>
      <c r="J20" s="104"/>
      <c r="K20" s="104"/>
      <c r="L20" s="105"/>
      <c r="M20" s="104"/>
    </row>
    <row r="21" spans="1:13" x14ac:dyDescent="0.25">
      <c r="A21" s="104" t="s">
        <v>938</v>
      </c>
      <c r="B21" s="104" t="s">
        <v>1008</v>
      </c>
      <c r="C21" s="104" t="s">
        <v>1009</v>
      </c>
      <c r="D21" s="104"/>
      <c r="E21" s="104"/>
      <c r="F21" s="104" t="str">
        <f t="shared" si="0"/>
        <v>&lt;PlateExpMMYY&gt; &lt;/PlateExpMMYY&gt;</v>
      </c>
      <c r="G21" s="42" t="s">
        <v>443</v>
      </c>
      <c r="H21" s="62" t="s">
        <v>347</v>
      </c>
      <c r="I21" s="62" t="s">
        <v>237</v>
      </c>
      <c r="J21" s="104"/>
      <c r="K21" s="104"/>
      <c r="L21" s="105"/>
      <c r="M21" s="104"/>
    </row>
    <row r="22" spans="1:13" x14ac:dyDescent="0.25">
      <c r="A22" s="104" t="s">
        <v>1243</v>
      </c>
      <c r="B22" s="104" t="s">
        <v>1119</v>
      </c>
      <c r="C22" s="104" t="s">
        <v>1120</v>
      </c>
      <c r="D22" s="104" t="s">
        <v>1761</v>
      </c>
      <c r="E22" s="104" t="s">
        <v>758</v>
      </c>
      <c r="F22" s="104" t="str">
        <f t="shared" si="0"/>
        <v>&lt;PlateNumber&gt; &lt;/PlateNumber&gt;</v>
      </c>
      <c r="G22" s="62" t="s">
        <v>1388</v>
      </c>
      <c r="H22" s="62" t="s">
        <v>1389</v>
      </c>
      <c r="I22" s="62" t="s">
        <v>1390</v>
      </c>
      <c r="J22" s="104"/>
      <c r="K22" s="104"/>
      <c r="L22" s="105"/>
      <c r="M22" s="104"/>
    </row>
    <row r="23" spans="1:13" ht="30" x14ac:dyDescent="0.25">
      <c r="A23" s="104" t="s">
        <v>1243</v>
      </c>
      <c r="B23" s="104" t="s">
        <v>1127</v>
      </c>
      <c r="C23" s="104" t="s">
        <v>1574</v>
      </c>
      <c r="D23" s="104" t="s">
        <v>1762</v>
      </c>
      <c r="E23" s="104" t="s">
        <v>834</v>
      </c>
      <c r="F23" s="104" t="str">
        <f t="shared" si="0"/>
        <v>&lt;RegExpYear&gt; &lt;/RegExpYear&gt;</v>
      </c>
      <c r="G23" s="62" t="s">
        <v>2264</v>
      </c>
      <c r="H23" s="62" t="s">
        <v>1432</v>
      </c>
      <c r="I23" s="62" t="s">
        <v>1433</v>
      </c>
      <c r="J23" s="104"/>
      <c r="K23" s="104"/>
      <c r="L23" s="105" t="s">
        <v>1244</v>
      </c>
      <c r="M23" s="104"/>
    </row>
    <row r="24" spans="1:13" x14ac:dyDescent="0.25">
      <c r="A24" s="104" t="s">
        <v>1245</v>
      </c>
      <c r="B24" s="104" t="s">
        <v>17</v>
      </c>
      <c r="C24" s="104" t="s">
        <v>814</v>
      </c>
      <c r="D24" s="104" t="s">
        <v>1763</v>
      </c>
      <c r="E24" s="104" t="s">
        <v>758</v>
      </c>
      <c r="F24" s="104" t="str">
        <f t="shared" si="0"/>
        <v>&lt;Vin&gt; &lt;/Vin&gt;</v>
      </c>
      <c r="G24" s="62" t="s">
        <v>1388</v>
      </c>
      <c r="H24" s="62" t="s">
        <v>1389</v>
      </c>
      <c r="I24" s="62" t="s">
        <v>1390</v>
      </c>
      <c r="J24" s="104"/>
      <c r="K24" s="104"/>
      <c r="L24" s="105"/>
      <c r="M24" s="104"/>
    </row>
    <row r="25" spans="1:13" x14ac:dyDescent="0.25">
      <c r="A25" s="104" t="s">
        <v>1246</v>
      </c>
      <c r="B25" s="104" t="s">
        <v>1235</v>
      </c>
      <c r="C25" s="104" t="s">
        <v>1236</v>
      </c>
      <c r="D25" s="104" t="s">
        <v>1764</v>
      </c>
      <c r="E25" s="104" t="s">
        <v>758</v>
      </c>
      <c r="F25" s="104" t="str">
        <f t="shared" si="0"/>
        <v>&lt;LastName&gt; &lt;/LastName&gt;</v>
      </c>
      <c r="G25" s="62" t="s">
        <v>1479</v>
      </c>
      <c r="H25" s="62" t="s">
        <v>1393</v>
      </c>
      <c r="I25" s="62" t="s">
        <v>1395</v>
      </c>
      <c r="J25" s="104"/>
      <c r="K25" s="104"/>
      <c r="L25" s="105"/>
      <c r="M25" s="104"/>
    </row>
    <row r="26" spans="1:13" x14ac:dyDescent="0.25">
      <c r="A26" s="104" t="s">
        <v>1246</v>
      </c>
      <c r="B26" s="104" t="s">
        <v>1237</v>
      </c>
      <c r="C26" s="104" t="s">
        <v>1238</v>
      </c>
      <c r="D26" s="104" t="s">
        <v>1765</v>
      </c>
      <c r="E26" s="104" t="s">
        <v>758</v>
      </c>
      <c r="F26" s="104" t="str">
        <f t="shared" si="0"/>
        <v>&lt;FirstName&gt; &lt;/FirstName&gt;</v>
      </c>
      <c r="G26" s="62" t="s">
        <v>1391</v>
      </c>
      <c r="H26" s="62" t="s">
        <v>1392</v>
      </c>
      <c r="I26" s="62" t="s">
        <v>1394</v>
      </c>
      <c r="J26" s="104"/>
      <c r="K26" s="104"/>
      <c r="L26" s="105"/>
      <c r="M26" s="104"/>
    </row>
    <row r="27" spans="1:13" x14ac:dyDescent="0.25">
      <c r="A27" s="104" t="s">
        <v>1247</v>
      </c>
      <c r="B27" s="104" t="s">
        <v>1248</v>
      </c>
      <c r="C27" s="104" t="s">
        <v>1249</v>
      </c>
      <c r="D27" s="104" t="s">
        <v>1766</v>
      </c>
      <c r="E27" s="104" t="s">
        <v>758</v>
      </c>
      <c r="F27" s="104" t="str">
        <f t="shared" si="0"/>
        <v>&lt;CompanyName&gt; &lt;/CompanyName&gt;</v>
      </c>
      <c r="G27" s="62" t="s">
        <v>1483</v>
      </c>
      <c r="H27" s="62" t="s">
        <v>371</v>
      </c>
      <c r="I27" s="62" t="s">
        <v>238</v>
      </c>
      <c r="J27" s="104"/>
      <c r="K27" s="104"/>
      <c r="L27" s="105"/>
      <c r="M27" s="104"/>
    </row>
    <row r="28" spans="1:13" ht="30" x14ac:dyDescent="0.25">
      <c r="A28" s="104" t="s">
        <v>1234</v>
      </c>
      <c r="B28" s="104" t="s">
        <v>1554</v>
      </c>
      <c r="C28" s="104" t="s">
        <v>1554</v>
      </c>
      <c r="D28" s="104" t="s">
        <v>1767</v>
      </c>
      <c r="E28" s="104" t="s">
        <v>758</v>
      </c>
      <c r="F28" s="104" t="str">
        <f t="shared" si="0"/>
        <v>&lt;Race&gt; &lt;/Race&gt;</v>
      </c>
      <c r="G28" s="64" t="s">
        <v>1556</v>
      </c>
      <c r="H28" s="64" t="s">
        <v>1557</v>
      </c>
      <c r="I28" s="64" t="s">
        <v>1558</v>
      </c>
      <c r="J28" s="104"/>
      <c r="K28" s="104"/>
      <c r="L28" s="105" t="s">
        <v>1559</v>
      </c>
      <c r="M28" s="104"/>
    </row>
    <row r="29" spans="1:13" x14ac:dyDescent="0.25">
      <c r="A29" s="104" t="s">
        <v>1234</v>
      </c>
      <c r="B29" s="104" t="s">
        <v>1555</v>
      </c>
      <c r="C29" s="104" t="s">
        <v>1555</v>
      </c>
      <c r="D29" s="104" t="s">
        <v>1768</v>
      </c>
      <c r="E29" s="119" t="s">
        <v>758</v>
      </c>
      <c r="F29" s="119" t="str">
        <f t="shared" si="0"/>
        <v>&lt;Gender&gt; &lt;/Gender&gt;</v>
      </c>
      <c r="G29" s="64" t="s">
        <v>1488</v>
      </c>
      <c r="H29" s="64" t="s">
        <v>1489</v>
      </c>
      <c r="I29" s="64" t="s">
        <v>1490</v>
      </c>
      <c r="J29" s="118"/>
      <c r="K29" s="104"/>
      <c r="L29" s="105"/>
      <c r="M29" s="104"/>
    </row>
    <row r="30" spans="1:13" x14ac:dyDescent="0.25">
      <c r="A30" s="104" t="s">
        <v>1234</v>
      </c>
      <c r="B30" s="181" t="s">
        <v>1340</v>
      </c>
      <c r="C30" s="104" t="s">
        <v>1055</v>
      </c>
      <c r="D30" s="104" t="s">
        <v>1769</v>
      </c>
      <c r="E30" s="104" t="s">
        <v>763</v>
      </c>
      <c r="F30" s="104" t="str">
        <f t="shared" si="0"/>
        <v>&lt;DateOfBirth&gt; &lt;/DateOfBirth&gt;</v>
      </c>
      <c r="G30" s="64" t="s">
        <v>1202</v>
      </c>
      <c r="H30" s="64" t="s">
        <v>1203</v>
      </c>
      <c r="I30" s="64" t="s">
        <v>1204</v>
      </c>
      <c r="J30" s="181"/>
      <c r="K30" s="181"/>
      <c r="L30" s="182"/>
      <c r="M30" s="181"/>
    </row>
    <row r="31" spans="1:13" x14ac:dyDescent="0.25">
      <c r="A31" s="104" t="s">
        <v>1247</v>
      </c>
      <c r="B31" s="104" t="s">
        <v>1341</v>
      </c>
      <c r="C31" s="104" t="s">
        <v>833</v>
      </c>
      <c r="D31" s="104" t="s">
        <v>1770</v>
      </c>
      <c r="E31" s="104" t="s">
        <v>834</v>
      </c>
      <c r="F31" s="104" t="str">
        <f t="shared" si="0"/>
        <v>&lt;OwnerType&gt; &lt;/OwnerType&gt;</v>
      </c>
      <c r="G31" s="64" t="s">
        <v>419</v>
      </c>
      <c r="H31" s="62" t="s">
        <v>155</v>
      </c>
      <c r="I31" s="62" t="s">
        <v>418</v>
      </c>
      <c r="J31" s="104"/>
      <c r="K31" s="104"/>
      <c r="L31" s="105"/>
      <c r="M31" s="104"/>
    </row>
    <row r="32" spans="1:13" x14ac:dyDescent="0.25">
      <c r="A32" s="104" t="s">
        <v>1149</v>
      </c>
      <c r="B32" s="104" t="s">
        <v>140</v>
      </c>
      <c r="C32" s="104" t="s">
        <v>884</v>
      </c>
      <c r="D32" s="104" t="s">
        <v>1771</v>
      </c>
      <c r="E32" s="104" t="s">
        <v>758</v>
      </c>
      <c r="F32" s="104" t="str">
        <f t="shared" si="0"/>
        <v>&lt;DealerCode&gt; &lt;/DealerCode&gt;</v>
      </c>
      <c r="G32" s="62" t="s">
        <v>1518</v>
      </c>
      <c r="H32" s="62" t="s">
        <v>1519</v>
      </c>
      <c r="I32" s="62" t="s">
        <v>1520</v>
      </c>
      <c r="J32" s="104"/>
      <c r="K32" s="104"/>
      <c r="L32" s="105"/>
      <c r="M32" s="104"/>
    </row>
    <row r="33" spans="1:13" x14ac:dyDescent="0.25">
      <c r="A33" s="104"/>
      <c r="B33" s="104"/>
      <c r="C33" s="104"/>
      <c r="D33" s="104"/>
      <c r="E33" s="104"/>
      <c r="F33" s="104"/>
      <c r="G33" s="62"/>
      <c r="H33" s="62"/>
      <c r="I33" s="62"/>
      <c r="J33" s="104"/>
      <c r="K33" s="104"/>
      <c r="L33" s="105"/>
      <c r="M33" s="104"/>
    </row>
    <row r="34" spans="1:13" x14ac:dyDescent="0.25">
      <c r="A34" s="104"/>
      <c r="B34" s="104"/>
      <c r="C34" s="104"/>
      <c r="D34" s="104"/>
      <c r="E34" s="104"/>
      <c r="F34" s="104"/>
      <c r="G34" s="62"/>
      <c r="H34" s="62"/>
      <c r="I34" s="62"/>
      <c r="J34" s="104"/>
      <c r="K34" s="104"/>
      <c r="L34" s="105"/>
      <c r="M34" s="104"/>
    </row>
    <row r="35" spans="1:13" x14ac:dyDescent="0.25">
      <c r="A35" s="104"/>
      <c r="B35" s="104"/>
      <c r="C35" s="104"/>
      <c r="D35" s="104"/>
      <c r="E35" s="104"/>
      <c r="F35" s="104"/>
      <c r="G35" s="62"/>
      <c r="H35" s="62"/>
      <c r="I35" s="62"/>
      <c r="J35" s="104"/>
      <c r="K35" s="104"/>
      <c r="L35" s="105"/>
      <c r="M35" s="104"/>
    </row>
    <row r="36" spans="1:13" x14ac:dyDescent="0.25">
      <c r="A36" s="104"/>
      <c r="B36" s="104"/>
      <c r="C36" s="104"/>
      <c r="D36" s="104"/>
      <c r="E36" s="104"/>
      <c r="F36" s="104"/>
      <c r="G36" s="62"/>
      <c r="H36" s="62"/>
      <c r="I36" s="62"/>
      <c r="J36" s="104"/>
      <c r="K36" s="104"/>
      <c r="L36" s="105"/>
      <c r="M36" s="104"/>
    </row>
    <row r="37" spans="1:13" x14ac:dyDescent="0.25">
      <c r="A37" s="104"/>
      <c r="B37" s="104"/>
      <c r="C37" s="104"/>
      <c r="D37" s="104"/>
      <c r="E37" s="104"/>
      <c r="F37" s="104"/>
      <c r="G37" s="62"/>
      <c r="H37" s="62"/>
      <c r="I37" s="62"/>
      <c r="J37" s="104"/>
      <c r="K37" s="104"/>
      <c r="L37" s="105"/>
      <c r="M37" s="104"/>
    </row>
    <row r="38" spans="1:13" x14ac:dyDescent="0.25">
      <c r="A38" s="104"/>
      <c r="B38" s="104"/>
      <c r="C38" s="104"/>
      <c r="D38" s="104"/>
      <c r="E38" s="104"/>
      <c r="F38" s="104"/>
      <c r="G38" s="62"/>
      <c r="H38" s="62"/>
      <c r="I38" s="62"/>
      <c r="J38" s="104"/>
      <c r="K38" s="104"/>
      <c r="L38" s="105"/>
      <c r="M38" s="104"/>
    </row>
    <row r="39" spans="1:13" x14ac:dyDescent="0.25">
      <c r="A39" s="104"/>
      <c r="B39" s="104"/>
      <c r="C39" s="104"/>
      <c r="D39" s="104"/>
      <c r="E39" s="104"/>
      <c r="F39" s="104"/>
      <c r="G39" s="62"/>
      <c r="H39" s="62"/>
      <c r="I39" s="62"/>
      <c r="J39" s="104"/>
      <c r="K39" s="104"/>
      <c r="L39" s="105"/>
      <c r="M39" s="104"/>
    </row>
    <row r="40" spans="1:13" x14ac:dyDescent="0.25">
      <c r="A40" s="104"/>
      <c r="B40" s="104"/>
      <c r="C40" s="104"/>
      <c r="D40" s="104"/>
      <c r="E40" s="104"/>
      <c r="F40" s="104"/>
      <c r="G40" s="62"/>
      <c r="H40" s="62"/>
      <c r="I40" s="62"/>
      <c r="J40" s="104"/>
      <c r="K40" s="104"/>
      <c r="L40" s="105"/>
      <c r="M40" s="104"/>
    </row>
    <row r="41" spans="1:13" x14ac:dyDescent="0.25">
      <c r="A41" s="104"/>
      <c r="B41" s="104"/>
      <c r="C41" s="104"/>
      <c r="D41" s="104"/>
      <c r="E41" s="104"/>
      <c r="F41" s="104"/>
      <c r="G41" s="62"/>
      <c r="H41" s="62"/>
      <c r="I41" s="62"/>
      <c r="J41" s="104"/>
      <c r="K41" s="104"/>
      <c r="L41" s="105"/>
      <c r="M41" s="104"/>
    </row>
    <row r="42" spans="1:13" x14ac:dyDescent="0.25">
      <c r="A42" s="104"/>
      <c r="B42" s="104"/>
      <c r="C42" s="104"/>
      <c r="D42" s="104"/>
      <c r="E42" s="104"/>
      <c r="F42" s="104"/>
      <c r="G42" s="62"/>
      <c r="H42" s="62"/>
      <c r="I42" s="62"/>
      <c r="J42" s="104"/>
      <c r="K42" s="104"/>
      <c r="L42" s="105"/>
      <c r="M42" s="104"/>
    </row>
    <row r="43" spans="1:13" x14ac:dyDescent="0.25">
      <c r="A43" s="104"/>
      <c r="B43" s="104"/>
      <c r="C43" s="104"/>
      <c r="D43" s="104"/>
      <c r="E43" s="104"/>
      <c r="F43" s="104"/>
      <c r="G43" s="62"/>
      <c r="H43" s="62"/>
      <c r="I43" s="62"/>
      <c r="J43" s="104"/>
      <c r="K43" s="104"/>
      <c r="L43" s="105"/>
      <c r="M43" s="104"/>
    </row>
    <row r="44" spans="1:13" x14ac:dyDescent="0.25">
      <c r="A44" s="104"/>
      <c r="B44" s="104"/>
      <c r="C44" s="104"/>
      <c r="D44" s="104"/>
      <c r="E44" s="104"/>
      <c r="F44" s="104"/>
      <c r="G44" s="62"/>
      <c r="H44" s="62"/>
      <c r="I44" s="62"/>
      <c r="J44" s="104"/>
      <c r="K44" s="104"/>
      <c r="L44" s="105"/>
      <c r="M44" s="104"/>
    </row>
    <row r="45" spans="1:13" x14ac:dyDescent="0.25">
      <c r="A45" s="104"/>
      <c r="B45" s="104"/>
      <c r="C45" s="104"/>
      <c r="D45" s="104"/>
      <c r="E45" s="104"/>
      <c r="F45" s="104"/>
      <c r="G45" s="62"/>
      <c r="H45" s="62"/>
      <c r="I45" s="62"/>
      <c r="J45" s="104"/>
      <c r="K45" s="104"/>
      <c r="L45" s="105"/>
      <c r="M45" s="104"/>
    </row>
    <row r="46" spans="1:13" x14ac:dyDescent="0.25">
      <c r="A46" s="104"/>
      <c r="B46" s="104"/>
      <c r="C46" s="104"/>
      <c r="D46" s="104"/>
      <c r="E46" s="104"/>
      <c r="F46" s="104"/>
      <c r="G46" s="62"/>
      <c r="H46" s="62"/>
      <c r="I46" s="62"/>
      <c r="J46" s="104"/>
      <c r="K46" s="104"/>
      <c r="L46" s="105"/>
      <c r="M46" s="104"/>
    </row>
    <row r="47" spans="1:13" x14ac:dyDescent="0.25">
      <c r="A47" s="104"/>
      <c r="B47" s="104"/>
      <c r="C47" s="104"/>
      <c r="D47" s="104"/>
      <c r="E47" s="104"/>
      <c r="F47" s="104"/>
      <c r="G47" s="62"/>
      <c r="H47" s="62"/>
      <c r="I47" s="62"/>
      <c r="J47" s="104"/>
      <c r="K47" s="104"/>
      <c r="L47" s="105"/>
      <c r="M47" s="104"/>
    </row>
    <row r="48" spans="1:13" x14ac:dyDescent="0.25">
      <c r="A48" s="104"/>
      <c r="B48" s="104"/>
      <c r="C48" s="104"/>
      <c r="D48" s="104"/>
      <c r="E48" s="104"/>
      <c r="F48" s="104"/>
      <c r="G48" s="62"/>
      <c r="H48" s="62"/>
      <c r="I48" s="62"/>
      <c r="J48" s="104"/>
      <c r="K48" s="104"/>
      <c r="L48" s="105"/>
      <c r="M48" s="104"/>
    </row>
    <row r="49" spans="1:13" x14ac:dyDescent="0.25">
      <c r="A49" s="104"/>
      <c r="B49" s="104"/>
      <c r="C49" s="104"/>
      <c r="D49" s="104"/>
      <c r="E49" s="104"/>
      <c r="F49" s="104"/>
      <c r="G49" s="62"/>
      <c r="H49" s="62"/>
      <c r="I49" s="62"/>
      <c r="J49" s="104"/>
      <c r="K49" s="104"/>
      <c r="L49" s="105"/>
      <c r="M49" s="104"/>
    </row>
    <row r="50" spans="1:13" x14ac:dyDescent="0.25">
      <c r="A50" s="104"/>
      <c r="B50" s="104"/>
      <c r="C50" s="104"/>
      <c r="D50" s="104"/>
      <c r="E50" s="104"/>
      <c r="F50" s="104"/>
      <c r="G50" s="62"/>
      <c r="H50" s="62"/>
      <c r="I50" s="62"/>
      <c r="J50" s="104"/>
      <c r="K50" s="104"/>
      <c r="L50" s="105"/>
      <c r="M50" s="104"/>
    </row>
    <row r="51" spans="1:13" x14ac:dyDescent="0.25">
      <c r="A51" s="104"/>
      <c r="B51" s="104"/>
      <c r="C51" s="104"/>
      <c r="D51" s="104"/>
      <c r="E51" s="104"/>
      <c r="F51" s="104"/>
      <c r="G51" s="62"/>
      <c r="H51" s="62"/>
      <c r="I51" s="62"/>
      <c r="J51" s="104"/>
      <c r="K51" s="104"/>
      <c r="L51" s="105"/>
      <c r="M51" s="104"/>
    </row>
    <row r="52" spans="1:13" x14ac:dyDescent="0.25">
      <c r="A52" s="104"/>
      <c r="B52" s="104"/>
      <c r="C52" s="104"/>
      <c r="D52" s="104"/>
      <c r="E52" s="104"/>
      <c r="F52" s="104"/>
      <c r="G52" s="62"/>
      <c r="H52" s="62"/>
      <c r="I52" s="62"/>
      <c r="J52" s="104"/>
      <c r="K52" s="104"/>
      <c r="L52" s="105"/>
      <c r="M52" s="104"/>
    </row>
    <row r="53" spans="1:13" x14ac:dyDescent="0.25">
      <c r="A53" s="104"/>
      <c r="B53" s="104"/>
      <c r="C53" s="104"/>
      <c r="D53" s="104"/>
      <c r="E53" s="104"/>
      <c r="F53" s="104"/>
      <c r="G53" s="62"/>
      <c r="H53" s="62"/>
      <c r="I53" s="62"/>
      <c r="J53" s="104"/>
      <c r="K53" s="104"/>
      <c r="L53" s="105"/>
      <c r="M53" s="104"/>
    </row>
    <row r="54" spans="1:13" x14ac:dyDescent="0.25">
      <c r="A54" s="104"/>
      <c r="B54" s="104"/>
      <c r="C54" s="104"/>
      <c r="D54" s="104"/>
      <c r="E54" s="104"/>
      <c r="F54" s="104"/>
      <c r="G54" s="62"/>
      <c r="H54" s="62"/>
      <c r="I54" s="62"/>
      <c r="J54" s="104"/>
      <c r="K54" s="104"/>
      <c r="L54" s="105"/>
      <c r="M54" s="104"/>
    </row>
    <row r="55" spans="1:13" x14ac:dyDescent="0.25">
      <c r="A55" s="104"/>
      <c r="B55" s="104"/>
      <c r="C55" s="104"/>
      <c r="D55" s="104"/>
      <c r="E55" s="104"/>
      <c r="F55" s="104"/>
      <c r="G55" s="62"/>
      <c r="H55" s="62"/>
      <c r="I55" s="62"/>
      <c r="J55" s="104"/>
      <c r="K55" s="104"/>
      <c r="L55" s="105"/>
      <c r="M55" s="104"/>
    </row>
    <row r="56" spans="1:13" x14ac:dyDescent="0.25">
      <c r="A56" s="104"/>
      <c r="B56" s="104"/>
      <c r="C56" s="104"/>
      <c r="D56" s="104"/>
      <c r="E56" s="104"/>
      <c r="F56" s="104"/>
      <c r="G56" s="62"/>
      <c r="H56" s="62"/>
      <c r="I56" s="62"/>
      <c r="J56" s="104"/>
      <c r="K56" s="104"/>
      <c r="L56" s="105"/>
      <c r="M56" s="104"/>
    </row>
    <row r="57" spans="1:13" x14ac:dyDescent="0.25">
      <c r="A57" s="104"/>
      <c r="B57" s="104"/>
      <c r="C57" s="104"/>
      <c r="D57" s="104"/>
      <c r="E57" s="104"/>
      <c r="F57" s="104"/>
      <c r="G57" s="62"/>
      <c r="H57" s="62"/>
      <c r="I57" s="62"/>
      <c r="J57" s="104"/>
      <c r="K57" s="104"/>
      <c r="L57" s="105"/>
      <c r="M57" s="104"/>
    </row>
    <row r="58" spans="1:13" x14ac:dyDescent="0.25">
      <c r="A58" s="104"/>
      <c r="B58" s="104"/>
      <c r="C58" s="104"/>
      <c r="D58" s="104"/>
      <c r="E58" s="104"/>
      <c r="F58" s="104"/>
      <c r="G58" s="62"/>
      <c r="H58" s="62"/>
      <c r="I58" s="62"/>
      <c r="J58" s="104"/>
      <c r="K58" s="104"/>
      <c r="L58" s="105"/>
      <c r="M58" s="104"/>
    </row>
    <row r="59" spans="1:13" x14ac:dyDescent="0.25">
      <c r="A59" s="104"/>
      <c r="B59" s="104"/>
      <c r="C59" s="104"/>
      <c r="D59" s="104"/>
      <c r="E59" s="104"/>
      <c r="F59" s="104"/>
      <c r="G59" s="62"/>
      <c r="H59" s="62"/>
      <c r="I59" s="62"/>
      <c r="J59" s="104"/>
      <c r="K59" s="104"/>
      <c r="L59" s="105"/>
      <c r="M59" s="104"/>
    </row>
    <row r="60" spans="1:13" x14ac:dyDescent="0.25">
      <c r="A60" s="104"/>
      <c r="B60" s="104"/>
      <c r="C60" s="104"/>
      <c r="D60" s="104"/>
      <c r="E60" s="104"/>
      <c r="F60" s="104"/>
      <c r="G60" s="62"/>
      <c r="H60" s="62"/>
      <c r="I60" s="62"/>
      <c r="J60" s="104"/>
      <c r="K60" s="104"/>
      <c r="L60" s="105"/>
      <c r="M60" s="104"/>
    </row>
    <row r="61" spans="1:13" x14ac:dyDescent="0.25">
      <c r="A61" s="104"/>
      <c r="B61" s="104"/>
      <c r="C61" s="104"/>
      <c r="D61" s="104"/>
      <c r="E61" s="104"/>
      <c r="F61" s="104"/>
      <c r="G61" s="62"/>
      <c r="H61" s="62"/>
      <c r="I61" s="62"/>
      <c r="J61" s="104"/>
      <c r="K61" s="104"/>
      <c r="L61" s="105"/>
      <c r="M61" s="104"/>
    </row>
    <row r="62" spans="1:13" x14ac:dyDescent="0.25">
      <c r="A62" s="104"/>
      <c r="B62" s="104"/>
      <c r="C62" s="104"/>
      <c r="D62" s="104"/>
      <c r="E62" s="104"/>
      <c r="F62" s="104"/>
      <c r="G62" s="62"/>
      <c r="H62" s="62"/>
      <c r="I62" s="62"/>
      <c r="J62" s="104"/>
      <c r="K62" s="104"/>
      <c r="L62" s="105"/>
      <c r="M62" s="104"/>
    </row>
    <row r="63" spans="1:13" x14ac:dyDescent="0.25">
      <c r="A63" s="104"/>
      <c r="B63" s="104"/>
      <c r="C63" s="104"/>
      <c r="D63" s="104"/>
      <c r="E63" s="104"/>
      <c r="F63" s="104"/>
      <c r="G63" s="62"/>
      <c r="H63" s="62"/>
      <c r="I63" s="62"/>
      <c r="J63" s="104"/>
      <c r="K63" s="104"/>
      <c r="L63" s="105"/>
      <c r="M63" s="104"/>
    </row>
    <row r="64" spans="1:13" x14ac:dyDescent="0.25">
      <c r="A64" s="104"/>
      <c r="B64" s="104"/>
      <c r="C64" s="104"/>
      <c r="D64" s="104"/>
      <c r="E64" s="104"/>
      <c r="F64" s="104"/>
      <c r="G64" s="62"/>
      <c r="H64" s="62"/>
      <c r="I64" s="62"/>
      <c r="J64" s="104"/>
      <c r="K64" s="104"/>
      <c r="L64" s="105"/>
      <c r="M64" s="104"/>
    </row>
    <row r="65" spans="1:13" x14ac:dyDescent="0.25">
      <c r="A65" s="104"/>
      <c r="B65" s="104"/>
      <c r="C65" s="104"/>
      <c r="D65" s="104"/>
      <c r="E65" s="104"/>
      <c r="F65" s="104"/>
      <c r="G65" s="62"/>
      <c r="H65" s="62"/>
      <c r="I65" s="62"/>
      <c r="J65" s="104"/>
      <c r="K65" s="104"/>
      <c r="L65" s="105"/>
      <c r="M65" s="104"/>
    </row>
    <row r="66" spans="1:13" x14ac:dyDescent="0.25">
      <c r="A66" s="104"/>
      <c r="B66" s="104"/>
      <c r="C66" s="104"/>
      <c r="D66" s="104"/>
      <c r="E66" s="104"/>
      <c r="F66" s="104"/>
      <c r="G66" s="62"/>
      <c r="H66" s="62"/>
      <c r="I66" s="62"/>
      <c r="J66" s="104"/>
      <c r="K66" s="104"/>
      <c r="L66" s="105"/>
      <c r="M66" s="104"/>
    </row>
    <row r="67" spans="1:13" x14ac:dyDescent="0.25">
      <c r="A67" s="104"/>
      <c r="B67" s="104"/>
      <c r="C67" s="104"/>
      <c r="D67" s="104"/>
      <c r="E67" s="104"/>
      <c r="F67" s="104"/>
      <c r="G67" s="62"/>
      <c r="H67" s="62"/>
      <c r="I67" s="62"/>
      <c r="J67" s="104"/>
      <c r="K67" s="104"/>
      <c r="L67" s="105"/>
      <c r="M67" s="104"/>
    </row>
    <row r="68" spans="1:13" x14ac:dyDescent="0.25">
      <c r="A68" s="104"/>
      <c r="B68" s="104"/>
      <c r="C68" s="104"/>
      <c r="D68" s="104"/>
      <c r="E68" s="104"/>
      <c r="F68" s="104"/>
      <c r="G68" s="62"/>
      <c r="H68" s="62"/>
      <c r="I68" s="62"/>
      <c r="J68" s="104"/>
      <c r="K68" s="104"/>
      <c r="L68" s="105"/>
      <c r="M68" s="104"/>
    </row>
    <row r="69" spans="1:13" x14ac:dyDescent="0.25">
      <c r="A69" s="104"/>
      <c r="B69" s="104"/>
      <c r="C69" s="104"/>
      <c r="D69" s="104"/>
      <c r="E69" s="104"/>
      <c r="F69" s="104"/>
      <c r="G69" s="62"/>
      <c r="H69" s="62"/>
      <c r="I69" s="62"/>
      <c r="J69" s="104"/>
      <c r="K69" s="104"/>
      <c r="L69" s="105"/>
      <c r="M69" s="104"/>
    </row>
    <row r="70" spans="1:13" x14ac:dyDescent="0.25">
      <c r="A70" s="104"/>
      <c r="B70" s="104"/>
      <c r="C70" s="104"/>
      <c r="D70" s="104"/>
      <c r="E70" s="104"/>
      <c r="F70" s="104"/>
      <c r="G70" s="62"/>
      <c r="H70" s="62"/>
      <c r="I70" s="62"/>
      <c r="J70" s="104"/>
      <c r="K70" s="104"/>
      <c r="L70" s="105"/>
      <c r="M70" s="104"/>
    </row>
    <row r="71" spans="1:13" x14ac:dyDescent="0.25">
      <c r="A71" s="104"/>
      <c r="B71" s="104"/>
      <c r="C71" s="104"/>
      <c r="D71" s="104"/>
      <c r="E71" s="104"/>
      <c r="F71" s="104"/>
      <c r="G71" s="62"/>
      <c r="H71" s="62"/>
      <c r="I71" s="62"/>
      <c r="J71" s="104"/>
      <c r="K71" s="104"/>
      <c r="L71" s="105"/>
      <c r="M71" s="104"/>
    </row>
    <row r="72" spans="1:13" x14ac:dyDescent="0.25">
      <c r="A72" s="104"/>
      <c r="B72" s="104"/>
      <c r="C72" s="104"/>
      <c r="D72" s="104"/>
      <c r="E72" s="104"/>
      <c r="F72" s="104"/>
      <c r="G72" s="62"/>
      <c r="H72" s="62"/>
      <c r="I72" s="62"/>
      <c r="J72" s="104"/>
      <c r="K72" s="104"/>
      <c r="L72" s="105"/>
      <c r="M72" s="104"/>
    </row>
    <row r="73" spans="1:13" x14ac:dyDescent="0.25">
      <c r="A73" s="104"/>
      <c r="B73" s="104"/>
      <c r="C73" s="104"/>
      <c r="D73" s="104"/>
      <c r="E73" s="104"/>
      <c r="F73" s="104"/>
      <c r="G73" s="62"/>
      <c r="H73" s="62"/>
      <c r="I73" s="62"/>
      <c r="J73" s="104"/>
      <c r="K73" s="104"/>
      <c r="L73" s="105"/>
      <c r="M73" s="104"/>
    </row>
    <row r="74" spans="1:13" x14ac:dyDescent="0.25">
      <c r="A74" s="104"/>
      <c r="B74" s="104"/>
      <c r="C74" s="104"/>
      <c r="D74" s="104"/>
      <c r="E74" s="104"/>
      <c r="F74" s="104"/>
      <c r="G74" s="62"/>
      <c r="H74" s="62"/>
      <c r="I74" s="62"/>
      <c r="J74" s="104"/>
      <c r="K74" s="104"/>
      <c r="L74" s="105"/>
      <c r="M74" s="104"/>
    </row>
    <row r="75" spans="1:13" x14ac:dyDescent="0.25">
      <c r="A75" s="104"/>
      <c r="B75" s="104"/>
      <c r="C75" s="104"/>
      <c r="D75" s="104"/>
      <c r="E75" s="104"/>
      <c r="F75" s="104"/>
      <c r="G75" s="62"/>
      <c r="H75" s="62"/>
      <c r="I75" s="62"/>
      <c r="J75" s="104"/>
      <c r="K75" s="104"/>
      <c r="L75" s="105"/>
      <c r="M75" s="104"/>
    </row>
    <row r="76" spans="1:13" x14ac:dyDescent="0.25">
      <c r="A76" s="104"/>
      <c r="B76" s="104"/>
      <c r="C76" s="104"/>
      <c r="D76" s="104"/>
      <c r="E76" s="104"/>
      <c r="F76" s="104"/>
      <c r="G76" s="62"/>
      <c r="H76" s="62"/>
      <c r="I76" s="62"/>
      <c r="J76" s="104"/>
      <c r="K76" s="104"/>
      <c r="L76" s="105"/>
      <c r="M76" s="104"/>
    </row>
    <row r="77" spans="1:13" x14ac:dyDescent="0.25">
      <c r="A77" s="104"/>
      <c r="B77" s="104"/>
      <c r="C77" s="104"/>
      <c r="D77" s="104"/>
      <c r="E77" s="104"/>
      <c r="F77" s="104"/>
      <c r="G77" s="62"/>
      <c r="H77" s="62"/>
      <c r="I77" s="62"/>
      <c r="J77" s="104"/>
      <c r="K77" s="104"/>
      <c r="L77" s="105"/>
      <c r="M77" s="104"/>
    </row>
    <row r="78" spans="1:13" x14ac:dyDescent="0.25">
      <c r="A78" s="104"/>
      <c r="B78" s="104"/>
      <c r="C78" s="104"/>
      <c r="D78" s="104"/>
      <c r="E78" s="104"/>
      <c r="F78" s="104"/>
      <c r="G78" s="62"/>
      <c r="H78" s="62"/>
      <c r="I78" s="62"/>
      <c r="J78" s="104"/>
      <c r="K78" s="104"/>
      <c r="L78" s="105"/>
      <c r="M78" s="104"/>
    </row>
    <row r="79" spans="1:13" x14ac:dyDescent="0.25">
      <c r="A79" s="104"/>
      <c r="B79" s="104"/>
      <c r="C79" s="104"/>
      <c r="D79" s="104"/>
      <c r="E79" s="104"/>
      <c r="F79" s="104"/>
      <c r="G79" s="62"/>
      <c r="H79" s="62"/>
      <c r="I79" s="62"/>
      <c r="J79" s="104"/>
      <c r="K79" s="104"/>
      <c r="L79" s="105"/>
      <c r="M79" s="104"/>
    </row>
    <row r="80" spans="1:13" x14ac:dyDescent="0.25">
      <c r="A80" s="104"/>
      <c r="B80" s="104"/>
      <c r="C80" s="104"/>
      <c r="D80" s="104"/>
      <c r="E80" s="104"/>
      <c r="F80" s="104"/>
      <c r="G80" s="62"/>
      <c r="H80" s="62"/>
      <c r="I80" s="62"/>
      <c r="J80" s="104"/>
      <c r="K80" s="104"/>
      <c r="L80" s="105"/>
      <c r="M80" s="104"/>
    </row>
    <row r="81" spans="1:13" x14ac:dyDescent="0.25">
      <c r="A81" s="104"/>
      <c r="B81" s="104"/>
      <c r="C81" s="104"/>
      <c r="D81" s="104"/>
      <c r="E81" s="104"/>
      <c r="F81" s="104"/>
      <c r="G81" s="62"/>
      <c r="H81" s="62"/>
      <c r="I81" s="62"/>
      <c r="J81" s="104"/>
      <c r="K81" s="104"/>
      <c r="L81" s="105"/>
      <c r="M81" s="104"/>
    </row>
    <row r="82" spans="1:13" x14ac:dyDescent="0.25">
      <c r="A82" s="104"/>
      <c r="B82" s="104"/>
      <c r="C82" s="104"/>
      <c r="D82" s="104"/>
      <c r="E82" s="104"/>
      <c r="F82" s="104"/>
      <c r="G82" s="62"/>
      <c r="H82" s="62"/>
      <c r="I82" s="62"/>
      <c r="J82" s="104"/>
      <c r="K82" s="104"/>
      <c r="L82" s="105"/>
      <c r="M82" s="104"/>
    </row>
    <row r="83" spans="1:13" x14ac:dyDescent="0.25">
      <c r="A83" s="104"/>
      <c r="B83" s="104"/>
      <c r="C83" s="104"/>
      <c r="D83" s="104"/>
      <c r="E83" s="104"/>
      <c r="F83" s="104"/>
      <c r="G83" s="62"/>
      <c r="H83" s="62"/>
      <c r="I83" s="62"/>
      <c r="J83" s="104"/>
      <c r="K83" s="104"/>
      <c r="L83" s="105"/>
      <c r="M83" s="104"/>
    </row>
    <row r="84" spans="1:13" x14ac:dyDescent="0.25">
      <c r="A84" s="104"/>
      <c r="B84" s="104"/>
      <c r="C84" s="104"/>
      <c r="D84" s="104"/>
      <c r="E84" s="104"/>
      <c r="F84" s="104"/>
      <c r="G84" s="62"/>
      <c r="H84" s="62"/>
      <c r="I84" s="62"/>
      <c r="J84" s="104"/>
      <c r="K84" s="104"/>
      <c r="L84" s="105"/>
      <c r="M84" s="104"/>
    </row>
    <row r="85" spans="1:13" x14ac:dyDescent="0.25">
      <c r="A85" s="104"/>
      <c r="B85" s="104"/>
      <c r="C85" s="104"/>
      <c r="D85" s="104"/>
      <c r="E85" s="104"/>
      <c r="F85" s="104"/>
      <c r="G85" s="62"/>
      <c r="H85" s="62"/>
      <c r="I85" s="62"/>
      <c r="J85" s="104"/>
      <c r="K85" s="104"/>
      <c r="L85" s="105"/>
      <c r="M85" s="104"/>
    </row>
    <row r="86" spans="1:13" x14ac:dyDescent="0.25">
      <c r="A86" s="104"/>
      <c r="B86" s="104"/>
      <c r="C86" s="104"/>
      <c r="D86" s="104"/>
      <c r="E86" s="104"/>
      <c r="F86" s="104"/>
      <c r="G86" s="62"/>
      <c r="H86" s="62"/>
      <c r="I86" s="62"/>
      <c r="J86" s="104"/>
      <c r="K86" s="104"/>
      <c r="L86" s="105"/>
      <c r="M86" s="104"/>
    </row>
    <row r="87" spans="1:13" x14ac:dyDescent="0.25">
      <c r="A87" s="104"/>
      <c r="B87" s="104"/>
      <c r="C87" s="104"/>
      <c r="D87" s="104"/>
      <c r="E87" s="104"/>
      <c r="F87" s="104"/>
      <c r="G87" s="62"/>
      <c r="H87" s="62"/>
      <c r="I87" s="62"/>
      <c r="J87" s="104"/>
      <c r="K87" s="104"/>
      <c r="L87" s="105"/>
      <c r="M87" s="104"/>
    </row>
    <row r="88" spans="1:13" x14ac:dyDescent="0.25">
      <c r="A88" s="104"/>
      <c r="B88" s="104"/>
      <c r="C88" s="104"/>
      <c r="D88" s="104"/>
      <c r="E88" s="104"/>
      <c r="F88" s="104"/>
      <c r="G88" s="62"/>
      <c r="H88" s="62"/>
      <c r="I88" s="62"/>
      <c r="J88" s="104"/>
      <c r="K88" s="104"/>
      <c r="L88" s="105"/>
      <c r="M88" s="104"/>
    </row>
    <row r="89" spans="1:13" x14ac:dyDescent="0.25">
      <c r="A89" s="104"/>
      <c r="B89" s="104"/>
      <c r="C89" s="104"/>
      <c r="D89" s="104"/>
      <c r="E89" s="104"/>
      <c r="F89" s="104"/>
      <c r="G89" s="62"/>
      <c r="H89" s="62"/>
      <c r="I89" s="62"/>
      <c r="J89" s="104"/>
      <c r="K89" s="104"/>
      <c r="L89" s="105"/>
      <c r="M89" s="104"/>
    </row>
    <row r="90" spans="1:13" x14ac:dyDescent="0.25">
      <c r="A90" s="104"/>
      <c r="B90" s="104"/>
      <c r="C90" s="104"/>
      <c r="D90" s="104"/>
      <c r="E90" s="104"/>
      <c r="F90" s="104"/>
      <c r="G90" s="62"/>
      <c r="H90" s="62"/>
      <c r="I90" s="62"/>
      <c r="J90" s="104"/>
      <c r="K90" s="104"/>
      <c r="L90" s="105"/>
      <c r="M90" s="104"/>
    </row>
    <row r="91" spans="1:13" x14ac:dyDescent="0.25">
      <c r="A91" s="104"/>
      <c r="B91" s="104"/>
      <c r="C91" s="104"/>
      <c r="D91" s="104"/>
      <c r="E91" s="104"/>
      <c r="F91" s="104"/>
      <c r="G91" s="62"/>
      <c r="H91" s="62"/>
      <c r="I91" s="62"/>
      <c r="J91" s="104"/>
      <c r="K91" s="104"/>
      <c r="L91" s="105"/>
      <c r="M91" s="104"/>
    </row>
    <row r="92" spans="1:13" x14ac:dyDescent="0.25">
      <c r="A92" s="104"/>
      <c r="B92" s="104"/>
      <c r="C92" s="104"/>
      <c r="D92" s="104"/>
      <c r="E92" s="104"/>
      <c r="F92" s="104"/>
      <c r="G92" s="62"/>
      <c r="H92" s="62"/>
      <c r="I92" s="62"/>
      <c r="J92" s="104"/>
      <c r="K92" s="104"/>
      <c r="L92" s="105"/>
      <c r="M92" s="104"/>
    </row>
    <row r="93" spans="1:13" x14ac:dyDescent="0.25">
      <c r="A93" s="104"/>
      <c r="B93" s="104"/>
      <c r="C93" s="104"/>
      <c r="D93" s="104"/>
      <c r="E93" s="104"/>
      <c r="F93" s="104"/>
      <c r="G93" s="62"/>
      <c r="H93" s="62"/>
      <c r="I93" s="62"/>
      <c r="J93" s="104"/>
      <c r="K93" s="104"/>
      <c r="L93" s="105"/>
      <c r="M93" s="104"/>
    </row>
    <row r="94" spans="1:13" x14ac:dyDescent="0.25">
      <c r="A94" s="104"/>
      <c r="B94" s="104"/>
      <c r="C94" s="104"/>
      <c r="D94" s="104"/>
      <c r="E94" s="104"/>
      <c r="F94" s="104"/>
      <c r="G94" s="62"/>
      <c r="H94" s="62"/>
      <c r="I94" s="62"/>
      <c r="J94" s="104"/>
      <c r="K94" s="104"/>
      <c r="L94" s="105"/>
      <c r="M94" s="104"/>
    </row>
    <row r="95" spans="1:13" x14ac:dyDescent="0.25">
      <c r="A95" s="104"/>
      <c r="B95" s="104"/>
      <c r="C95" s="104"/>
      <c r="D95" s="104"/>
      <c r="E95" s="104"/>
      <c r="F95" s="104"/>
      <c r="G95" s="62"/>
      <c r="H95" s="62"/>
      <c r="I95" s="62"/>
      <c r="J95" s="104"/>
      <c r="K95" s="104"/>
      <c r="L95" s="105"/>
      <c r="M95" s="104"/>
    </row>
    <row r="96" spans="1:13" x14ac:dyDescent="0.25">
      <c r="A96" s="104"/>
      <c r="B96" s="104"/>
      <c r="C96" s="104"/>
      <c r="D96" s="104"/>
      <c r="E96" s="104"/>
      <c r="F96" s="104"/>
      <c r="G96" s="62"/>
      <c r="H96" s="62"/>
      <c r="I96" s="62"/>
      <c r="J96" s="104"/>
      <c r="K96" s="104"/>
      <c r="L96" s="105"/>
      <c r="M96" s="104"/>
    </row>
    <row r="97" spans="1:13" x14ac:dyDescent="0.25">
      <c r="A97" s="104"/>
      <c r="B97" s="104"/>
      <c r="C97" s="104"/>
      <c r="D97" s="104"/>
      <c r="E97" s="104"/>
      <c r="F97" s="104"/>
      <c r="G97" s="62"/>
      <c r="H97" s="62"/>
      <c r="I97" s="62"/>
      <c r="J97" s="104"/>
      <c r="K97" s="104"/>
      <c r="L97" s="105"/>
      <c r="M97" s="104"/>
    </row>
    <row r="98" spans="1:13" x14ac:dyDescent="0.25">
      <c r="A98" s="104"/>
      <c r="B98" s="104"/>
      <c r="C98" s="104"/>
      <c r="D98" s="104"/>
      <c r="E98" s="104"/>
      <c r="F98" s="104"/>
      <c r="G98" s="62"/>
      <c r="H98" s="62"/>
      <c r="I98" s="62"/>
      <c r="J98" s="104"/>
      <c r="K98" s="104"/>
      <c r="L98" s="105"/>
      <c r="M98" s="104"/>
    </row>
    <row r="99" spans="1:13" x14ac:dyDescent="0.25">
      <c r="A99" s="104"/>
      <c r="B99" s="104"/>
      <c r="C99" s="104"/>
      <c r="D99" s="104"/>
      <c r="E99" s="104"/>
      <c r="F99" s="104"/>
      <c r="G99" s="62"/>
      <c r="H99" s="62"/>
      <c r="I99" s="62"/>
      <c r="J99" s="104"/>
      <c r="K99" s="104"/>
      <c r="L99" s="105"/>
      <c r="M99" s="104"/>
    </row>
    <row r="100" spans="1:13" x14ac:dyDescent="0.25">
      <c r="A100" s="104"/>
      <c r="B100" s="104"/>
      <c r="C100" s="104"/>
      <c r="D100" s="104"/>
      <c r="E100" s="104"/>
      <c r="F100" s="104"/>
      <c r="G100" s="62"/>
      <c r="H100" s="62"/>
      <c r="I100" s="62"/>
      <c r="J100" s="104"/>
      <c r="K100" s="104"/>
      <c r="L100" s="105"/>
      <c r="M100" s="104"/>
    </row>
    <row r="101" spans="1:13" x14ac:dyDescent="0.25">
      <c r="A101" s="104"/>
      <c r="B101" s="104"/>
      <c r="C101" s="104"/>
      <c r="D101" s="104"/>
      <c r="E101" s="104"/>
      <c r="F101" s="104"/>
      <c r="G101" s="62"/>
      <c r="H101" s="62"/>
      <c r="I101" s="62"/>
      <c r="J101" s="104"/>
      <c r="K101" s="104"/>
      <c r="L101" s="105"/>
      <c r="M101" s="104"/>
    </row>
  </sheetData>
  <conditionalFormatting sqref="G17">
    <cfRule type="duplicateValues" dxfId="181" priority="1"/>
  </conditionalFormatting>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1"/>
  <sheetViews>
    <sheetView topLeftCell="H1" workbookViewId="0">
      <pane ySplit="1" topLeftCell="A70" activePane="bottomLeft" state="frozen"/>
      <selection activeCell="C97" sqref="C97"/>
      <selection pane="bottomLeft" activeCell="G76" sqref="G76:I76"/>
    </sheetView>
  </sheetViews>
  <sheetFormatPr defaultColWidth="9.140625" defaultRowHeight="15" x14ac:dyDescent="0.25"/>
  <cols>
    <col min="1" max="1" width="18.28515625" style="126" bestFit="1" customWidth="1"/>
    <col min="2" max="2" width="32" style="126" bestFit="1" customWidth="1"/>
    <col min="3" max="3" width="31.140625" style="126" bestFit="1" customWidth="1"/>
    <col min="4" max="4" width="53.140625" bestFit="1" customWidth="1"/>
    <col min="5" max="5" width="48.42578125" style="126" bestFit="1" customWidth="1"/>
    <col min="6" max="6" width="67.140625" style="126" bestFit="1" customWidth="1"/>
    <col min="7" max="7" width="67.140625" style="126" customWidth="1"/>
    <col min="8" max="8" width="72.7109375" style="127" customWidth="1"/>
    <col min="9" max="9" width="55.5703125" style="127" bestFit="1" customWidth="1"/>
    <col min="10" max="10" width="49.42578125" style="127" bestFit="1" customWidth="1"/>
    <col min="11" max="11" width="18.28515625" style="126" bestFit="1" customWidth="1"/>
    <col min="12" max="12" width="16.28515625" style="126" bestFit="1" customWidth="1"/>
    <col min="13" max="13" width="31.85546875" style="127" bestFit="1" customWidth="1"/>
    <col min="14" max="14" width="23.85546875" style="126" bestFit="1" customWidth="1"/>
    <col min="15" max="16384" width="9.140625" style="126"/>
  </cols>
  <sheetData>
    <row r="1" spans="1:13" ht="30" x14ac:dyDescent="0.25">
      <c r="A1" s="120" t="s">
        <v>1061</v>
      </c>
      <c r="B1" s="103" t="s">
        <v>731</v>
      </c>
      <c r="C1" s="103" t="s">
        <v>732</v>
      </c>
      <c r="D1" s="103" t="s">
        <v>1542</v>
      </c>
      <c r="E1" s="103" t="s">
        <v>733</v>
      </c>
      <c r="F1" s="103" t="s">
        <v>1584</v>
      </c>
      <c r="G1" s="122" t="s">
        <v>734</v>
      </c>
      <c r="H1" s="122" t="s">
        <v>736</v>
      </c>
      <c r="I1" s="122" t="s">
        <v>735</v>
      </c>
      <c r="J1" s="103" t="s">
        <v>737</v>
      </c>
      <c r="K1" s="103" t="s">
        <v>738</v>
      </c>
      <c r="L1" s="122" t="s">
        <v>739</v>
      </c>
      <c r="M1" s="121" t="s">
        <v>837</v>
      </c>
    </row>
    <row r="2" spans="1:13" ht="60" x14ac:dyDescent="0.25">
      <c r="A2" s="104" t="s">
        <v>1144</v>
      </c>
      <c r="B2" s="104" t="s">
        <v>132</v>
      </c>
      <c r="C2" s="104" t="s">
        <v>845</v>
      </c>
      <c r="D2" s="104" t="s">
        <v>1730</v>
      </c>
      <c r="E2" s="104" t="s">
        <v>758</v>
      </c>
      <c r="F2" s="104" t="str">
        <f>CONCATENATE("&lt;",TRIM(C2),"&gt; &lt;/",TRIM(C2),"&gt;")</f>
        <v>&lt;Street&gt; &lt;/Street&gt;</v>
      </c>
      <c r="G2" s="64" t="s">
        <v>1510</v>
      </c>
      <c r="H2" s="68" t="s">
        <v>365</v>
      </c>
      <c r="I2" s="69" t="s">
        <v>1511</v>
      </c>
      <c r="J2" s="104"/>
      <c r="K2" s="104"/>
      <c r="L2" s="105"/>
      <c r="M2" s="104"/>
    </row>
    <row r="3" spans="1:13" x14ac:dyDescent="0.25">
      <c r="A3" s="118" t="s">
        <v>1032</v>
      </c>
      <c r="B3" s="104" t="s">
        <v>1041</v>
      </c>
      <c r="C3" s="104" t="s">
        <v>1043</v>
      </c>
      <c r="D3" s="104" t="s">
        <v>1704</v>
      </c>
      <c r="E3" s="104" t="s">
        <v>763</v>
      </c>
      <c r="F3" s="104" t="str">
        <f t="shared" ref="F3:F34" si="0">CONCATENATE("&lt;",TRIM(C3),"&gt; &lt;/",TRIM(C3),"&gt;")</f>
        <v>&lt;BeginDate&gt; &lt;/BeginDate&gt;</v>
      </c>
      <c r="G3" s="62" t="s">
        <v>1548</v>
      </c>
      <c r="H3" s="62" t="s">
        <v>975</v>
      </c>
      <c r="I3" s="62" t="s">
        <v>1551</v>
      </c>
      <c r="J3" s="104"/>
      <c r="K3" s="104"/>
      <c r="L3" s="105"/>
      <c r="M3" s="119"/>
    </row>
    <row r="4" spans="1:13" ht="45" x14ac:dyDescent="0.25">
      <c r="A4" s="118" t="s">
        <v>1144</v>
      </c>
      <c r="B4" s="104" t="s">
        <v>811</v>
      </c>
      <c r="C4" s="104" t="s">
        <v>833</v>
      </c>
      <c r="D4" s="104" t="s">
        <v>1727</v>
      </c>
      <c r="E4" s="104" t="s">
        <v>834</v>
      </c>
      <c r="F4" s="104" t="str">
        <f t="shared" si="0"/>
        <v>&lt;OwnerType&gt; &lt;/OwnerType&gt;</v>
      </c>
      <c r="G4" s="64" t="s">
        <v>1506</v>
      </c>
      <c r="H4" s="62" t="s">
        <v>155</v>
      </c>
      <c r="I4" s="64" t="s">
        <v>1507</v>
      </c>
      <c r="J4" s="104"/>
      <c r="K4" s="104"/>
      <c r="L4" s="105"/>
      <c r="M4" s="119"/>
    </row>
    <row r="5" spans="1:13" x14ac:dyDescent="0.25">
      <c r="A5" s="118" t="s">
        <v>1077</v>
      </c>
      <c r="B5" s="104" t="s">
        <v>592</v>
      </c>
      <c r="C5" s="104" t="s">
        <v>1334</v>
      </c>
      <c r="D5" s="104" t="s">
        <v>1664</v>
      </c>
      <c r="E5" s="104" t="s">
        <v>758</v>
      </c>
      <c r="F5" s="104" t="str">
        <f t="shared" si="0"/>
        <v>&lt;PaymentMode&gt; &lt;/PaymentMode&gt;</v>
      </c>
      <c r="G5" s="62" t="s">
        <v>1376</v>
      </c>
      <c r="H5" s="62" t="s">
        <v>1377</v>
      </c>
      <c r="I5" s="62" t="s">
        <v>1378</v>
      </c>
      <c r="J5" s="104"/>
      <c r="K5" s="104"/>
      <c r="L5" s="105"/>
      <c r="M5" s="119"/>
    </row>
    <row r="6" spans="1:13" ht="60" x14ac:dyDescent="0.25">
      <c r="A6" s="118" t="s">
        <v>1077</v>
      </c>
      <c r="B6" s="104" t="s">
        <v>1073</v>
      </c>
      <c r="C6" s="104" t="s">
        <v>1074</v>
      </c>
      <c r="D6" s="104" t="s">
        <v>1757</v>
      </c>
      <c r="E6" s="104" t="s">
        <v>1075</v>
      </c>
      <c r="F6" s="104" t="str">
        <f t="shared" si="0"/>
        <v>&lt;PlateTypes&gt; &lt;/PlateTypes&gt;</v>
      </c>
      <c r="G6" s="64" t="s">
        <v>2265</v>
      </c>
      <c r="H6" s="64" t="s">
        <v>1445</v>
      </c>
      <c r="I6" s="64" t="s">
        <v>1446</v>
      </c>
      <c r="J6" s="104"/>
      <c r="K6" s="104"/>
      <c r="L6" s="105" t="s">
        <v>1080</v>
      </c>
      <c r="M6" s="119"/>
    </row>
    <row r="7" spans="1:13" ht="75" x14ac:dyDescent="0.25">
      <c r="A7" s="118" t="s">
        <v>1077</v>
      </c>
      <c r="B7" s="104" t="s">
        <v>1076</v>
      </c>
      <c r="C7" s="104" t="s">
        <v>1078</v>
      </c>
      <c r="D7" s="104"/>
      <c r="E7" s="104" t="s">
        <v>1079</v>
      </c>
      <c r="F7" s="104" t="str">
        <f t="shared" si="0"/>
        <v>&lt;PlateTypeFees&gt; &lt;/PlateTypeFees&gt;</v>
      </c>
      <c r="G7" s="64"/>
      <c r="H7" s="64"/>
      <c r="I7" s="64"/>
      <c r="J7" s="104"/>
      <c r="K7" s="104"/>
      <c r="L7" s="105" t="s">
        <v>1081</v>
      </c>
      <c r="M7" s="119"/>
    </row>
    <row r="8" spans="1:13" x14ac:dyDescent="0.25">
      <c r="A8" s="118" t="s">
        <v>1077</v>
      </c>
      <c r="B8" s="104" t="s">
        <v>1072</v>
      </c>
      <c r="C8" s="104" t="s">
        <v>1089</v>
      </c>
      <c r="D8" s="104" t="s">
        <v>1665</v>
      </c>
      <c r="E8" s="104" t="s">
        <v>868</v>
      </c>
      <c r="F8" s="104" t="str">
        <f t="shared" si="0"/>
        <v>&lt;Total&gt; &lt;/Total&gt;</v>
      </c>
      <c r="G8" s="42" t="s">
        <v>1372</v>
      </c>
      <c r="H8" s="62" t="s">
        <v>358</v>
      </c>
      <c r="I8" s="62" t="s">
        <v>276</v>
      </c>
      <c r="J8" s="104"/>
      <c r="K8" s="104"/>
      <c r="L8" s="105"/>
      <c r="M8" s="119"/>
    </row>
    <row r="9" spans="1:13" x14ac:dyDescent="0.25">
      <c r="A9" s="118" t="s">
        <v>1077</v>
      </c>
      <c r="B9" s="104" t="s">
        <v>1082</v>
      </c>
      <c r="C9" s="104" t="s">
        <v>1090</v>
      </c>
      <c r="D9" s="104" t="s">
        <v>1666</v>
      </c>
      <c r="E9" s="104" t="s">
        <v>868</v>
      </c>
      <c r="F9" s="104" t="str">
        <f t="shared" si="0"/>
        <v>&lt;TotalReceipts&gt; &lt;/TotalReceipts&gt;</v>
      </c>
      <c r="G9" s="64"/>
      <c r="H9" s="64"/>
      <c r="I9" s="64"/>
      <c r="J9" s="104"/>
      <c r="K9" s="104"/>
      <c r="L9" s="105"/>
      <c r="M9" s="119"/>
    </row>
    <row r="10" spans="1:13" x14ac:dyDescent="0.25">
      <c r="A10" s="118" t="s">
        <v>1139</v>
      </c>
      <c r="B10" s="104" t="s">
        <v>524</v>
      </c>
      <c r="C10" s="104" t="s">
        <v>717</v>
      </c>
      <c r="D10" s="104" t="s">
        <v>1662</v>
      </c>
      <c r="E10" s="104" t="s">
        <v>763</v>
      </c>
      <c r="F10" s="104" t="str">
        <f t="shared" si="0"/>
        <v>&lt;Date&gt; &lt;/Date&gt;</v>
      </c>
      <c r="G10" s="62" t="s">
        <v>2371</v>
      </c>
      <c r="H10" s="62" t="s">
        <v>2372</v>
      </c>
      <c r="I10" s="62" t="s">
        <v>2259</v>
      </c>
      <c r="J10" s="104"/>
      <c r="K10" s="104" t="s">
        <v>821</v>
      </c>
      <c r="L10" s="105"/>
      <c r="M10" s="119"/>
    </row>
    <row r="11" spans="1:13" x14ac:dyDescent="0.25">
      <c r="A11" s="118" t="s">
        <v>1077</v>
      </c>
      <c r="B11" s="104" t="s">
        <v>1084</v>
      </c>
      <c r="C11" s="104" t="s">
        <v>1092</v>
      </c>
      <c r="D11" s="104" t="s">
        <v>1668</v>
      </c>
      <c r="E11" s="104" t="s">
        <v>868</v>
      </c>
      <c r="F11" s="104" t="str">
        <f t="shared" si="0"/>
        <v>&lt;AdjOverride&gt; &lt;/AdjOverride&gt;</v>
      </c>
      <c r="G11" s="62" t="s">
        <v>2373</v>
      </c>
      <c r="H11" s="62" t="s">
        <v>2374</v>
      </c>
      <c r="I11" s="62" t="s">
        <v>2375</v>
      </c>
      <c r="J11" s="104"/>
      <c r="K11" s="104"/>
      <c r="L11" s="105"/>
      <c r="M11" s="119"/>
    </row>
    <row r="12" spans="1:13" x14ac:dyDescent="0.25">
      <c r="A12" s="118" t="s">
        <v>1077</v>
      </c>
      <c r="B12" s="104" t="s">
        <v>1085</v>
      </c>
      <c r="C12" s="104" t="s">
        <v>1137</v>
      </c>
      <c r="D12" s="104" t="s">
        <v>1669</v>
      </c>
      <c r="E12" s="104" t="s">
        <v>764</v>
      </c>
      <c r="F12" s="104" t="str">
        <f t="shared" si="0"/>
        <v>&lt;PivNumber&gt; &lt;/PivNumber&gt;</v>
      </c>
      <c r="G12" s="62" t="s">
        <v>2376</v>
      </c>
      <c r="H12" s="62" t="s">
        <v>2377</v>
      </c>
      <c r="I12" s="62" t="s">
        <v>2378</v>
      </c>
      <c r="J12" s="104"/>
      <c r="K12" s="104"/>
      <c r="L12" s="105"/>
      <c r="M12" s="119"/>
    </row>
    <row r="13" spans="1:13" x14ac:dyDescent="0.25">
      <c r="A13" s="118" t="s">
        <v>1077</v>
      </c>
      <c r="B13" s="104" t="s">
        <v>1086</v>
      </c>
      <c r="C13" s="104" t="s">
        <v>1138</v>
      </c>
      <c r="D13" s="104" t="s">
        <v>1670</v>
      </c>
      <c r="E13" s="104" t="s">
        <v>764</v>
      </c>
      <c r="F13" s="104" t="str">
        <f t="shared" si="0"/>
        <v>&lt;JVNumber&gt; &lt;/JVNumber&gt;</v>
      </c>
      <c r="G13" s="62" t="s">
        <v>2379</v>
      </c>
      <c r="H13" s="62" t="s">
        <v>2380</v>
      </c>
      <c r="I13" s="62" t="s">
        <v>2381</v>
      </c>
      <c r="J13" s="104"/>
      <c r="K13" s="104"/>
      <c r="L13" s="105"/>
      <c r="M13" s="119"/>
    </row>
    <row r="14" spans="1:13" x14ac:dyDescent="0.25">
      <c r="A14" s="118" t="s">
        <v>1077</v>
      </c>
      <c r="B14" s="104" t="s">
        <v>1087</v>
      </c>
      <c r="C14" s="104" t="s">
        <v>870</v>
      </c>
      <c r="D14" s="104" t="s">
        <v>1671</v>
      </c>
      <c r="E14" s="104" t="s">
        <v>868</v>
      </c>
      <c r="F14" s="104" t="str">
        <f t="shared" si="0"/>
        <v>&lt;Remit&gt; &lt;/Remit&gt;</v>
      </c>
      <c r="G14" s="62"/>
      <c r="H14" s="62"/>
      <c r="I14" s="62"/>
      <c r="J14" s="104"/>
      <c r="K14" s="104"/>
      <c r="L14" s="105"/>
      <c r="M14" s="119"/>
    </row>
    <row r="15" spans="1:13" x14ac:dyDescent="0.25">
      <c r="A15" s="118" t="s">
        <v>1077</v>
      </c>
      <c r="B15" s="104" t="s">
        <v>1088</v>
      </c>
      <c r="C15" s="104" t="s">
        <v>1093</v>
      </c>
      <c r="D15" s="104" t="s">
        <v>1672</v>
      </c>
      <c r="E15" s="104" t="s">
        <v>764</v>
      </c>
      <c r="F15" s="104" t="str">
        <f t="shared" si="0"/>
        <v>&lt;ListingNum&gt; &lt;/ListingNum&gt;</v>
      </c>
      <c r="G15" s="62" t="s">
        <v>2382</v>
      </c>
      <c r="H15" s="62" t="s">
        <v>2383</v>
      </c>
      <c r="I15" s="62" t="s">
        <v>2384</v>
      </c>
      <c r="J15" s="104"/>
      <c r="K15" s="104"/>
      <c r="L15" s="105"/>
      <c r="M15" s="119"/>
    </row>
    <row r="16" spans="1:13" ht="120" x14ac:dyDescent="0.25">
      <c r="A16" s="118" t="s">
        <v>1047</v>
      </c>
      <c r="B16" s="104" t="s">
        <v>1017</v>
      </c>
      <c r="C16" s="104" t="s">
        <v>1020</v>
      </c>
      <c r="D16" s="104" t="s">
        <v>1673</v>
      </c>
      <c r="E16" s="104" t="s">
        <v>758</v>
      </c>
      <c r="F16" s="104" t="str">
        <f t="shared" si="0"/>
        <v>&lt;Name&gt; &lt;/Name&gt;</v>
      </c>
      <c r="G16" s="76" t="s">
        <v>1477</v>
      </c>
      <c r="H16" s="64" t="s">
        <v>966</v>
      </c>
      <c r="I16" s="66" t="s">
        <v>967</v>
      </c>
      <c r="J16" s="104"/>
      <c r="K16" s="104"/>
      <c r="L16" s="105"/>
      <c r="M16" s="119"/>
    </row>
    <row r="17" spans="1:13" x14ac:dyDescent="0.25">
      <c r="A17" s="118" t="s">
        <v>1047</v>
      </c>
      <c r="B17" s="104" t="s">
        <v>1016</v>
      </c>
      <c r="C17" s="104" t="s">
        <v>1021</v>
      </c>
      <c r="D17" s="104"/>
      <c r="E17" s="104" t="s">
        <v>758</v>
      </c>
      <c r="F17" s="104" t="str">
        <f t="shared" si="0"/>
        <v>&lt;Action&gt; &lt;/Action&gt;</v>
      </c>
      <c r="G17" s="69" t="s">
        <v>1885</v>
      </c>
      <c r="H17" s="64" t="s">
        <v>1886</v>
      </c>
      <c r="I17" s="64" t="s">
        <v>1887</v>
      </c>
      <c r="J17" s="104"/>
      <c r="K17" s="104"/>
      <c r="L17" s="105"/>
      <c r="M17" s="119"/>
    </row>
    <row r="18" spans="1:13" x14ac:dyDescent="0.25">
      <c r="A18" s="118" t="s">
        <v>1047</v>
      </c>
      <c r="B18" s="104" t="s">
        <v>1018</v>
      </c>
      <c r="C18" s="104" t="s">
        <v>1022</v>
      </c>
      <c r="D18" s="104" t="s">
        <v>1674</v>
      </c>
      <c r="E18" s="104" t="s">
        <v>758</v>
      </c>
      <c r="F18" s="104" t="str">
        <f t="shared" si="0"/>
        <v>&lt;LADriversLicenseOrIDCard&gt; &lt;/LADriversLicenseOrIDCard&gt;</v>
      </c>
      <c r="G18" s="64" t="s">
        <v>957</v>
      </c>
      <c r="H18" s="64" t="s">
        <v>370</v>
      </c>
      <c r="I18" s="64" t="s">
        <v>959</v>
      </c>
      <c r="J18" s="104"/>
      <c r="K18" s="104"/>
      <c r="L18" s="105"/>
      <c r="M18" s="119"/>
    </row>
    <row r="19" spans="1:13" x14ac:dyDescent="0.25">
      <c r="A19" s="118" t="s">
        <v>1047</v>
      </c>
      <c r="B19" s="104" t="s">
        <v>1019</v>
      </c>
      <c r="C19" s="104" t="s">
        <v>1023</v>
      </c>
      <c r="D19" s="104"/>
      <c r="E19" s="104" t="s">
        <v>758</v>
      </c>
      <c r="F19" s="104" t="str">
        <f t="shared" si="0"/>
        <v>&lt;TAXIdOrOOSDRLicense&gt; &lt;/TAXIdOrOOSDRLicense&gt;</v>
      </c>
      <c r="G19" s="62" t="s">
        <v>963</v>
      </c>
      <c r="H19" s="62" t="s">
        <v>964</v>
      </c>
      <c r="I19" s="62" t="s">
        <v>965</v>
      </c>
      <c r="J19" s="104"/>
      <c r="K19" s="104"/>
      <c r="L19" s="105"/>
      <c r="M19" s="119"/>
    </row>
    <row r="20" spans="1:13" ht="315" x14ac:dyDescent="0.25">
      <c r="A20" s="118" t="s">
        <v>1144</v>
      </c>
      <c r="B20" s="104" t="s">
        <v>812</v>
      </c>
      <c r="C20" s="104" t="s">
        <v>843</v>
      </c>
      <c r="D20" s="104" t="s">
        <v>1728</v>
      </c>
      <c r="E20" s="104" t="s">
        <v>758</v>
      </c>
      <c r="F20" s="104" t="str">
        <f t="shared" si="0"/>
        <v>&lt;OwnerName&gt; &lt;/OwnerName&gt;</v>
      </c>
      <c r="G20" s="76" t="s">
        <v>1508</v>
      </c>
      <c r="H20" s="64" t="s">
        <v>966</v>
      </c>
      <c r="I20" s="66" t="s">
        <v>1509</v>
      </c>
      <c r="J20" s="104"/>
      <c r="K20" s="104"/>
      <c r="L20" s="105"/>
      <c r="M20" s="119"/>
    </row>
    <row r="21" spans="1:13" x14ac:dyDescent="0.25">
      <c r="A21" s="118" t="s">
        <v>1144</v>
      </c>
      <c r="B21" s="104" t="s">
        <v>130</v>
      </c>
      <c r="C21" s="104" t="s">
        <v>883</v>
      </c>
      <c r="D21" s="104" t="s">
        <v>1780</v>
      </c>
      <c r="E21" s="104" t="s">
        <v>758</v>
      </c>
      <c r="F21" s="104" t="str">
        <f t="shared" si="0"/>
        <v>&lt;OwnerStatus&gt; &lt;/OwnerStatus&gt;</v>
      </c>
      <c r="G21" s="64" t="s">
        <v>2252</v>
      </c>
      <c r="H21" s="64" t="s">
        <v>300</v>
      </c>
      <c r="I21" s="64" t="s">
        <v>328</v>
      </c>
      <c r="J21" s="104"/>
      <c r="K21" s="104"/>
      <c r="L21" s="105"/>
      <c r="M21" s="119"/>
    </row>
    <row r="22" spans="1:13" ht="144.75" customHeight="1" x14ac:dyDescent="0.25">
      <c r="A22" s="118" t="s">
        <v>1336</v>
      </c>
      <c r="B22" s="105" t="s">
        <v>1159</v>
      </c>
      <c r="C22" s="104" t="s">
        <v>845</v>
      </c>
      <c r="D22" s="104" t="s">
        <v>1679</v>
      </c>
      <c r="E22" s="104" t="s">
        <v>758</v>
      </c>
      <c r="F22" s="104" t="str">
        <f t="shared" si="0"/>
        <v>&lt;Street&gt; &lt;/Street&gt;</v>
      </c>
      <c r="G22" s="64" t="s">
        <v>450</v>
      </c>
      <c r="H22" s="64" t="s">
        <v>365</v>
      </c>
      <c r="I22" s="64" t="s">
        <v>239</v>
      </c>
      <c r="J22" s="104"/>
      <c r="K22" s="104"/>
      <c r="L22" s="105"/>
      <c r="M22" s="119"/>
    </row>
    <row r="23" spans="1:13" x14ac:dyDescent="0.25">
      <c r="A23" s="118" t="s">
        <v>1144</v>
      </c>
      <c r="B23" s="104" t="s">
        <v>656</v>
      </c>
      <c r="C23" s="104" t="s">
        <v>851</v>
      </c>
      <c r="D23" s="104" t="s">
        <v>1734</v>
      </c>
      <c r="E23" s="104" t="s">
        <v>868</v>
      </c>
      <c r="F23" s="104" t="str">
        <f t="shared" si="0"/>
        <v>&lt;LienAmount&gt; &lt;/LienAmount&gt;</v>
      </c>
      <c r="G23" s="64" t="s">
        <v>973</v>
      </c>
      <c r="H23" s="64" t="s">
        <v>971</v>
      </c>
      <c r="I23" s="64" t="s">
        <v>972</v>
      </c>
      <c r="J23" s="104"/>
      <c r="K23" s="104"/>
      <c r="L23" s="105"/>
      <c r="M23" s="119"/>
    </row>
    <row r="24" spans="1:13" x14ac:dyDescent="0.25">
      <c r="A24" s="118" t="s">
        <v>1144</v>
      </c>
      <c r="B24" s="104" t="s">
        <v>742</v>
      </c>
      <c r="C24" s="104" t="s">
        <v>1575</v>
      </c>
      <c r="D24" s="104" t="s">
        <v>1721</v>
      </c>
      <c r="E24" s="104" t="s">
        <v>1585</v>
      </c>
      <c r="F24" s="104" t="str">
        <f t="shared" si="0"/>
        <v>&lt;BatchNumber&gt; &lt;/BatchNumber&gt;</v>
      </c>
      <c r="G24" s="62" t="s">
        <v>1342</v>
      </c>
      <c r="H24" s="62" t="s">
        <v>1343</v>
      </c>
      <c r="I24" s="62" t="s">
        <v>1344</v>
      </c>
      <c r="J24" s="104"/>
      <c r="K24" s="104"/>
      <c r="L24" s="105"/>
      <c r="M24" s="119"/>
    </row>
    <row r="25" spans="1:13" x14ac:dyDescent="0.25">
      <c r="A25" s="118" t="s">
        <v>1336</v>
      </c>
      <c r="B25" s="104" t="s">
        <v>114</v>
      </c>
      <c r="C25" s="104" t="s">
        <v>20</v>
      </c>
      <c r="D25" s="104" t="s">
        <v>1687</v>
      </c>
      <c r="E25" s="104" t="s">
        <v>758</v>
      </c>
      <c r="F25" s="104" t="str">
        <f t="shared" si="0"/>
        <v>&lt;Body&gt; &lt;/Body&gt;</v>
      </c>
      <c r="G25" s="64" t="s">
        <v>405</v>
      </c>
      <c r="H25" s="64" t="s">
        <v>340</v>
      </c>
      <c r="I25" s="64" t="s">
        <v>230</v>
      </c>
      <c r="J25" s="104"/>
      <c r="K25" s="104"/>
      <c r="L25" s="105"/>
      <c r="M25" s="119"/>
    </row>
    <row r="26" spans="1:13" x14ac:dyDescent="0.25">
      <c r="A26" s="118" t="s">
        <v>1144</v>
      </c>
      <c r="B26" s="104" t="s">
        <v>106</v>
      </c>
      <c r="C26" s="104" t="s">
        <v>872</v>
      </c>
      <c r="D26" s="104" t="s">
        <v>1751</v>
      </c>
      <c r="E26" s="104" t="s">
        <v>758</v>
      </c>
      <c r="F26" s="104" t="str">
        <f t="shared" si="0"/>
        <v>&lt;ClassCode&gt; &lt;/ClassCode&gt;</v>
      </c>
      <c r="G26" s="64" t="s">
        <v>982</v>
      </c>
      <c r="H26" s="64" t="s">
        <v>983</v>
      </c>
      <c r="I26" s="64" t="s">
        <v>984</v>
      </c>
      <c r="J26" s="104"/>
      <c r="K26" s="104"/>
      <c r="L26" s="105"/>
      <c r="M26" s="119"/>
    </row>
    <row r="27" spans="1:13" x14ac:dyDescent="0.25">
      <c r="A27" s="118" t="s">
        <v>1336</v>
      </c>
      <c r="B27" s="104" t="s">
        <v>803</v>
      </c>
      <c r="C27" s="104" t="s">
        <v>822</v>
      </c>
      <c r="D27" s="104" t="s">
        <v>1689</v>
      </c>
      <c r="E27" s="104" t="s">
        <v>758</v>
      </c>
      <c r="F27" s="104" t="str">
        <f t="shared" si="0"/>
        <v>&lt;PrimaryColor&gt; &lt;/PrimaryColor&gt;</v>
      </c>
      <c r="G27" s="64" t="s">
        <v>406</v>
      </c>
      <c r="H27" s="64" t="s">
        <v>385</v>
      </c>
      <c r="I27" s="64" t="s">
        <v>231</v>
      </c>
      <c r="J27" s="104"/>
      <c r="K27" s="104"/>
      <c r="L27" s="105"/>
      <c r="M27" s="119"/>
    </row>
    <row r="28" spans="1:13" ht="16.5" customHeight="1" x14ac:dyDescent="0.25">
      <c r="A28" s="118" t="s">
        <v>1336</v>
      </c>
      <c r="B28" s="104" t="s">
        <v>804</v>
      </c>
      <c r="C28" s="104" t="s">
        <v>823</v>
      </c>
      <c r="D28" s="104" t="s">
        <v>1690</v>
      </c>
      <c r="E28" s="104" t="s">
        <v>758</v>
      </c>
      <c r="F28" s="104" t="str">
        <f t="shared" si="0"/>
        <v>&lt;SecondaryColor&gt; &lt;/SecondaryColor&gt;</v>
      </c>
      <c r="G28" s="64" t="s">
        <v>407</v>
      </c>
      <c r="H28" s="64" t="s">
        <v>390</v>
      </c>
      <c r="I28" s="64" t="s">
        <v>389</v>
      </c>
      <c r="J28" s="104"/>
      <c r="K28" s="104"/>
      <c r="L28" s="105"/>
      <c r="M28" s="119"/>
    </row>
    <row r="29" spans="1:13" x14ac:dyDescent="0.25">
      <c r="A29" s="118" t="s">
        <v>1144</v>
      </c>
      <c r="B29" s="104" t="s">
        <v>1136</v>
      </c>
      <c r="C29" s="104" t="s">
        <v>1581</v>
      </c>
      <c r="D29" s="104" t="s">
        <v>1781</v>
      </c>
      <c r="E29" s="104" t="s">
        <v>758</v>
      </c>
      <c r="F29" s="104" t="str">
        <f t="shared" si="0"/>
        <v>&lt;ComOca&gt; &lt;/ComOca&gt;</v>
      </c>
      <c r="G29" s="62" t="s">
        <v>1428</v>
      </c>
      <c r="H29" s="62" t="s">
        <v>1426</v>
      </c>
      <c r="I29" s="62" t="s">
        <v>1424</v>
      </c>
      <c r="J29" s="104"/>
      <c r="K29" s="104"/>
      <c r="L29" s="105"/>
      <c r="M29" s="119"/>
    </row>
    <row r="30" spans="1:13" x14ac:dyDescent="0.25">
      <c r="A30" s="118" t="s">
        <v>1144</v>
      </c>
      <c r="B30" s="104" t="s">
        <v>1135</v>
      </c>
      <c r="C30" s="104" t="s">
        <v>1582</v>
      </c>
      <c r="D30" s="104" t="s">
        <v>1782</v>
      </c>
      <c r="E30" s="104" t="s">
        <v>758</v>
      </c>
      <c r="F30" s="104" t="str">
        <f t="shared" si="0"/>
        <v>&lt;ComOri&gt; &lt;/ComOri&gt;</v>
      </c>
      <c r="G30" s="62" t="s">
        <v>1427</v>
      </c>
      <c r="H30" s="62" t="s">
        <v>1425</v>
      </c>
      <c r="I30" s="62" t="s">
        <v>1423</v>
      </c>
      <c r="J30" s="104"/>
      <c r="K30" s="104"/>
      <c r="L30" s="105"/>
      <c r="M30" s="119"/>
    </row>
    <row r="31" spans="1:13" ht="29.25" customHeight="1" x14ac:dyDescent="0.25">
      <c r="A31" s="118" t="s">
        <v>1144</v>
      </c>
      <c r="B31" s="104" t="s">
        <v>903</v>
      </c>
      <c r="C31" s="104" t="s">
        <v>1583</v>
      </c>
      <c r="D31" s="104" t="s">
        <v>1783</v>
      </c>
      <c r="E31" s="104" t="s">
        <v>758</v>
      </c>
      <c r="F31" s="104" t="str">
        <f t="shared" si="0"/>
        <v>&lt;Comments&gt; &lt;/Comments&gt;</v>
      </c>
      <c r="G31" s="64" t="s">
        <v>2348</v>
      </c>
      <c r="H31" s="64" t="s">
        <v>2385</v>
      </c>
      <c r="I31" s="64" t="s">
        <v>2349</v>
      </c>
      <c r="J31" s="104"/>
      <c r="K31" s="104"/>
      <c r="L31" s="105"/>
      <c r="M31" s="119"/>
    </row>
    <row r="32" spans="1:13" x14ac:dyDescent="0.25">
      <c r="A32" s="118" t="s">
        <v>1336</v>
      </c>
      <c r="B32" s="104" t="s">
        <v>890</v>
      </c>
      <c r="C32" s="104" t="s">
        <v>40</v>
      </c>
      <c r="D32" s="104" t="s">
        <v>1680</v>
      </c>
      <c r="E32" s="104" t="s">
        <v>758</v>
      </c>
      <c r="F32" s="104" t="str">
        <f t="shared" si="0"/>
        <v>&lt;City&gt; &lt;/City&gt;</v>
      </c>
      <c r="G32" s="64" t="s">
        <v>452</v>
      </c>
      <c r="H32" s="64" t="s">
        <v>367</v>
      </c>
      <c r="I32" s="64" t="s">
        <v>241</v>
      </c>
      <c r="J32" s="104"/>
      <c r="K32" s="104"/>
      <c r="L32" s="105"/>
      <c r="M32" s="119"/>
    </row>
    <row r="33" spans="1:13" x14ac:dyDescent="0.25">
      <c r="A33" s="118" t="s">
        <v>1336</v>
      </c>
      <c r="B33" s="104" t="s">
        <v>891</v>
      </c>
      <c r="C33" s="104" t="s">
        <v>41</v>
      </c>
      <c r="D33" s="104" t="s">
        <v>1681</v>
      </c>
      <c r="E33" s="104" t="s">
        <v>758</v>
      </c>
      <c r="F33" s="104" t="str">
        <f t="shared" si="0"/>
        <v>&lt;State&gt; &lt;/State&gt;</v>
      </c>
      <c r="G33" s="64" t="s">
        <v>453</v>
      </c>
      <c r="H33" s="64" t="s">
        <v>368</v>
      </c>
      <c r="I33" s="64" t="s">
        <v>242</v>
      </c>
      <c r="J33" s="104"/>
      <c r="K33" s="104"/>
      <c r="L33" s="105"/>
      <c r="M33" s="119"/>
    </row>
    <row r="34" spans="1:13" x14ac:dyDescent="0.25">
      <c r="A34" s="118" t="s">
        <v>1144</v>
      </c>
      <c r="B34" s="104" t="s">
        <v>1128</v>
      </c>
      <c r="C34" s="104" t="s">
        <v>1130</v>
      </c>
      <c r="D34" s="104" t="s">
        <v>1778</v>
      </c>
      <c r="E34" s="104" t="s">
        <v>764</v>
      </c>
      <c r="F34" s="104" t="str">
        <f t="shared" si="0"/>
        <v>&lt;CustomerNumber1&gt; &lt;/CustomerNumber1&gt;</v>
      </c>
      <c r="G34" s="64" t="s">
        <v>1888</v>
      </c>
      <c r="H34" s="64" t="s">
        <v>1889</v>
      </c>
      <c r="I34" s="64" t="s">
        <v>1890</v>
      </c>
      <c r="J34" s="104"/>
      <c r="K34" s="104"/>
      <c r="L34" s="105"/>
      <c r="M34" s="119"/>
    </row>
    <row r="35" spans="1:13" ht="15" customHeight="1" x14ac:dyDescent="0.25">
      <c r="A35" s="118" t="s">
        <v>1144</v>
      </c>
      <c r="B35" s="104" t="s">
        <v>1129</v>
      </c>
      <c r="C35" s="104" t="s">
        <v>1131</v>
      </c>
      <c r="D35" s="104" t="s">
        <v>1779</v>
      </c>
      <c r="E35" s="104" t="s">
        <v>764</v>
      </c>
      <c r="F35" s="104" t="str">
        <f t="shared" ref="F35:F66" si="1">CONCATENATE("&lt;",TRIM(C35),"&gt; &lt;/",TRIM(C35),"&gt;")</f>
        <v>&lt;CustomerNumber2&gt; &lt;/CustomerNumber2&gt;</v>
      </c>
      <c r="G35" s="64" t="s">
        <v>1891</v>
      </c>
      <c r="H35" s="64" t="s">
        <v>1889</v>
      </c>
      <c r="I35" s="64" t="s">
        <v>1892</v>
      </c>
      <c r="J35" s="104"/>
      <c r="K35" s="104"/>
      <c r="L35" s="105"/>
      <c r="M35" s="119"/>
    </row>
    <row r="36" spans="1:13" x14ac:dyDescent="0.25">
      <c r="A36" s="118" t="s">
        <v>1144</v>
      </c>
      <c r="B36" s="104" t="s">
        <v>135</v>
      </c>
      <c r="C36" s="104" t="s">
        <v>860</v>
      </c>
      <c r="D36" s="104" t="s">
        <v>1742</v>
      </c>
      <c r="E36" s="104" t="s">
        <v>763</v>
      </c>
      <c r="F36" s="104" t="str">
        <f t="shared" si="1"/>
        <v>&lt;DateAcquired&gt; &lt;/DateAcquired&gt;</v>
      </c>
      <c r="G36" s="64" t="s">
        <v>486</v>
      </c>
      <c r="H36" s="71" t="s">
        <v>349</v>
      </c>
      <c r="I36" s="64" t="s">
        <v>254</v>
      </c>
      <c r="J36" s="104"/>
      <c r="K36" s="104"/>
      <c r="L36" s="105"/>
      <c r="M36" s="119"/>
    </row>
    <row r="37" spans="1:13" x14ac:dyDescent="0.25">
      <c r="A37" s="118" t="s">
        <v>1124</v>
      </c>
      <c r="B37" s="104" t="s">
        <v>1054</v>
      </c>
      <c r="C37" s="104" t="s">
        <v>1055</v>
      </c>
      <c r="D37" s="104" t="s">
        <v>1707</v>
      </c>
      <c r="E37" s="104" t="s">
        <v>763</v>
      </c>
      <c r="F37" s="104" t="str">
        <f t="shared" si="1"/>
        <v>&lt;DateOfBirth&gt; &lt;/DateOfBirth&gt;</v>
      </c>
      <c r="G37" s="64" t="s">
        <v>1202</v>
      </c>
      <c r="H37" s="64" t="s">
        <v>1203</v>
      </c>
      <c r="I37" s="64" t="s">
        <v>1204</v>
      </c>
      <c r="J37" s="104"/>
      <c r="K37" s="104"/>
      <c r="L37" s="105"/>
      <c r="M37" s="119"/>
    </row>
    <row r="38" spans="1:13" x14ac:dyDescent="0.25">
      <c r="A38" s="118" t="s">
        <v>1047</v>
      </c>
      <c r="B38" s="104" t="s">
        <v>1024</v>
      </c>
      <c r="C38" s="104" t="s">
        <v>885</v>
      </c>
      <c r="D38" s="104" t="s">
        <v>1693</v>
      </c>
      <c r="E38" s="104" t="s">
        <v>763</v>
      </c>
      <c r="F38" s="104" t="str">
        <f t="shared" si="1"/>
        <v>&lt;RegExpDate&gt; &lt;/RegExpDate&gt;</v>
      </c>
      <c r="G38" s="64" t="s">
        <v>443</v>
      </c>
      <c r="H38" s="64" t="s">
        <v>347</v>
      </c>
      <c r="I38" s="64" t="s">
        <v>237</v>
      </c>
      <c r="J38" s="104"/>
      <c r="K38" s="104"/>
      <c r="L38" s="105"/>
      <c r="M38" s="119"/>
    </row>
    <row r="39" spans="1:13" x14ac:dyDescent="0.25">
      <c r="A39" s="118" t="s">
        <v>1144</v>
      </c>
      <c r="B39" s="104" t="s">
        <v>726</v>
      </c>
      <c r="C39" s="104" t="s">
        <v>759</v>
      </c>
      <c r="D39" s="104" t="s">
        <v>1719</v>
      </c>
      <c r="E39" s="104" t="s">
        <v>763</v>
      </c>
      <c r="F39" s="104" t="str">
        <f t="shared" si="1"/>
        <v>&lt;Date1&gt; &lt;/Date1&gt;</v>
      </c>
      <c r="G39" s="62" t="s">
        <v>2251</v>
      </c>
      <c r="H39" s="62" t="s">
        <v>2120</v>
      </c>
      <c r="I39" s="62" t="s">
        <v>2121</v>
      </c>
      <c r="J39" s="104"/>
      <c r="K39" s="104"/>
      <c r="L39" s="105"/>
      <c r="M39" s="119"/>
    </row>
    <row r="40" spans="1:13" x14ac:dyDescent="0.25">
      <c r="A40" s="118" t="s">
        <v>1145</v>
      </c>
      <c r="B40" s="104" t="s">
        <v>639</v>
      </c>
      <c r="C40" s="104" t="s">
        <v>1116</v>
      </c>
      <c r="D40" s="104" t="s">
        <v>1718</v>
      </c>
      <c r="E40" s="104" t="s">
        <v>834</v>
      </c>
      <c r="F40" s="104" t="str">
        <f t="shared" si="1"/>
        <v>&lt;PrivacyActCompliance&gt; &lt;/PrivacyActCompliance&gt;</v>
      </c>
      <c r="G40" s="62" t="s">
        <v>1373</v>
      </c>
      <c r="H40" s="62" t="s">
        <v>1374</v>
      </c>
      <c r="I40" s="62" t="s">
        <v>1375</v>
      </c>
      <c r="J40" s="104"/>
      <c r="K40" s="104"/>
      <c r="L40" s="105"/>
      <c r="M40" s="119"/>
    </row>
    <row r="41" spans="1:13" x14ac:dyDescent="0.25">
      <c r="A41" s="118" t="s">
        <v>1336</v>
      </c>
      <c r="B41" s="104" t="s">
        <v>745</v>
      </c>
      <c r="C41" s="104" t="s">
        <v>882</v>
      </c>
      <c r="D41" s="104" t="s">
        <v>1683</v>
      </c>
      <c r="E41" s="104" t="s">
        <v>758</v>
      </c>
      <c r="F41" s="104" t="str">
        <f t="shared" si="1"/>
        <v>&lt;DrivingLicenseNo&gt; &lt;/DrivingLicenseNo&gt;</v>
      </c>
      <c r="G41" s="64" t="s">
        <v>957</v>
      </c>
      <c r="H41" s="64" t="s">
        <v>370</v>
      </c>
      <c r="I41" s="64" t="s">
        <v>959</v>
      </c>
      <c r="J41" s="104"/>
      <c r="K41" s="104"/>
      <c r="L41" s="105"/>
      <c r="M41" s="119"/>
    </row>
    <row r="42" spans="1:13" x14ac:dyDescent="0.25">
      <c r="A42" s="118" t="s">
        <v>1144</v>
      </c>
      <c r="B42" s="104" t="s">
        <v>1132</v>
      </c>
      <c r="C42" s="104" t="s">
        <v>852</v>
      </c>
      <c r="D42" s="104" t="s">
        <v>1735</v>
      </c>
      <c r="E42" s="104" t="s">
        <v>763</v>
      </c>
      <c r="F42" s="104" t="str">
        <f t="shared" si="1"/>
        <v>&lt;LienDate&gt; &lt;/LienDate&gt;</v>
      </c>
      <c r="G42" s="64" t="s">
        <v>974</v>
      </c>
      <c r="H42" s="64" t="s">
        <v>975</v>
      </c>
      <c r="I42" s="64" t="s">
        <v>976</v>
      </c>
      <c r="J42" s="104"/>
      <c r="K42" s="104"/>
      <c r="L42" s="105"/>
      <c r="M42" s="119"/>
    </row>
    <row r="43" spans="1:13" x14ac:dyDescent="0.25">
      <c r="A43" s="118" t="s">
        <v>1140</v>
      </c>
      <c r="B43" s="104" t="s">
        <v>1141</v>
      </c>
      <c r="C43" s="104" t="s">
        <v>1146</v>
      </c>
      <c r="D43" s="104" t="s">
        <v>1752</v>
      </c>
      <c r="E43" s="104" t="s">
        <v>758</v>
      </c>
      <c r="F43" s="104" t="str">
        <f t="shared" si="1"/>
        <v>&lt;DuplicateVin&gt; &lt;/DuplicateVin&gt;</v>
      </c>
      <c r="G43" s="64" t="s">
        <v>1471</v>
      </c>
      <c r="H43" s="64" t="s">
        <v>1472</v>
      </c>
      <c r="I43" s="64" t="s">
        <v>1473</v>
      </c>
      <c r="J43" s="104"/>
      <c r="K43" s="104"/>
      <c r="L43" s="105"/>
      <c r="M43" s="119"/>
    </row>
    <row r="44" spans="1:13" x14ac:dyDescent="0.25">
      <c r="A44" s="118" t="s">
        <v>1336</v>
      </c>
      <c r="B44" s="104" t="s">
        <v>746</v>
      </c>
      <c r="C44" s="104" t="s">
        <v>877</v>
      </c>
      <c r="D44" s="104" t="s">
        <v>1691</v>
      </c>
      <c r="E44" s="104" t="s">
        <v>758</v>
      </c>
      <c r="F44" s="104" t="str">
        <f t="shared" si="1"/>
        <v>&lt;EmpIdentificationNo&gt; &lt;/EmpIdentificationNo&gt;</v>
      </c>
      <c r="G44" s="64" t="s">
        <v>963</v>
      </c>
      <c r="H44" s="64" t="s">
        <v>964</v>
      </c>
      <c r="I44" s="64" t="s">
        <v>965</v>
      </c>
      <c r="J44" s="104"/>
      <c r="K44" s="104"/>
      <c r="L44" s="105"/>
      <c r="M44" s="119"/>
    </row>
    <row r="45" spans="1:13" x14ac:dyDescent="0.25">
      <c r="A45" s="118" t="s">
        <v>1144</v>
      </c>
      <c r="B45" s="104" t="s">
        <v>741</v>
      </c>
      <c r="C45" s="104" t="s">
        <v>762</v>
      </c>
      <c r="D45" s="104" t="s">
        <v>1720</v>
      </c>
      <c r="E45" s="104" t="s">
        <v>763</v>
      </c>
      <c r="F45" s="104" t="str">
        <f t="shared" si="1"/>
        <v>&lt;Date2&gt; &lt;/Date2&gt;</v>
      </c>
      <c r="G45" s="62" t="s">
        <v>2365</v>
      </c>
      <c r="H45" s="62" t="s">
        <v>2366</v>
      </c>
      <c r="I45" s="62" t="s">
        <v>2367</v>
      </c>
      <c r="J45" s="104"/>
      <c r="K45" s="104"/>
      <c r="L45" s="105"/>
      <c r="M45" s="119"/>
    </row>
    <row r="46" spans="1:13" x14ac:dyDescent="0.25">
      <c r="A46" s="118" t="s">
        <v>1077</v>
      </c>
      <c r="B46" s="104" t="s">
        <v>1083</v>
      </c>
      <c r="C46" s="104" t="s">
        <v>1091</v>
      </c>
      <c r="D46" s="104" t="s">
        <v>1667</v>
      </c>
      <c r="E46" s="104" t="s">
        <v>763</v>
      </c>
      <c r="F46" s="104" t="str">
        <f t="shared" si="1"/>
        <v>&lt;DepositDate&gt; &lt;/DepositDate&gt;</v>
      </c>
      <c r="G46" s="64" t="s">
        <v>1447</v>
      </c>
      <c r="H46" s="64" t="s">
        <v>1448</v>
      </c>
      <c r="I46" s="64" t="s">
        <v>1449</v>
      </c>
      <c r="J46" s="104"/>
      <c r="K46" s="104"/>
      <c r="L46" s="105"/>
      <c r="M46" s="119"/>
    </row>
    <row r="47" spans="1:13" x14ac:dyDescent="0.25">
      <c r="A47" s="118" t="s">
        <v>1142</v>
      </c>
      <c r="B47" s="104" t="s">
        <v>748</v>
      </c>
      <c r="C47" s="193" t="s">
        <v>1532</v>
      </c>
      <c r="D47" s="104" t="s">
        <v>1694</v>
      </c>
      <c r="E47" s="104" t="s">
        <v>758</v>
      </c>
      <c r="F47" s="193" t="str">
        <f t="shared" si="1"/>
        <v>&lt;Flag1&gt; &lt;/Flag1&gt;</v>
      </c>
      <c r="G47" s="62" t="s">
        <v>2368</v>
      </c>
      <c r="H47" s="62" t="s">
        <v>2369</v>
      </c>
      <c r="I47" s="62" t="s">
        <v>2370</v>
      </c>
      <c r="J47" s="104"/>
      <c r="K47" s="104"/>
      <c r="L47" s="105"/>
      <c r="M47" s="119"/>
    </row>
    <row r="48" spans="1:13" x14ac:dyDescent="0.25">
      <c r="A48" s="118" t="s">
        <v>1142</v>
      </c>
      <c r="B48" s="104" t="s">
        <v>757</v>
      </c>
      <c r="C48" s="193" t="s">
        <v>1541</v>
      </c>
      <c r="D48" s="104" t="s">
        <v>1694</v>
      </c>
      <c r="E48" s="104" t="s">
        <v>758</v>
      </c>
      <c r="F48" s="193" t="str">
        <f t="shared" si="1"/>
        <v>&lt;Flag10&gt; &lt;/Flag10&gt;</v>
      </c>
      <c r="G48" s="62" t="s">
        <v>2362</v>
      </c>
      <c r="H48" s="62" t="s">
        <v>2363</v>
      </c>
      <c r="I48" s="62" t="s">
        <v>2364</v>
      </c>
      <c r="J48" s="104"/>
      <c r="K48" s="104"/>
      <c r="L48" s="105"/>
      <c r="M48" s="119"/>
    </row>
    <row r="49" spans="1:13" x14ac:dyDescent="0.25">
      <c r="A49" s="189" t="s">
        <v>1047</v>
      </c>
      <c r="B49" s="190" t="s">
        <v>1025</v>
      </c>
      <c r="C49" s="190" t="s">
        <v>1025</v>
      </c>
      <c r="D49" s="190"/>
      <c r="E49" s="190" t="s">
        <v>758</v>
      </c>
      <c r="F49" s="190" t="str">
        <f t="shared" si="1"/>
        <v>&lt;CCC&gt; &lt;/CCC&gt;</v>
      </c>
      <c r="G49" s="64"/>
      <c r="H49" s="64"/>
      <c r="I49" s="64"/>
      <c r="J49" s="104"/>
      <c r="K49" s="104"/>
      <c r="L49" s="105"/>
      <c r="M49" s="119"/>
    </row>
    <row r="50" spans="1:13" x14ac:dyDescent="0.25">
      <c r="A50" s="118" t="s">
        <v>1032</v>
      </c>
      <c r="B50" s="104" t="s">
        <v>1026</v>
      </c>
      <c r="C50" s="104" t="s">
        <v>1027</v>
      </c>
      <c r="D50" s="104" t="s">
        <v>1695</v>
      </c>
      <c r="E50" s="104" t="s">
        <v>758</v>
      </c>
      <c r="F50" s="104" t="str">
        <f t="shared" si="1"/>
        <v>&lt;EltType&gt; &lt;/EltType&gt;</v>
      </c>
      <c r="G50" s="62" t="s">
        <v>1380</v>
      </c>
      <c r="H50" s="62" t="s">
        <v>1384</v>
      </c>
      <c r="I50" s="62" t="s">
        <v>1383</v>
      </c>
      <c r="J50" s="104"/>
      <c r="K50" s="104"/>
      <c r="L50" s="105"/>
      <c r="M50" s="119"/>
    </row>
    <row r="51" spans="1:13" x14ac:dyDescent="0.25">
      <c r="A51" s="118" t="s">
        <v>1032</v>
      </c>
      <c r="B51" s="104" t="s">
        <v>1098</v>
      </c>
      <c r="C51" s="104" t="s">
        <v>1099</v>
      </c>
      <c r="D51" s="104" t="s">
        <v>1696</v>
      </c>
      <c r="E51" s="104" t="s">
        <v>758</v>
      </c>
      <c r="F51" s="104" t="str">
        <f t="shared" si="1"/>
        <v>&lt;EltCode&gt; &lt;/EltCode&gt;</v>
      </c>
      <c r="G51" s="64" t="s">
        <v>474</v>
      </c>
      <c r="H51" s="64" t="s">
        <v>375</v>
      </c>
      <c r="I51" s="64" t="s">
        <v>977</v>
      </c>
      <c r="J51" s="104"/>
      <c r="K51" s="104"/>
      <c r="L51" s="105"/>
      <c r="M51" s="119"/>
    </row>
    <row r="52" spans="1:13" x14ac:dyDescent="0.25">
      <c r="A52" s="118" t="s">
        <v>1032</v>
      </c>
      <c r="B52" s="104" t="s">
        <v>1030</v>
      </c>
      <c r="C52" s="104" t="s">
        <v>1031</v>
      </c>
      <c r="D52" s="104" t="s">
        <v>1697</v>
      </c>
      <c r="E52" s="104" t="s">
        <v>758</v>
      </c>
      <c r="F52" s="104" t="str">
        <f t="shared" si="1"/>
        <v>&lt;Active&gt; &lt;/Active&gt;</v>
      </c>
      <c r="G52" s="64" t="s">
        <v>1485</v>
      </c>
      <c r="H52" s="64" t="s">
        <v>1486</v>
      </c>
      <c r="I52" s="64" t="s">
        <v>1487</v>
      </c>
      <c r="J52" s="104"/>
      <c r="K52" s="104"/>
      <c r="L52" s="105"/>
      <c r="M52" s="119"/>
    </row>
    <row r="53" spans="1:13" ht="30" x14ac:dyDescent="0.25">
      <c r="A53" s="118" t="s">
        <v>1032</v>
      </c>
      <c r="B53" s="104" t="s">
        <v>1100</v>
      </c>
      <c r="C53" s="104" t="s">
        <v>850</v>
      </c>
      <c r="D53" s="104" t="s">
        <v>1698</v>
      </c>
      <c r="E53" s="104" t="s">
        <v>758</v>
      </c>
      <c r="F53" s="104" t="str">
        <f t="shared" si="1"/>
        <v>&lt;LienHolderName&gt; &lt;/LienHolderName&gt;</v>
      </c>
      <c r="G53" s="64" t="s">
        <v>475</v>
      </c>
      <c r="H53" s="64" t="s">
        <v>371</v>
      </c>
      <c r="I53" s="64" t="s">
        <v>245</v>
      </c>
      <c r="J53" s="104"/>
      <c r="K53" s="104"/>
      <c r="L53" s="105"/>
      <c r="M53" s="119"/>
    </row>
    <row r="54" spans="1:13" x14ac:dyDescent="0.25">
      <c r="A54" s="118" t="s">
        <v>1032</v>
      </c>
      <c r="B54" s="104" t="s">
        <v>1101</v>
      </c>
      <c r="C54" s="104" t="s">
        <v>845</v>
      </c>
      <c r="D54" s="104" t="s">
        <v>1699</v>
      </c>
      <c r="E54" s="104" t="s">
        <v>758</v>
      </c>
      <c r="F54" s="104" t="str">
        <f t="shared" si="1"/>
        <v>&lt;Street&gt; &lt;/Street&gt;</v>
      </c>
      <c r="G54" s="64" t="s">
        <v>476</v>
      </c>
      <c r="H54" s="64" t="s">
        <v>365</v>
      </c>
      <c r="I54" s="64" t="s">
        <v>246</v>
      </c>
      <c r="J54" s="104"/>
      <c r="K54" s="104"/>
      <c r="L54" s="105"/>
      <c r="M54" s="119"/>
    </row>
    <row r="55" spans="1:13" x14ac:dyDescent="0.25">
      <c r="A55" s="118" t="s">
        <v>1032</v>
      </c>
      <c r="B55" s="104" t="s">
        <v>809</v>
      </c>
      <c r="C55" s="104" t="s">
        <v>40</v>
      </c>
      <c r="D55" s="104" t="s">
        <v>1700</v>
      </c>
      <c r="E55" s="104" t="s">
        <v>758</v>
      </c>
      <c r="F55" s="104" t="str">
        <f t="shared" si="1"/>
        <v>&lt;City&gt; &lt;/City&gt;</v>
      </c>
      <c r="G55" s="64" t="s">
        <v>477</v>
      </c>
      <c r="H55" s="64" t="s">
        <v>367</v>
      </c>
      <c r="I55" s="64" t="s">
        <v>247</v>
      </c>
      <c r="J55" s="104"/>
      <c r="K55" s="104"/>
      <c r="L55" s="105"/>
      <c r="M55" s="119"/>
    </row>
    <row r="56" spans="1:13" x14ac:dyDescent="0.25">
      <c r="A56" s="118" t="s">
        <v>1032</v>
      </c>
      <c r="B56" s="104" t="s">
        <v>810</v>
      </c>
      <c r="C56" s="104" t="s">
        <v>41</v>
      </c>
      <c r="D56" s="104" t="s">
        <v>1701</v>
      </c>
      <c r="E56" s="104" t="s">
        <v>758</v>
      </c>
      <c r="F56" s="104" t="str">
        <f t="shared" si="1"/>
        <v>&lt;State&gt; &lt;/State&gt;</v>
      </c>
      <c r="G56" s="64" t="s">
        <v>478</v>
      </c>
      <c r="H56" s="64" t="s">
        <v>368</v>
      </c>
      <c r="I56" s="64" t="s">
        <v>248</v>
      </c>
      <c r="J56" s="104"/>
      <c r="K56" s="104"/>
      <c r="L56" s="105"/>
      <c r="M56" s="119"/>
    </row>
    <row r="57" spans="1:13" x14ac:dyDescent="0.25">
      <c r="A57" s="118" t="s">
        <v>1032</v>
      </c>
      <c r="B57" s="104" t="s">
        <v>1102</v>
      </c>
      <c r="C57" s="104" t="s">
        <v>768</v>
      </c>
      <c r="D57" s="104" t="s">
        <v>1702</v>
      </c>
      <c r="E57" s="104" t="s">
        <v>834</v>
      </c>
      <c r="F57" s="104" t="str">
        <f t="shared" si="1"/>
        <v>&lt;zip&gt; &lt;/zip&gt;</v>
      </c>
      <c r="G57" s="64" t="s">
        <v>479</v>
      </c>
      <c r="H57" s="64" t="s">
        <v>366</v>
      </c>
      <c r="I57" s="64" t="s">
        <v>249</v>
      </c>
      <c r="J57" s="104"/>
      <c r="K57" s="104"/>
      <c r="L57" s="105"/>
      <c r="M57" s="119"/>
    </row>
    <row r="58" spans="1:13" x14ac:dyDescent="0.25">
      <c r="A58" s="118" t="s">
        <v>1032</v>
      </c>
      <c r="B58" s="104" t="s">
        <v>1038</v>
      </c>
      <c r="C58" s="104" t="s">
        <v>1039</v>
      </c>
      <c r="D58" s="104" t="s">
        <v>1703</v>
      </c>
      <c r="E58" s="104" t="s">
        <v>758</v>
      </c>
      <c r="F58" s="104" t="str">
        <f t="shared" si="1"/>
        <v>&lt;PTA&gt; &lt;/PTA&gt;</v>
      </c>
      <c r="G58" s="62" t="s">
        <v>2266</v>
      </c>
      <c r="H58" s="62" t="s">
        <v>1443</v>
      </c>
      <c r="I58" s="62" t="s">
        <v>1444</v>
      </c>
      <c r="J58" s="104"/>
      <c r="K58" s="104"/>
      <c r="L58" s="105"/>
      <c r="M58" s="119"/>
    </row>
    <row r="59" spans="1:13" ht="30" x14ac:dyDescent="0.25">
      <c r="A59" s="118" t="s">
        <v>1366</v>
      </c>
      <c r="B59" s="105" t="s">
        <v>1499</v>
      </c>
      <c r="C59" s="104" t="s">
        <v>1105</v>
      </c>
      <c r="D59" s="104"/>
      <c r="E59" s="104" t="s">
        <v>763</v>
      </c>
      <c r="F59" s="104" t="str">
        <f t="shared" si="1"/>
        <v>&lt;DateOfExpiration&gt; &lt;/DateOfExpiration&gt;</v>
      </c>
      <c r="G59" s="64" t="s">
        <v>2386</v>
      </c>
      <c r="H59" s="64" t="s">
        <v>2387</v>
      </c>
      <c r="I59" s="64" t="s">
        <v>2388</v>
      </c>
      <c r="J59" s="104"/>
      <c r="K59" s="104"/>
      <c r="L59" s="105"/>
      <c r="M59" s="119"/>
    </row>
    <row r="60" spans="1:13" x14ac:dyDescent="0.25">
      <c r="A60" s="118" t="s">
        <v>1032</v>
      </c>
      <c r="B60" s="104" t="s">
        <v>1042</v>
      </c>
      <c r="C60" s="104" t="s">
        <v>1044</v>
      </c>
      <c r="D60" s="104" t="s">
        <v>1705</v>
      </c>
      <c r="E60" s="104" t="s">
        <v>763</v>
      </c>
      <c r="F60" s="104" t="str">
        <f t="shared" si="1"/>
        <v>&lt;EndDate&gt; &lt;/EndDate&gt;</v>
      </c>
      <c r="G60" s="62" t="s">
        <v>1549</v>
      </c>
      <c r="H60" s="62" t="s">
        <v>1550</v>
      </c>
      <c r="I60" s="62" t="s">
        <v>1552</v>
      </c>
      <c r="J60" s="104"/>
      <c r="K60" s="104"/>
      <c r="L60" s="105"/>
      <c r="M60" s="119"/>
    </row>
    <row r="61" spans="1:13" x14ac:dyDescent="0.25">
      <c r="A61" s="118" t="s">
        <v>1056</v>
      </c>
      <c r="B61" s="104" t="s">
        <v>1051</v>
      </c>
      <c r="C61" s="104" t="s">
        <v>1052</v>
      </c>
      <c r="D61" s="104" t="s">
        <v>1706</v>
      </c>
      <c r="E61" s="104" t="s">
        <v>834</v>
      </c>
      <c r="F61" s="104" t="str">
        <f t="shared" si="1"/>
        <v>&lt;Time&gt; &lt;/Time&gt;</v>
      </c>
      <c r="G61" s="64" t="s">
        <v>1450</v>
      </c>
      <c r="H61" s="64" t="s">
        <v>1451</v>
      </c>
      <c r="I61" s="64" t="s">
        <v>1452</v>
      </c>
      <c r="J61" s="104"/>
      <c r="K61" s="104"/>
      <c r="L61" s="105"/>
      <c r="M61" s="119"/>
    </row>
    <row r="62" spans="1:13" x14ac:dyDescent="0.25">
      <c r="A62" s="118" t="s">
        <v>1144</v>
      </c>
      <c r="B62" s="104" t="s">
        <v>541</v>
      </c>
      <c r="C62" s="104" t="s">
        <v>858</v>
      </c>
      <c r="D62" s="104" t="s">
        <v>1744</v>
      </c>
      <c r="E62" s="104" t="s">
        <v>763</v>
      </c>
      <c r="F62" s="104" t="str">
        <f t="shared" si="1"/>
        <v>&lt;PreviousPlateExpirationDate&gt; &lt;/PreviousPlateExpirationDate&gt;</v>
      </c>
      <c r="G62" s="64" t="s">
        <v>445</v>
      </c>
      <c r="H62" s="64" t="s">
        <v>347</v>
      </c>
      <c r="I62" s="64" t="s">
        <v>272</v>
      </c>
      <c r="J62" s="104"/>
      <c r="K62" s="104"/>
      <c r="L62" s="105"/>
      <c r="M62" s="119"/>
    </row>
    <row r="63" spans="1:13" ht="75" x14ac:dyDescent="0.25">
      <c r="A63" s="118" t="s">
        <v>1366</v>
      </c>
      <c r="B63" s="104" t="s">
        <v>1554</v>
      </c>
      <c r="C63" s="104" t="s">
        <v>1554</v>
      </c>
      <c r="D63" s="104" t="s">
        <v>1708</v>
      </c>
      <c r="E63" s="104" t="s">
        <v>758</v>
      </c>
      <c r="F63" s="104" t="str">
        <f t="shared" si="1"/>
        <v>&lt;Race&gt; &lt;/Race&gt;</v>
      </c>
      <c r="G63" s="64" t="s">
        <v>1556</v>
      </c>
      <c r="H63" s="64" t="s">
        <v>1889</v>
      </c>
      <c r="I63" s="64" t="s">
        <v>1890</v>
      </c>
      <c r="J63" s="104"/>
      <c r="K63" s="104"/>
      <c r="L63" s="105" t="s">
        <v>1559</v>
      </c>
      <c r="M63" s="104"/>
    </row>
    <row r="64" spans="1:13" x14ac:dyDescent="0.25">
      <c r="A64" s="118" t="s">
        <v>1366</v>
      </c>
      <c r="B64" s="104" t="s">
        <v>1555</v>
      </c>
      <c r="C64" s="104" t="s">
        <v>1555</v>
      </c>
      <c r="D64" s="104" t="s">
        <v>1709</v>
      </c>
      <c r="E64" s="119" t="s">
        <v>758</v>
      </c>
      <c r="F64" s="104" t="str">
        <f t="shared" si="1"/>
        <v>&lt;Gender&gt; &lt;/Gender&gt;</v>
      </c>
      <c r="G64" s="64" t="s">
        <v>1488</v>
      </c>
      <c r="H64" s="64" t="s">
        <v>1489</v>
      </c>
      <c r="I64" s="64" t="s">
        <v>1490</v>
      </c>
      <c r="J64" s="118"/>
      <c r="K64" s="104"/>
      <c r="L64" s="105"/>
      <c r="M64" s="104"/>
    </row>
    <row r="65" spans="1:13" ht="30" x14ac:dyDescent="0.25">
      <c r="A65" s="118" t="s">
        <v>1124</v>
      </c>
      <c r="B65" s="104" t="s">
        <v>1057</v>
      </c>
      <c r="C65" s="104" t="s">
        <v>1568</v>
      </c>
      <c r="D65" s="104" t="s">
        <v>1710</v>
      </c>
      <c r="E65" s="104" t="s">
        <v>758</v>
      </c>
      <c r="F65" s="104" t="str">
        <f t="shared" si="1"/>
        <v>&lt;Street [Residential]&gt; &lt;/Street [Residential]&gt;</v>
      </c>
      <c r="G65" s="64" t="s">
        <v>1560</v>
      </c>
      <c r="H65" s="64" t="s">
        <v>365</v>
      </c>
      <c r="I65" s="64" t="s">
        <v>1198</v>
      </c>
      <c r="J65" s="104"/>
      <c r="K65" s="104"/>
      <c r="L65" s="105"/>
      <c r="M65" s="119"/>
    </row>
    <row r="66" spans="1:13" ht="30" x14ac:dyDescent="0.25">
      <c r="A66" s="118" t="s">
        <v>1124</v>
      </c>
      <c r="B66" s="104" t="s">
        <v>1058</v>
      </c>
      <c r="C66" s="104" t="s">
        <v>1569</v>
      </c>
      <c r="D66" s="104" t="s">
        <v>1711</v>
      </c>
      <c r="E66" s="104" t="s">
        <v>758</v>
      </c>
      <c r="F66" s="104" t="str">
        <f t="shared" si="1"/>
        <v>&lt;City [Residential]&gt; &lt;/City [Residential]&gt;</v>
      </c>
      <c r="G66" s="64" t="s">
        <v>1561</v>
      </c>
      <c r="H66" s="64" t="s">
        <v>367</v>
      </c>
      <c r="I66" s="64" t="s">
        <v>1199</v>
      </c>
      <c r="J66" s="104"/>
      <c r="K66" s="104"/>
      <c r="L66" s="105"/>
      <c r="M66" s="119"/>
    </row>
    <row r="67" spans="1:13" ht="30" x14ac:dyDescent="0.25">
      <c r="A67" s="118" t="s">
        <v>1124</v>
      </c>
      <c r="B67" s="104" t="s">
        <v>1059</v>
      </c>
      <c r="C67" s="104" t="s">
        <v>1570</v>
      </c>
      <c r="D67" s="104" t="s">
        <v>1712</v>
      </c>
      <c r="E67" s="104" t="s">
        <v>758</v>
      </c>
      <c r="F67" s="104" t="str">
        <f t="shared" ref="F67:F98" si="2">CONCATENATE("&lt;",TRIM(C67),"&gt; &lt;/",TRIM(C67),"&gt;")</f>
        <v>&lt;State [Residential]&gt; &lt;/State [Residential]&gt;</v>
      </c>
      <c r="G67" s="64" t="s">
        <v>1563</v>
      </c>
      <c r="H67" s="64" t="s">
        <v>368</v>
      </c>
      <c r="I67" s="64" t="s">
        <v>1200</v>
      </c>
      <c r="J67" s="104"/>
      <c r="K67" s="104"/>
      <c r="L67" s="105"/>
      <c r="M67" s="119"/>
    </row>
    <row r="68" spans="1:13" ht="30" x14ac:dyDescent="0.25">
      <c r="A68" s="118" t="s">
        <v>1124</v>
      </c>
      <c r="B68" s="104" t="s">
        <v>1060</v>
      </c>
      <c r="C68" s="104" t="s">
        <v>1587</v>
      </c>
      <c r="D68" s="104" t="s">
        <v>1713</v>
      </c>
      <c r="E68" s="104" t="s">
        <v>834</v>
      </c>
      <c r="F68" s="104" t="str">
        <f t="shared" si="2"/>
        <v>&lt;zip [Residential]&gt; &lt;/zip [Residential]&gt;</v>
      </c>
      <c r="G68" s="64" t="s">
        <v>1562</v>
      </c>
      <c r="H68" s="64" t="s">
        <v>366</v>
      </c>
      <c r="I68" s="64" t="s">
        <v>1201</v>
      </c>
      <c r="J68" s="104"/>
      <c r="K68" s="104"/>
      <c r="L68" s="105"/>
      <c r="M68" s="119"/>
    </row>
    <row r="69" spans="1:13" ht="30" x14ac:dyDescent="0.25">
      <c r="A69" s="118" t="s">
        <v>1160</v>
      </c>
      <c r="B69" s="105" t="s">
        <v>1158</v>
      </c>
      <c r="C69" s="104" t="s">
        <v>1571</v>
      </c>
      <c r="D69" s="104" t="s">
        <v>1714</v>
      </c>
      <c r="E69" s="104" t="s">
        <v>758</v>
      </c>
      <c r="F69" s="104" t="str">
        <f t="shared" si="2"/>
        <v>&lt;Street [Mailing]&gt; &lt;/Street [Mailing]&gt;</v>
      </c>
      <c r="G69" s="64" t="s">
        <v>1564</v>
      </c>
      <c r="H69" s="64" t="s">
        <v>365</v>
      </c>
      <c r="I69" s="64" t="s">
        <v>239</v>
      </c>
      <c r="J69" s="104"/>
      <c r="K69" s="104"/>
      <c r="L69" s="105"/>
      <c r="M69" s="119"/>
    </row>
    <row r="70" spans="1:13" ht="30" x14ac:dyDescent="0.25">
      <c r="A70" s="118" t="s">
        <v>1160</v>
      </c>
      <c r="B70" s="105" t="s">
        <v>1161</v>
      </c>
      <c r="C70" s="104" t="s">
        <v>1572</v>
      </c>
      <c r="D70" s="104" t="s">
        <v>1715</v>
      </c>
      <c r="E70" s="104" t="s">
        <v>758</v>
      </c>
      <c r="F70" s="104" t="str">
        <f t="shared" si="2"/>
        <v>&lt;City [Mailing]&gt; &lt;/City [Mailing]&gt;</v>
      </c>
      <c r="G70" s="64" t="s">
        <v>1565</v>
      </c>
      <c r="H70" s="64" t="s">
        <v>367</v>
      </c>
      <c r="I70" s="64" t="s">
        <v>241</v>
      </c>
      <c r="J70" s="104"/>
      <c r="K70" s="104"/>
      <c r="L70" s="105"/>
      <c r="M70" s="119"/>
    </row>
    <row r="71" spans="1:13" ht="30" x14ac:dyDescent="0.25">
      <c r="A71" s="118" t="s">
        <v>1160</v>
      </c>
      <c r="B71" s="105" t="s">
        <v>1162</v>
      </c>
      <c r="C71" s="104" t="s">
        <v>1573</v>
      </c>
      <c r="D71" s="104" t="s">
        <v>1716</v>
      </c>
      <c r="E71" s="104" t="s">
        <v>758</v>
      </c>
      <c r="F71" s="104" t="str">
        <f t="shared" si="2"/>
        <v>&lt;State [Mailing]&gt; &lt;/State [Mailing]&gt;</v>
      </c>
      <c r="G71" s="64" t="s">
        <v>1566</v>
      </c>
      <c r="H71" s="64" t="s">
        <v>368</v>
      </c>
      <c r="I71" s="64" t="s">
        <v>242</v>
      </c>
      <c r="J71" s="104"/>
      <c r="K71" s="104"/>
      <c r="L71" s="105"/>
      <c r="M71" s="119"/>
    </row>
    <row r="72" spans="1:13" ht="30" x14ac:dyDescent="0.25">
      <c r="A72" s="118" t="s">
        <v>1160</v>
      </c>
      <c r="B72" s="105" t="s">
        <v>1163</v>
      </c>
      <c r="C72" s="104" t="s">
        <v>1588</v>
      </c>
      <c r="D72" s="104" t="s">
        <v>1717</v>
      </c>
      <c r="E72" s="104" t="s">
        <v>834</v>
      </c>
      <c r="F72" s="104" t="str">
        <f t="shared" si="2"/>
        <v>&lt;zip [Mailing]&gt; &lt;/zip [Mailing]&gt;</v>
      </c>
      <c r="G72" s="64" t="s">
        <v>1567</v>
      </c>
      <c r="H72" s="64" t="s">
        <v>366</v>
      </c>
      <c r="I72" s="64" t="s">
        <v>240</v>
      </c>
      <c r="J72" s="104"/>
      <c r="K72" s="104"/>
      <c r="L72" s="105"/>
      <c r="M72" s="119"/>
    </row>
    <row r="73" spans="1:13" x14ac:dyDescent="0.25">
      <c r="A73" s="118" t="s">
        <v>1056</v>
      </c>
      <c r="B73" s="104" t="s">
        <v>1106</v>
      </c>
      <c r="C73" s="104" t="s">
        <v>1106</v>
      </c>
      <c r="D73" s="104"/>
      <c r="E73" s="104" t="s">
        <v>758</v>
      </c>
      <c r="F73" s="104" t="str">
        <f t="shared" si="2"/>
        <v>&lt;E&gt; &lt;/E&gt;</v>
      </c>
      <c r="G73" s="64"/>
      <c r="H73" s="64"/>
      <c r="I73" s="64"/>
      <c r="J73" s="104"/>
      <c r="K73" s="104"/>
      <c r="L73" s="105"/>
      <c r="M73" s="119"/>
    </row>
    <row r="74" spans="1:13" x14ac:dyDescent="0.25">
      <c r="A74" s="118" t="s">
        <v>1144</v>
      </c>
      <c r="B74" s="104" t="s">
        <v>887</v>
      </c>
      <c r="C74" s="104" t="s">
        <v>885</v>
      </c>
      <c r="D74" s="104" t="s">
        <v>1725</v>
      </c>
      <c r="E74" s="104" t="s">
        <v>763</v>
      </c>
      <c r="F74" s="104" t="str">
        <f t="shared" si="2"/>
        <v>&lt;RegExpDate&gt; &lt;/RegExpDate&gt;</v>
      </c>
      <c r="G74" s="64" t="s">
        <v>443</v>
      </c>
      <c r="H74" s="64" t="s">
        <v>347</v>
      </c>
      <c r="I74" s="64" t="s">
        <v>237</v>
      </c>
      <c r="J74" s="104"/>
      <c r="K74" s="104"/>
      <c r="L74" s="105"/>
      <c r="M74" s="119"/>
    </row>
    <row r="75" spans="1:13" x14ac:dyDescent="0.25">
      <c r="A75" s="118" t="s">
        <v>1056</v>
      </c>
      <c r="B75" s="104" t="s">
        <v>223</v>
      </c>
      <c r="C75" s="104" t="s">
        <v>223</v>
      </c>
      <c r="D75" s="104"/>
      <c r="E75" s="104" t="s">
        <v>758</v>
      </c>
      <c r="F75" s="104" t="str">
        <f t="shared" si="2"/>
        <v>&lt;T&gt; &lt;/T&gt;</v>
      </c>
      <c r="G75" s="64"/>
      <c r="H75" s="64"/>
      <c r="I75" s="64"/>
      <c r="J75" s="104"/>
      <c r="K75" s="104"/>
      <c r="L75" s="105"/>
      <c r="M75" s="119"/>
    </row>
    <row r="76" spans="1:13" x14ac:dyDescent="0.25">
      <c r="A76" s="118" t="s">
        <v>1056</v>
      </c>
      <c r="B76" s="104" t="s">
        <v>1107</v>
      </c>
      <c r="C76" s="104" t="s">
        <v>1108</v>
      </c>
      <c r="D76" s="104"/>
      <c r="E76" s="104" t="s">
        <v>764</v>
      </c>
      <c r="F76" s="104" t="str">
        <f t="shared" si="2"/>
        <v>&lt;AuditNumber&gt; &lt;/AuditNumber&gt;</v>
      </c>
      <c r="G76" s="64" t="s">
        <v>1453</v>
      </c>
      <c r="H76" s="64" t="s">
        <v>1454</v>
      </c>
      <c r="I76" s="64" t="s">
        <v>1455</v>
      </c>
      <c r="J76" s="104"/>
      <c r="K76" s="104"/>
      <c r="L76" s="105"/>
      <c r="M76" s="119"/>
    </row>
    <row r="77" spans="1:13" x14ac:dyDescent="0.25">
      <c r="A77" s="118" t="s">
        <v>1056</v>
      </c>
      <c r="B77" s="104" t="s">
        <v>1109</v>
      </c>
      <c r="C77" s="104" t="s">
        <v>1110</v>
      </c>
      <c r="D77" s="104"/>
      <c r="E77" s="104" t="s">
        <v>758</v>
      </c>
      <c r="F77" s="104" t="str">
        <f t="shared" si="2"/>
        <v>&lt;PresentStatus&gt; &lt;/PresentStatus&gt;</v>
      </c>
      <c r="G77" s="64" t="s">
        <v>1456</v>
      </c>
      <c r="H77" s="64" t="s">
        <v>1457</v>
      </c>
      <c r="I77" s="64" t="s">
        <v>1458</v>
      </c>
      <c r="J77" s="104"/>
      <c r="K77" s="104"/>
      <c r="L77" s="105"/>
      <c r="M77" s="119"/>
    </row>
    <row r="78" spans="1:13" x14ac:dyDescent="0.25">
      <c r="A78" s="118" t="s">
        <v>1056</v>
      </c>
      <c r="B78" s="104" t="s">
        <v>1111</v>
      </c>
      <c r="C78" s="104" t="s">
        <v>1112</v>
      </c>
      <c r="D78" s="104"/>
      <c r="E78" s="104" t="s">
        <v>758</v>
      </c>
      <c r="F78" s="104" t="str">
        <f t="shared" si="2"/>
        <v>&lt;Endorsment&gt; &lt;/Endorsment&gt;</v>
      </c>
      <c r="G78" s="64" t="s">
        <v>1459</v>
      </c>
      <c r="H78" s="64" t="s">
        <v>1460</v>
      </c>
      <c r="I78" s="64" t="s">
        <v>1461</v>
      </c>
      <c r="J78" s="104"/>
      <c r="K78" s="104"/>
      <c r="L78" s="105"/>
      <c r="M78" s="119"/>
    </row>
    <row r="79" spans="1:13" x14ac:dyDescent="0.25">
      <c r="A79" s="118" t="s">
        <v>1056</v>
      </c>
      <c r="B79" s="104" t="s">
        <v>648</v>
      </c>
      <c r="C79" s="104" t="s">
        <v>1113</v>
      </c>
      <c r="D79" s="104"/>
      <c r="E79" s="104" t="s">
        <v>764</v>
      </c>
      <c r="F79" s="104" t="str">
        <f t="shared" si="2"/>
        <v>&lt;Res&gt; &lt;/Res&gt;</v>
      </c>
      <c r="G79" s="64" t="s">
        <v>2271</v>
      </c>
      <c r="H79" s="64" t="s">
        <v>1889</v>
      </c>
      <c r="I79" s="66" t="s">
        <v>1890</v>
      </c>
      <c r="J79" s="104"/>
      <c r="K79" s="104"/>
      <c r="L79" s="105"/>
      <c r="M79" s="119"/>
    </row>
    <row r="80" spans="1:13" x14ac:dyDescent="0.25">
      <c r="A80" s="118" t="s">
        <v>1056</v>
      </c>
      <c r="B80" s="104" t="s">
        <v>1114</v>
      </c>
      <c r="C80" s="104" t="s">
        <v>1115</v>
      </c>
      <c r="D80" s="104"/>
      <c r="E80" s="104" t="s">
        <v>758</v>
      </c>
      <c r="F80" s="104" t="str">
        <f t="shared" si="2"/>
        <v>&lt;WildLifeAndFisheryLicenseStatus&gt; &lt;/WildLifeAndFisheryLicenseStatus&gt;</v>
      </c>
      <c r="G80" s="64" t="s">
        <v>1462</v>
      </c>
      <c r="H80" s="64" t="s">
        <v>1463</v>
      </c>
      <c r="I80" s="64" t="s">
        <v>1464</v>
      </c>
      <c r="J80" s="104"/>
      <c r="K80" s="104"/>
      <c r="L80" s="105"/>
      <c r="M80" s="119"/>
    </row>
    <row r="81" spans="1:13" x14ac:dyDescent="0.25">
      <c r="A81" s="118" t="s">
        <v>1142</v>
      </c>
      <c r="B81" s="104" t="s">
        <v>749</v>
      </c>
      <c r="C81" s="193" t="s">
        <v>1533</v>
      </c>
      <c r="D81" s="104" t="s">
        <v>1694</v>
      </c>
      <c r="E81" s="104" t="s">
        <v>758</v>
      </c>
      <c r="F81" s="193" t="str">
        <f t="shared" si="2"/>
        <v>&lt;Flag2&gt; &lt;/Flag2&gt;</v>
      </c>
      <c r="G81" s="64" t="s">
        <v>2362</v>
      </c>
      <c r="H81" s="62" t="s">
        <v>2363</v>
      </c>
      <c r="I81" s="62" t="s">
        <v>2364</v>
      </c>
      <c r="J81" s="104"/>
      <c r="K81" s="104"/>
      <c r="L81" s="105"/>
      <c r="M81" s="119"/>
    </row>
    <row r="82" spans="1:13" x14ac:dyDescent="0.25">
      <c r="A82" s="118" t="s">
        <v>1056</v>
      </c>
      <c r="B82" s="104" t="s">
        <v>1117</v>
      </c>
      <c r="C82" s="104" t="s">
        <v>1118</v>
      </c>
      <c r="D82" s="104"/>
      <c r="E82" s="104" t="s">
        <v>763</v>
      </c>
      <c r="F82" s="104" t="str">
        <f t="shared" si="2"/>
        <v>&lt;CancellationDate&gt; &lt;/CancellationDate&gt;</v>
      </c>
      <c r="G82" s="64" t="s">
        <v>1465</v>
      </c>
      <c r="H82" s="64" t="s">
        <v>1466</v>
      </c>
      <c r="I82" s="64" t="s">
        <v>1467</v>
      </c>
      <c r="J82" s="104"/>
      <c r="K82" s="104"/>
      <c r="L82" s="105"/>
      <c r="M82" s="119"/>
    </row>
    <row r="83" spans="1:13" x14ac:dyDescent="0.25">
      <c r="A83" s="118" t="s">
        <v>1056</v>
      </c>
      <c r="B83" s="104" t="s">
        <v>1121</v>
      </c>
      <c r="C83" s="104" t="s">
        <v>1122</v>
      </c>
      <c r="D83" s="104"/>
      <c r="E83" s="104" t="s">
        <v>758</v>
      </c>
      <c r="F83" s="104" t="str">
        <f t="shared" si="2"/>
        <v>&lt;ReinstateStatus&gt; &lt;/ReinstateStatus&gt;</v>
      </c>
      <c r="G83" s="64" t="s">
        <v>1468</v>
      </c>
      <c r="H83" s="64" t="s">
        <v>1469</v>
      </c>
      <c r="I83" s="64" t="s">
        <v>1470</v>
      </c>
      <c r="J83" s="104"/>
      <c r="K83" s="104"/>
      <c r="L83" s="105"/>
      <c r="M83" s="119"/>
    </row>
    <row r="84" spans="1:13" x14ac:dyDescent="0.25">
      <c r="A84" s="118" t="s">
        <v>1125</v>
      </c>
      <c r="B84" s="104" t="s">
        <v>1123</v>
      </c>
      <c r="C84" s="104" t="s">
        <v>1123</v>
      </c>
      <c r="D84" s="104"/>
      <c r="E84" s="104" t="s">
        <v>758</v>
      </c>
      <c r="F84" s="104" t="str">
        <f t="shared" si="2"/>
        <v>&lt;SSN&gt; &lt;/SSN&gt;</v>
      </c>
      <c r="G84" s="64" t="s">
        <v>1385</v>
      </c>
      <c r="H84" s="64" t="s">
        <v>1386</v>
      </c>
      <c r="I84" s="64" t="s">
        <v>1387</v>
      </c>
      <c r="J84" s="104"/>
      <c r="K84" s="104"/>
      <c r="L84" s="105"/>
      <c r="M84" s="119"/>
    </row>
    <row r="85" spans="1:13" x14ac:dyDescent="0.25">
      <c r="A85" s="118" t="s">
        <v>1142</v>
      </c>
      <c r="B85" s="104" t="s">
        <v>750</v>
      </c>
      <c r="C85" s="193" t="s">
        <v>1534</v>
      </c>
      <c r="D85" s="104" t="s">
        <v>1694</v>
      </c>
      <c r="E85" s="104" t="s">
        <v>758</v>
      </c>
      <c r="F85" s="193" t="str">
        <f t="shared" si="2"/>
        <v>&lt;Flag3&gt; &lt;/Flag3&gt;</v>
      </c>
      <c r="G85" s="64" t="s">
        <v>2362</v>
      </c>
      <c r="H85" s="62" t="s">
        <v>2363</v>
      </c>
      <c r="I85" s="62" t="s">
        <v>2364</v>
      </c>
      <c r="J85" s="104"/>
      <c r="K85" s="104"/>
      <c r="L85" s="105"/>
      <c r="M85" s="119"/>
    </row>
    <row r="86" spans="1:13" x14ac:dyDescent="0.25">
      <c r="A86" s="118" t="s">
        <v>1142</v>
      </c>
      <c r="B86" s="104" t="s">
        <v>751</v>
      </c>
      <c r="C86" s="193" t="s">
        <v>1535</v>
      </c>
      <c r="D86" s="104" t="s">
        <v>1694</v>
      </c>
      <c r="E86" s="104" t="s">
        <v>758</v>
      </c>
      <c r="F86" s="193" t="str">
        <f t="shared" si="2"/>
        <v>&lt;Flag4&gt; &lt;/Flag4&gt;</v>
      </c>
      <c r="G86" s="64" t="s">
        <v>2362</v>
      </c>
      <c r="H86" s="62" t="s">
        <v>2363</v>
      </c>
      <c r="I86" s="62" t="s">
        <v>2364</v>
      </c>
      <c r="J86" s="104"/>
      <c r="K86" s="104"/>
      <c r="L86" s="105"/>
      <c r="M86" s="119"/>
    </row>
    <row r="87" spans="1:13" x14ac:dyDescent="0.25">
      <c r="A87" s="118" t="s">
        <v>1142</v>
      </c>
      <c r="B87" s="104" t="s">
        <v>752</v>
      </c>
      <c r="C87" s="193" t="s">
        <v>1536</v>
      </c>
      <c r="D87" s="104" t="s">
        <v>1694</v>
      </c>
      <c r="E87" s="104" t="s">
        <v>758</v>
      </c>
      <c r="F87" s="193" t="str">
        <f t="shared" si="2"/>
        <v>&lt;Flag5&gt; &lt;/Flag5&gt;</v>
      </c>
      <c r="G87" s="64" t="s">
        <v>2362</v>
      </c>
      <c r="H87" s="62" t="s">
        <v>2363</v>
      </c>
      <c r="I87" s="62" t="s">
        <v>2364</v>
      </c>
      <c r="J87" s="104"/>
      <c r="K87" s="104"/>
      <c r="L87" s="105"/>
      <c r="M87" s="119"/>
    </row>
    <row r="88" spans="1:13" x14ac:dyDescent="0.25">
      <c r="A88" s="118" t="s">
        <v>1142</v>
      </c>
      <c r="B88" s="104" t="s">
        <v>753</v>
      </c>
      <c r="C88" s="193" t="s">
        <v>1537</v>
      </c>
      <c r="D88" s="104" t="s">
        <v>1694</v>
      </c>
      <c r="E88" s="104" t="s">
        <v>758</v>
      </c>
      <c r="F88" s="193" t="str">
        <f t="shared" si="2"/>
        <v>&lt;Flag6&gt; &lt;/Flag6&gt;</v>
      </c>
      <c r="G88" s="64" t="s">
        <v>2362</v>
      </c>
      <c r="H88" s="62" t="s">
        <v>2363</v>
      </c>
      <c r="I88" s="62" t="s">
        <v>2364</v>
      </c>
      <c r="J88" s="104"/>
      <c r="K88" s="104"/>
      <c r="L88" s="105"/>
      <c r="M88" s="119"/>
    </row>
    <row r="89" spans="1:13" x14ac:dyDescent="0.25">
      <c r="A89" s="118" t="s">
        <v>1142</v>
      </c>
      <c r="B89" s="104" t="s">
        <v>754</v>
      </c>
      <c r="C89" s="193" t="s">
        <v>1538</v>
      </c>
      <c r="D89" s="104" t="s">
        <v>1694</v>
      </c>
      <c r="E89" s="104" t="s">
        <v>758</v>
      </c>
      <c r="F89" s="193" t="str">
        <f t="shared" si="2"/>
        <v>&lt;Flag7&gt; &lt;/Flag7&gt;</v>
      </c>
      <c r="G89" s="64" t="s">
        <v>2362</v>
      </c>
      <c r="H89" s="62" t="s">
        <v>2363</v>
      </c>
      <c r="I89" s="62" t="s">
        <v>2364</v>
      </c>
      <c r="J89" s="104"/>
      <c r="K89" s="104"/>
      <c r="L89" s="105"/>
      <c r="M89" s="119"/>
    </row>
    <row r="90" spans="1:13" x14ac:dyDescent="0.25">
      <c r="A90" s="118" t="s">
        <v>1142</v>
      </c>
      <c r="B90" s="104" t="s">
        <v>755</v>
      </c>
      <c r="C90" s="193" t="s">
        <v>1539</v>
      </c>
      <c r="D90" s="104" t="s">
        <v>1694</v>
      </c>
      <c r="E90" s="104" t="s">
        <v>758</v>
      </c>
      <c r="F90" s="193" t="str">
        <f t="shared" si="2"/>
        <v>&lt;Flag8&gt; &lt;/Flag8&gt;</v>
      </c>
      <c r="G90" s="64" t="s">
        <v>2362</v>
      </c>
      <c r="H90" s="62" t="s">
        <v>2363</v>
      </c>
      <c r="I90" s="62" t="s">
        <v>2364</v>
      </c>
      <c r="J90" s="104"/>
      <c r="K90" s="104"/>
      <c r="L90" s="105"/>
      <c r="M90" s="119"/>
    </row>
    <row r="91" spans="1:13" x14ac:dyDescent="0.25">
      <c r="A91" s="118" t="s">
        <v>1142</v>
      </c>
      <c r="B91" s="104" t="s">
        <v>756</v>
      </c>
      <c r="C91" s="193" t="s">
        <v>1540</v>
      </c>
      <c r="D91" s="104" t="s">
        <v>1694</v>
      </c>
      <c r="E91" s="104" t="s">
        <v>758</v>
      </c>
      <c r="F91" s="193" t="str">
        <f t="shared" si="2"/>
        <v>&lt;Flag9&gt; &lt;/Flag9&gt;</v>
      </c>
      <c r="G91" s="64" t="s">
        <v>2362</v>
      </c>
      <c r="H91" s="62" t="s">
        <v>2363</v>
      </c>
      <c r="I91" s="62" t="s">
        <v>2364</v>
      </c>
      <c r="J91" s="104"/>
      <c r="K91" s="104"/>
      <c r="L91" s="105"/>
      <c r="M91" s="119"/>
    </row>
    <row r="92" spans="1:13" x14ac:dyDescent="0.25">
      <c r="A92" s="118" t="s">
        <v>1144</v>
      </c>
      <c r="B92" s="104" t="s">
        <v>530</v>
      </c>
      <c r="C92" s="104" t="s">
        <v>861</v>
      </c>
      <c r="D92" s="104" t="s">
        <v>1740</v>
      </c>
      <c r="E92" s="104" t="s">
        <v>758</v>
      </c>
      <c r="F92" s="104" t="str">
        <f t="shared" si="2"/>
        <v>&lt;HandicappedStatus&gt; &lt;/HandicappedStatus&gt;</v>
      </c>
      <c r="G92" s="64" t="s">
        <v>514</v>
      </c>
      <c r="H92" s="64" t="s">
        <v>345</v>
      </c>
      <c r="I92" s="64" t="s">
        <v>283</v>
      </c>
      <c r="J92" s="104"/>
      <c r="K92" s="104"/>
      <c r="L92" s="105"/>
      <c r="M92" s="119"/>
    </row>
    <row r="93" spans="1:13" x14ac:dyDescent="0.25">
      <c r="A93" s="118"/>
      <c r="B93" s="104" t="s">
        <v>1094</v>
      </c>
      <c r="C93" s="104" t="s">
        <v>1095</v>
      </c>
      <c r="D93" s="104" t="s">
        <v>1663</v>
      </c>
      <c r="E93" s="104" t="s">
        <v>758</v>
      </c>
      <c r="F93" s="104" t="str">
        <f t="shared" si="2"/>
        <v>&lt;InquiryType&gt; &lt;/InquiryType&gt;</v>
      </c>
      <c r="G93" s="62" t="s">
        <v>1379</v>
      </c>
      <c r="H93" s="62" t="s">
        <v>1381</v>
      </c>
      <c r="I93" s="62" t="s">
        <v>1382</v>
      </c>
      <c r="J93" s="104"/>
      <c r="K93" s="104"/>
      <c r="L93" s="105"/>
      <c r="M93" s="119"/>
    </row>
    <row r="94" spans="1:13" ht="105" x14ac:dyDescent="0.25">
      <c r="A94" s="118" t="s">
        <v>1336</v>
      </c>
      <c r="B94" s="104" t="s">
        <v>1096</v>
      </c>
      <c r="C94" s="104" t="s">
        <v>842</v>
      </c>
      <c r="D94" s="104" t="s">
        <v>1677</v>
      </c>
      <c r="E94" s="104" t="s">
        <v>758</v>
      </c>
      <c r="F94" s="104" t="str">
        <f t="shared" si="2"/>
        <v>&lt;JointOwnerName&gt; &lt;/JointOwnerName&gt;</v>
      </c>
      <c r="G94" s="76" t="s">
        <v>2360</v>
      </c>
      <c r="H94" s="64" t="s">
        <v>966</v>
      </c>
      <c r="I94" s="66" t="s">
        <v>2361</v>
      </c>
      <c r="J94" s="104"/>
      <c r="K94" s="104"/>
      <c r="L94" s="105"/>
      <c r="M94" s="119"/>
    </row>
    <row r="95" spans="1:13" x14ac:dyDescent="0.25">
      <c r="A95" s="118" t="s">
        <v>1140</v>
      </c>
      <c r="B95" s="104" t="s">
        <v>1147</v>
      </c>
      <c r="C95" s="104" t="s">
        <v>1148</v>
      </c>
      <c r="D95" s="104" t="s">
        <v>1753</v>
      </c>
      <c r="E95" s="104" t="s">
        <v>758</v>
      </c>
      <c r="F95" s="104" t="str">
        <f t="shared" si="2"/>
        <v>&lt;LastDuplicateVin&gt; &lt;/LastDuplicateVin&gt;</v>
      </c>
      <c r="G95" s="64" t="s">
        <v>1474</v>
      </c>
      <c r="H95" s="64" t="s">
        <v>1475</v>
      </c>
      <c r="I95" s="64" t="s">
        <v>1476</v>
      </c>
      <c r="J95" s="104"/>
      <c r="K95" s="104"/>
      <c r="L95" s="105"/>
      <c r="M95" s="119"/>
    </row>
    <row r="96" spans="1:13" ht="260.25" customHeight="1" x14ac:dyDescent="0.25">
      <c r="A96" s="118" t="s">
        <v>1579</v>
      </c>
      <c r="B96" s="105" t="s">
        <v>1578</v>
      </c>
      <c r="C96" s="104" t="s">
        <v>1120</v>
      </c>
      <c r="D96" s="104" t="s">
        <v>1692</v>
      </c>
      <c r="E96" s="104" t="s">
        <v>758</v>
      </c>
      <c r="F96" s="104" t="str">
        <f t="shared" si="2"/>
        <v>&lt;PlateNumber&gt; &lt;/PlateNumber&gt;</v>
      </c>
      <c r="G96" s="64" t="s">
        <v>442</v>
      </c>
      <c r="H96" s="64" t="s">
        <v>411</v>
      </c>
      <c r="I96" s="64" t="s">
        <v>236</v>
      </c>
      <c r="J96" s="104"/>
      <c r="K96" s="104"/>
      <c r="L96" s="105"/>
      <c r="M96" s="119"/>
    </row>
    <row r="97" spans="1:13" x14ac:dyDescent="0.25">
      <c r="A97" s="118" t="s">
        <v>1144</v>
      </c>
      <c r="B97" s="104" t="s">
        <v>895</v>
      </c>
      <c r="C97" s="104" t="s">
        <v>845</v>
      </c>
      <c r="D97" s="104" t="s">
        <v>1736</v>
      </c>
      <c r="E97" s="104" t="s">
        <v>758</v>
      </c>
      <c r="F97" s="104" t="str">
        <f t="shared" si="2"/>
        <v>&lt;Street&gt; &lt;/Street&gt;</v>
      </c>
      <c r="G97" s="64" t="s">
        <v>476</v>
      </c>
      <c r="H97" s="64" t="s">
        <v>365</v>
      </c>
      <c r="I97" s="64" t="s">
        <v>246</v>
      </c>
      <c r="J97" s="104"/>
      <c r="K97" s="104"/>
      <c r="L97" s="105"/>
      <c r="M97" s="119"/>
    </row>
    <row r="98" spans="1:13" ht="15" customHeight="1" x14ac:dyDescent="0.25">
      <c r="A98" s="118" t="s">
        <v>1144</v>
      </c>
      <c r="B98" s="104" t="s">
        <v>896</v>
      </c>
      <c r="C98" s="104" t="s">
        <v>40</v>
      </c>
      <c r="D98" s="104" t="s">
        <v>1737</v>
      </c>
      <c r="E98" s="104" t="s">
        <v>758</v>
      </c>
      <c r="F98" s="104" t="str">
        <f t="shared" si="2"/>
        <v>&lt;City&gt; &lt;/City&gt;</v>
      </c>
      <c r="G98" s="64" t="s">
        <v>477</v>
      </c>
      <c r="H98" s="64" t="s">
        <v>367</v>
      </c>
      <c r="I98" s="64" t="s">
        <v>247</v>
      </c>
      <c r="J98" s="104"/>
      <c r="K98" s="104"/>
      <c r="L98" s="105"/>
      <c r="M98" s="119"/>
    </row>
    <row r="99" spans="1:13" x14ac:dyDescent="0.25">
      <c r="A99" s="118" t="s">
        <v>1144</v>
      </c>
      <c r="B99" s="104" t="s">
        <v>897</v>
      </c>
      <c r="C99" s="104" t="s">
        <v>41</v>
      </c>
      <c r="D99" s="104" t="s">
        <v>1738</v>
      </c>
      <c r="E99" s="104" t="s">
        <v>758</v>
      </c>
      <c r="F99" s="104" t="str">
        <f t="shared" ref="F99:F130" si="3">CONCATENATE("&lt;",TRIM(C99),"&gt; &lt;/",TRIM(C99),"&gt;")</f>
        <v>&lt;State&gt; &lt;/State&gt;</v>
      </c>
      <c r="G99" s="64" t="s">
        <v>478</v>
      </c>
      <c r="H99" s="64" t="s">
        <v>368</v>
      </c>
      <c r="I99" s="64" t="s">
        <v>248</v>
      </c>
      <c r="J99" s="104"/>
      <c r="K99" s="104"/>
      <c r="L99" s="105"/>
      <c r="M99" s="119"/>
    </row>
    <row r="100" spans="1:13" x14ac:dyDescent="0.25">
      <c r="A100" s="118" t="s">
        <v>1144</v>
      </c>
      <c r="B100" s="104" t="s">
        <v>906</v>
      </c>
      <c r="C100" s="104" t="s">
        <v>768</v>
      </c>
      <c r="D100" s="104" t="s">
        <v>1739</v>
      </c>
      <c r="E100" s="104" t="s">
        <v>834</v>
      </c>
      <c r="F100" s="104" t="str">
        <f t="shared" si="3"/>
        <v>&lt;zip&gt; &lt;/zip&gt;</v>
      </c>
      <c r="G100" s="64" t="s">
        <v>479</v>
      </c>
      <c r="H100" s="64" t="s">
        <v>366</v>
      </c>
      <c r="I100" s="64" t="s">
        <v>249</v>
      </c>
      <c r="J100" s="104"/>
      <c r="K100" s="104"/>
      <c r="L100" s="105"/>
      <c r="M100" s="119"/>
    </row>
    <row r="101" spans="1:13" ht="30" x14ac:dyDescent="0.25">
      <c r="A101" s="118" t="s">
        <v>1144</v>
      </c>
      <c r="B101" s="104" t="s">
        <v>133</v>
      </c>
      <c r="C101" s="104" t="s">
        <v>850</v>
      </c>
      <c r="D101" s="104" t="s">
        <v>1773</v>
      </c>
      <c r="E101" s="104" t="s">
        <v>758</v>
      </c>
      <c r="F101" s="104" t="str">
        <f t="shared" si="3"/>
        <v>&lt;LienHolderName&gt; &lt;/LienHolderName&gt;</v>
      </c>
      <c r="G101" s="64" t="s">
        <v>475</v>
      </c>
      <c r="H101" s="64" t="s">
        <v>371</v>
      </c>
      <c r="I101" s="105" t="s">
        <v>245</v>
      </c>
      <c r="J101" s="104"/>
      <c r="K101" s="104"/>
      <c r="L101" s="105"/>
      <c r="M101" s="119"/>
    </row>
    <row r="102" spans="1:13" x14ac:dyDescent="0.25">
      <c r="A102" s="118" t="s">
        <v>1336</v>
      </c>
      <c r="B102" s="104" t="s">
        <v>563</v>
      </c>
      <c r="C102" s="104" t="s">
        <v>866</v>
      </c>
      <c r="D102" s="104" t="s">
        <v>1678</v>
      </c>
      <c r="E102" s="104" t="s">
        <v>1585</v>
      </c>
      <c r="F102" s="104" t="str">
        <f t="shared" si="3"/>
        <v>&lt;MicroFilmNo&gt; &lt;/MicroFilmNo&gt;</v>
      </c>
      <c r="G102" s="64" t="s">
        <v>2255</v>
      </c>
      <c r="H102" s="64" t="s">
        <v>1205</v>
      </c>
      <c r="I102" s="64" t="s">
        <v>1206</v>
      </c>
      <c r="J102" s="104"/>
      <c r="K102" s="104"/>
      <c r="L102" s="105"/>
      <c r="M102" s="119"/>
    </row>
    <row r="103" spans="1:13" x14ac:dyDescent="0.25">
      <c r="A103" s="118" t="s">
        <v>1336</v>
      </c>
      <c r="B103" s="104" t="s">
        <v>113</v>
      </c>
      <c r="C103" s="104" t="s">
        <v>19</v>
      </c>
      <c r="D103" s="104" t="s">
        <v>1685</v>
      </c>
      <c r="E103" s="104" t="s">
        <v>758</v>
      </c>
      <c r="F103" s="104" t="str">
        <f t="shared" si="3"/>
        <v>&lt;Make&gt; &lt;/Make&gt;</v>
      </c>
      <c r="G103" s="64" t="s">
        <v>404</v>
      </c>
      <c r="H103" s="64" t="s">
        <v>339</v>
      </c>
      <c r="I103" s="64" t="s">
        <v>229</v>
      </c>
      <c r="J103" s="104"/>
      <c r="K103" s="104"/>
      <c r="L103" s="105"/>
      <c r="M103" s="119"/>
    </row>
    <row r="104" spans="1:13" ht="30" x14ac:dyDescent="0.25">
      <c r="A104" s="118" t="s">
        <v>1336</v>
      </c>
      <c r="B104" s="104" t="s">
        <v>122</v>
      </c>
      <c r="C104" s="104" t="s">
        <v>830</v>
      </c>
      <c r="D104" s="104" t="s">
        <v>1686</v>
      </c>
      <c r="E104" s="104" t="s">
        <v>758</v>
      </c>
      <c r="F104" s="104" t="str">
        <f t="shared" si="3"/>
        <v>&lt;ModelOrWeight&gt; &lt;/ModelOrWeight&gt;</v>
      </c>
      <c r="G104" s="64" t="s">
        <v>960</v>
      </c>
      <c r="H104" s="64" t="s">
        <v>961</v>
      </c>
      <c r="I104" s="64" t="s">
        <v>962</v>
      </c>
      <c r="J104" s="104"/>
      <c r="K104" s="104"/>
      <c r="L104" s="105"/>
      <c r="M104" s="119"/>
    </row>
    <row r="105" spans="1:13" x14ac:dyDescent="0.25">
      <c r="A105" s="118" t="s">
        <v>1144</v>
      </c>
      <c r="B105" s="104" t="s">
        <v>134</v>
      </c>
      <c r="C105" s="104" t="s">
        <v>857</v>
      </c>
      <c r="D105" s="104" t="s">
        <v>1741</v>
      </c>
      <c r="E105" s="104" t="s">
        <v>758</v>
      </c>
      <c r="F105" s="104" t="str">
        <f t="shared" si="3"/>
        <v>&lt;NewOrUsed&gt; &lt;/NewOrUsed&gt;</v>
      </c>
      <c r="G105" s="64" t="s">
        <v>434</v>
      </c>
      <c r="H105" s="64" t="s">
        <v>333</v>
      </c>
      <c r="I105" s="64" t="s">
        <v>289</v>
      </c>
      <c r="J105" s="104"/>
      <c r="K105" s="104"/>
      <c r="L105" s="105"/>
      <c r="M105" s="119"/>
    </row>
    <row r="106" spans="1:13" x14ac:dyDescent="0.25">
      <c r="A106" s="118" t="s">
        <v>1144</v>
      </c>
      <c r="B106" s="104" t="s">
        <v>121</v>
      </c>
      <c r="C106" s="104" t="s">
        <v>829</v>
      </c>
      <c r="D106" s="104" t="s">
        <v>1726</v>
      </c>
      <c r="E106" s="104" t="s">
        <v>1585</v>
      </c>
      <c r="F106" s="104" t="str">
        <f t="shared" si="3"/>
        <v>&lt;OdometerReading&gt; &lt;/OdometerReading&gt;</v>
      </c>
      <c r="G106" s="64" t="s">
        <v>409</v>
      </c>
      <c r="H106" s="64" t="s">
        <v>342</v>
      </c>
      <c r="I106" s="64" t="s">
        <v>233</v>
      </c>
      <c r="J106" s="104"/>
      <c r="K106" s="104"/>
      <c r="L106" s="105"/>
      <c r="M106" s="119"/>
    </row>
    <row r="107" spans="1:13" ht="30" x14ac:dyDescent="0.25">
      <c r="A107" s="118" t="s">
        <v>1416</v>
      </c>
      <c r="B107" s="105" t="s">
        <v>1417</v>
      </c>
      <c r="C107" s="104" t="s">
        <v>900</v>
      </c>
      <c r="D107" s="104" t="s">
        <v>1756</v>
      </c>
      <c r="E107" s="104" t="s">
        <v>758</v>
      </c>
      <c r="F107" s="104" t="str">
        <f t="shared" si="3"/>
        <v>&lt;OfficeCode&gt; &lt;/OfficeCode&gt;</v>
      </c>
      <c r="G107" s="42" t="s">
        <v>1543</v>
      </c>
      <c r="H107" s="42" t="s">
        <v>1544</v>
      </c>
      <c r="I107" s="42" t="s">
        <v>1545</v>
      </c>
      <c r="J107" s="104"/>
      <c r="K107" s="104"/>
      <c r="L107" s="105"/>
      <c r="M107" s="119"/>
    </row>
    <row r="108" spans="1:13" ht="45" x14ac:dyDescent="0.25">
      <c r="A108" s="118" t="s">
        <v>1336</v>
      </c>
      <c r="B108" s="105" t="s">
        <v>1156</v>
      </c>
      <c r="C108" s="104" t="s">
        <v>833</v>
      </c>
      <c r="D108" s="104" t="s">
        <v>1675</v>
      </c>
      <c r="E108" s="104" t="s">
        <v>834</v>
      </c>
      <c r="F108" s="104" t="str">
        <f t="shared" si="3"/>
        <v>&lt;OwnerType&gt; &lt;/OwnerType&gt;</v>
      </c>
      <c r="G108" s="64" t="s">
        <v>419</v>
      </c>
      <c r="H108" s="64" t="s">
        <v>155</v>
      </c>
      <c r="I108" s="64" t="s">
        <v>418</v>
      </c>
      <c r="J108" s="104"/>
      <c r="K108" s="104"/>
      <c r="L108" s="105"/>
      <c r="M108" s="119"/>
    </row>
    <row r="109" spans="1:13" ht="120" x14ac:dyDescent="0.25">
      <c r="A109" s="118" t="s">
        <v>1336</v>
      </c>
      <c r="B109" s="105" t="s">
        <v>1157</v>
      </c>
      <c r="C109" s="104" t="s">
        <v>843</v>
      </c>
      <c r="D109" s="104" t="s">
        <v>1676</v>
      </c>
      <c r="E109" s="104" t="s">
        <v>758</v>
      </c>
      <c r="F109" s="104" t="str">
        <f t="shared" si="3"/>
        <v>&lt;OwnerName&gt; &lt;/OwnerName&gt;</v>
      </c>
      <c r="G109" s="64" t="s">
        <v>1484</v>
      </c>
      <c r="H109" s="64" t="s">
        <v>966</v>
      </c>
      <c r="I109" s="64" t="s">
        <v>967</v>
      </c>
      <c r="J109" s="104"/>
      <c r="K109" s="104"/>
      <c r="L109" s="105"/>
      <c r="M109" s="119"/>
    </row>
    <row r="110" spans="1:13" x14ac:dyDescent="0.25">
      <c r="A110" s="118" t="s">
        <v>1144</v>
      </c>
      <c r="B110" s="104" t="s">
        <v>538</v>
      </c>
      <c r="C110" s="104" t="s">
        <v>859</v>
      </c>
      <c r="D110" s="104" t="s">
        <v>1743</v>
      </c>
      <c r="E110" s="104" t="s">
        <v>758</v>
      </c>
      <c r="F110" s="104" t="str">
        <f t="shared" si="3"/>
        <v>&lt;PreviousLicensePlate&gt; &lt;/PreviousLicensePlate&gt;</v>
      </c>
      <c r="G110" s="64" t="s">
        <v>444</v>
      </c>
      <c r="H110" s="64" t="s">
        <v>411</v>
      </c>
      <c r="I110" s="64" t="s">
        <v>261</v>
      </c>
      <c r="J110" s="104"/>
      <c r="K110" s="104"/>
      <c r="L110" s="105"/>
      <c r="M110" s="119"/>
    </row>
    <row r="111" spans="1:13" x14ac:dyDescent="0.25">
      <c r="A111" s="118" t="s">
        <v>1144</v>
      </c>
      <c r="B111" s="104" t="s">
        <v>137</v>
      </c>
      <c r="C111" s="104" t="s">
        <v>1777</v>
      </c>
      <c r="D111" s="104" t="s">
        <v>1775</v>
      </c>
      <c r="E111" s="104" t="s">
        <v>758</v>
      </c>
      <c r="F111" s="104" t="str">
        <f t="shared" si="3"/>
        <v>&lt;PrevTitleState&gt; &lt;/PrevTitleState&gt;</v>
      </c>
      <c r="G111" s="64" t="s">
        <v>489</v>
      </c>
      <c r="H111" s="64" t="s">
        <v>360</v>
      </c>
      <c r="I111" s="64" t="s">
        <v>257</v>
      </c>
      <c r="J111" s="104"/>
      <c r="K111" s="104"/>
      <c r="L111" s="105"/>
      <c r="M111" s="119"/>
    </row>
    <row r="112" spans="1:13" x14ac:dyDescent="0.25">
      <c r="A112" s="118" t="s">
        <v>1144</v>
      </c>
      <c r="B112" s="104" t="s">
        <v>136</v>
      </c>
      <c r="C112" s="104" t="s">
        <v>1776</v>
      </c>
      <c r="D112" s="104" t="s">
        <v>1774</v>
      </c>
      <c r="E112" s="104" t="s">
        <v>758</v>
      </c>
      <c r="F112" s="104" t="str">
        <f t="shared" si="3"/>
        <v>&lt;PrevTitleNumber&gt; &lt;/PrevTitleNumber&gt;</v>
      </c>
      <c r="G112" s="64" t="s">
        <v>488</v>
      </c>
      <c r="H112" s="64" t="s">
        <v>359</v>
      </c>
      <c r="I112" s="64" t="s">
        <v>256</v>
      </c>
      <c r="J112" s="104"/>
      <c r="K112" s="104"/>
      <c r="L112" s="105"/>
      <c r="M112" s="119"/>
    </row>
    <row r="113" spans="1:13" ht="45" x14ac:dyDescent="0.25">
      <c r="A113" s="118" t="s">
        <v>1144</v>
      </c>
      <c r="B113" s="104" t="s">
        <v>892</v>
      </c>
      <c r="C113" s="104" t="s">
        <v>40</v>
      </c>
      <c r="D113" s="104" t="s">
        <v>1731</v>
      </c>
      <c r="E113" s="104" t="s">
        <v>758</v>
      </c>
      <c r="F113" s="104" t="str">
        <f t="shared" si="3"/>
        <v>&lt;City&gt; &lt;/City&gt;</v>
      </c>
      <c r="G113" s="64" t="s">
        <v>1512</v>
      </c>
      <c r="H113" s="68" t="s">
        <v>367</v>
      </c>
      <c r="I113" s="69" t="s">
        <v>1513</v>
      </c>
      <c r="J113" s="104"/>
      <c r="K113" s="104"/>
      <c r="L113" s="105"/>
      <c r="M113" s="119"/>
    </row>
    <row r="114" spans="1:13" ht="45" x14ac:dyDescent="0.25">
      <c r="A114" s="118" t="s">
        <v>1144</v>
      </c>
      <c r="B114" s="104" t="s">
        <v>893</v>
      </c>
      <c r="C114" s="104" t="s">
        <v>41</v>
      </c>
      <c r="D114" s="104" t="s">
        <v>1732</v>
      </c>
      <c r="E114" s="104" t="s">
        <v>758</v>
      </c>
      <c r="F114" s="104" t="str">
        <f t="shared" si="3"/>
        <v>&lt;State&gt; &lt;/State&gt;</v>
      </c>
      <c r="G114" s="64" t="s">
        <v>1514</v>
      </c>
      <c r="H114" s="68" t="s">
        <v>368</v>
      </c>
      <c r="I114" s="69" t="s">
        <v>1515</v>
      </c>
      <c r="J114" s="104"/>
      <c r="K114" s="104"/>
      <c r="L114" s="105"/>
      <c r="M114" s="119"/>
    </row>
    <row r="115" spans="1:13" ht="60" x14ac:dyDescent="0.25">
      <c r="A115" s="118" t="s">
        <v>1144</v>
      </c>
      <c r="B115" s="104" t="s">
        <v>894</v>
      </c>
      <c r="C115" s="104" t="s">
        <v>768</v>
      </c>
      <c r="D115" s="104" t="s">
        <v>1733</v>
      </c>
      <c r="E115" s="104" t="s">
        <v>834</v>
      </c>
      <c r="F115" s="104" t="str">
        <f t="shared" si="3"/>
        <v>&lt;zip&gt; &lt;/zip&gt;</v>
      </c>
      <c r="G115" s="64" t="s">
        <v>1516</v>
      </c>
      <c r="H115" s="68" t="s">
        <v>366</v>
      </c>
      <c r="I115" s="69" t="s">
        <v>1517</v>
      </c>
      <c r="J115" s="104"/>
      <c r="K115" s="104"/>
      <c r="L115" s="105"/>
      <c r="M115" s="119"/>
    </row>
    <row r="116" spans="1:13" x14ac:dyDescent="0.25">
      <c r="A116" s="118" t="s">
        <v>1144</v>
      </c>
      <c r="B116" s="104" t="s">
        <v>743</v>
      </c>
      <c r="C116" s="104" t="s">
        <v>1576</v>
      </c>
      <c r="D116" s="104" t="s">
        <v>1722</v>
      </c>
      <c r="E116" s="104" t="s">
        <v>1585</v>
      </c>
      <c r="F116" s="104" t="str">
        <f t="shared" si="3"/>
        <v>&lt;SeqNumber&gt; &lt;/SeqNumber&gt;</v>
      </c>
      <c r="G116" s="62" t="s">
        <v>1345</v>
      </c>
      <c r="H116" s="62" t="s">
        <v>1346</v>
      </c>
      <c r="I116" s="62" t="s">
        <v>1347</v>
      </c>
      <c r="J116" s="104"/>
      <c r="K116" s="104"/>
      <c r="L116" s="105"/>
      <c r="M116" s="119"/>
    </row>
    <row r="117" spans="1:13" x14ac:dyDescent="0.25">
      <c r="A117" s="118" t="s">
        <v>1144</v>
      </c>
      <c r="B117" s="104" t="s">
        <v>613</v>
      </c>
      <c r="C117" s="104" t="s">
        <v>612</v>
      </c>
      <c r="D117" s="104" t="s">
        <v>1750</v>
      </c>
      <c r="E117" s="104" t="s">
        <v>868</v>
      </c>
      <c r="F117" s="104" t="str">
        <f t="shared" si="3"/>
        <v>&lt;specialFees&gt; &lt;/specialFees&gt;</v>
      </c>
      <c r="G117" s="42" t="s">
        <v>2268</v>
      </c>
      <c r="H117" s="62" t="s">
        <v>2269</v>
      </c>
      <c r="I117" s="42" t="s">
        <v>2267</v>
      </c>
      <c r="J117" s="104"/>
      <c r="K117" s="104"/>
      <c r="L117" s="105"/>
      <c r="M117" s="119"/>
    </row>
    <row r="118" spans="1:13" ht="13.5" customHeight="1" x14ac:dyDescent="0.25">
      <c r="A118" s="118" t="s">
        <v>1144</v>
      </c>
      <c r="B118" s="104" t="s">
        <v>644</v>
      </c>
      <c r="C118" s="104" t="s">
        <v>880</v>
      </c>
      <c r="D118" s="104" t="s">
        <v>1723</v>
      </c>
      <c r="E118" s="104" t="s">
        <v>758</v>
      </c>
      <c r="F118" s="104" t="str">
        <f t="shared" si="3"/>
        <v>&lt;StopNo&gt; &lt;/StopNo&gt;</v>
      </c>
      <c r="G118" s="62" t="s">
        <v>1420</v>
      </c>
      <c r="H118" s="62" t="s">
        <v>1421</v>
      </c>
      <c r="I118" s="62" t="s">
        <v>1422</v>
      </c>
      <c r="J118" s="104"/>
      <c r="K118" s="104"/>
      <c r="L118" s="105"/>
      <c r="M118" s="119"/>
    </row>
    <row r="119" spans="1:13" ht="13.5" customHeight="1" x14ac:dyDescent="0.25">
      <c r="A119" s="118" t="s">
        <v>1144</v>
      </c>
      <c r="B119" s="104" t="s">
        <v>210</v>
      </c>
      <c r="C119" s="104" t="s">
        <v>867</v>
      </c>
      <c r="D119" s="104" t="s">
        <v>1745</v>
      </c>
      <c r="E119" s="104" t="s">
        <v>868</v>
      </c>
      <c r="F119" s="104" t="str">
        <f t="shared" si="3"/>
        <v>&lt;SalePrice&gt; &lt;/SalePrice&gt;</v>
      </c>
      <c r="G119" s="64" t="s">
        <v>490</v>
      </c>
      <c r="H119" s="64" t="s">
        <v>351</v>
      </c>
      <c r="I119" s="64" t="s">
        <v>258</v>
      </c>
      <c r="J119" s="104"/>
      <c r="K119" s="104"/>
      <c r="L119" s="105"/>
      <c r="M119" s="119"/>
    </row>
    <row r="120" spans="1:13" ht="27" customHeight="1" x14ac:dyDescent="0.25">
      <c r="A120" s="118" t="s">
        <v>1144</v>
      </c>
      <c r="B120" s="104" t="s">
        <v>651</v>
      </c>
      <c r="C120" s="104" t="s">
        <v>1580</v>
      </c>
      <c r="D120" s="104" t="s">
        <v>1729</v>
      </c>
      <c r="E120" s="104" t="s">
        <v>758</v>
      </c>
      <c r="F120" s="104" t="str">
        <f t="shared" si="3"/>
        <v>&lt;Sticker&gt; &lt;/Sticker&gt;</v>
      </c>
      <c r="G120" s="64" t="s">
        <v>988</v>
      </c>
      <c r="H120" s="64" t="s">
        <v>411</v>
      </c>
      <c r="I120" s="64" t="s">
        <v>376</v>
      </c>
      <c r="J120" s="104"/>
      <c r="K120" s="104"/>
      <c r="L120" s="105"/>
      <c r="M120" s="119"/>
    </row>
    <row r="121" spans="1:13" ht="28.5" customHeight="1" x14ac:dyDescent="0.25">
      <c r="A121" s="118" t="s">
        <v>1144</v>
      </c>
      <c r="B121" s="104" t="s">
        <v>1133</v>
      </c>
      <c r="C121" s="104" t="s">
        <v>863</v>
      </c>
      <c r="D121" s="104" t="s">
        <v>1747</v>
      </c>
      <c r="E121" s="104" t="s">
        <v>763</v>
      </c>
      <c r="F121" s="104" t="str">
        <f t="shared" si="3"/>
        <v>&lt;PrevTitleTransDate&gt; &lt;/PrevTitleTransDate&gt;</v>
      </c>
      <c r="G121" s="71" t="s">
        <v>1864</v>
      </c>
      <c r="H121" s="71" t="s">
        <v>1865</v>
      </c>
      <c r="I121" s="71" t="s">
        <v>1866</v>
      </c>
      <c r="J121" s="104"/>
      <c r="K121" s="104"/>
      <c r="L121" s="105"/>
      <c r="M121" s="119"/>
    </row>
    <row r="122" spans="1:13" x14ac:dyDescent="0.25">
      <c r="A122" s="118" t="s">
        <v>1144</v>
      </c>
      <c r="B122" s="104" t="s">
        <v>1134</v>
      </c>
      <c r="C122" s="104" t="s">
        <v>865</v>
      </c>
      <c r="D122" s="104" t="s">
        <v>1749</v>
      </c>
      <c r="E122" s="104" t="s">
        <v>763</v>
      </c>
      <c r="F122" s="104" t="str">
        <f t="shared" si="3"/>
        <v>&lt;PrevNonTitleTransDate&gt; &lt;/PrevNonTitleTransDate&gt;</v>
      </c>
      <c r="G122" s="71" t="s">
        <v>1870</v>
      </c>
      <c r="H122" s="71" t="s">
        <v>1871</v>
      </c>
      <c r="I122" s="71" t="s">
        <v>1872</v>
      </c>
      <c r="J122" s="104"/>
      <c r="K122" s="104"/>
      <c r="L122" s="105"/>
      <c r="M122" s="119"/>
    </row>
    <row r="123" spans="1:13" x14ac:dyDescent="0.25">
      <c r="A123" s="118" t="s">
        <v>1144</v>
      </c>
      <c r="B123" s="104" t="s">
        <v>646</v>
      </c>
      <c r="C123" s="104" t="s">
        <v>1577</v>
      </c>
      <c r="D123" s="104" t="s">
        <v>1724</v>
      </c>
      <c r="E123" s="104" t="s">
        <v>758</v>
      </c>
      <c r="F123" s="104" t="str">
        <f t="shared" si="3"/>
        <v>&lt;TitleNumber&gt; &lt;/TitleNumber&gt;</v>
      </c>
      <c r="G123" s="64" t="s">
        <v>970</v>
      </c>
      <c r="H123" s="64" t="s">
        <v>969</v>
      </c>
      <c r="I123" s="64" t="s">
        <v>968</v>
      </c>
      <c r="J123" s="104"/>
      <c r="K123" s="104"/>
      <c r="L123" s="105"/>
      <c r="M123" s="119"/>
    </row>
    <row r="124" spans="1:13" x14ac:dyDescent="0.25">
      <c r="A124" s="118" t="s">
        <v>1144</v>
      </c>
      <c r="B124" s="104" t="s">
        <v>551</v>
      </c>
      <c r="C124" s="104" t="s">
        <v>862</v>
      </c>
      <c r="D124" s="104" t="s">
        <v>1746</v>
      </c>
      <c r="E124" s="104" t="s">
        <v>758</v>
      </c>
      <c r="F124" s="104" t="str">
        <f t="shared" si="3"/>
        <v>&lt;PrevTitleTransTypeCode&gt; &lt;/PrevTitleTransTypeCode&gt;</v>
      </c>
      <c r="G124" s="71" t="s">
        <v>1861</v>
      </c>
      <c r="H124" s="71" t="s">
        <v>1862</v>
      </c>
      <c r="I124" s="71" t="s">
        <v>1863</v>
      </c>
      <c r="J124" s="104"/>
      <c r="K124" s="104"/>
      <c r="L124" s="105"/>
      <c r="M124" s="119"/>
    </row>
    <row r="125" spans="1:13" x14ac:dyDescent="0.25">
      <c r="A125" s="118" t="s">
        <v>1144</v>
      </c>
      <c r="B125" s="104" t="s">
        <v>556</v>
      </c>
      <c r="C125" s="104" t="s">
        <v>864</v>
      </c>
      <c r="D125" s="104" t="s">
        <v>1748</v>
      </c>
      <c r="E125" s="104" t="s">
        <v>758</v>
      </c>
      <c r="F125" s="104" t="str">
        <f t="shared" si="3"/>
        <v>&lt;PrevNonTitleTransTypeCode&gt; &lt;/PrevNonTitleTransTypeCode&gt;</v>
      </c>
      <c r="G125" s="71" t="s">
        <v>1867</v>
      </c>
      <c r="H125" s="71" t="s">
        <v>1868</v>
      </c>
      <c r="I125" s="71" t="s">
        <v>1869</v>
      </c>
      <c r="J125" s="104"/>
      <c r="K125" s="104"/>
      <c r="L125" s="105"/>
      <c r="M125" s="119"/>
    </row>
    <row r="126" spans="1:13" x14ac:dyDescent="0.25">
      <c r="A126" s="118" t="s">
        <v>1143</v>
      </c>
      <c r="B126" s="104" t="s">
        <v>17</v>
      </c>
      <c r="C126" s="104" t="s">
        <v>814</v>
      </c>
      <c r="D126" s="104" t="s">
        <v>1684</v>
      </c>
      <c r="E126" s="104" t="s">
        <v>758</v>
      </c>
      <c r="F126" s="104" t="str">
        <f t="shared" si="3"/>
        <v>&lt;Vin&gt; &lt;/Vin&gt;</v>
      </c>
      <c r="G126" s="64" t="s">
        <v>403</v>
      </c>
      <c r="H126" s="64" t="s">
        <v>338</v>
      </c>
      <c r="I126" s="64" t="s">
        <v>228</v>
      </c>
      <c r="J126" s="104"/>
      <c r="K126" s="104"/>
      <c r="L126" s="105"/>
      <c r="M126" s="119"/>
    </row>
    <row r="127" spans="1:13" x14ac:dyDescent="0.25">
      <c r="A127" s="118" t="s">
        <v>1336</v>
      </c>
      <c r="B127" s="104" t="s">
        <v>120</v>
      </c>
      <c r="C127" s="104" t="s">
        <v>1586</v>
      </c>
      <c r="D127" s="104" t="s">
        <v>1688</v>
      </c>
      <c r="E127" s="104" t="s">
        <v>834</v>
      </c>
      <c r="F127" s="104" t="str">
        <f t="shared" si="3"/>
        <v>&lt;modelYear&gt; &lt;/modelYear&gt;</v>
      </c>
      <c r="G127" s="64" t="s">
        <v>408</v>
      </c>
      <c r="H127" s="64" t="s">
        <v>341</v>
      </c>
      <c r="I127" s="64" t="s">
        <v>232</v>
      </c>
      <c r="J127" s="104"/>
      <c r="K127" s="104"/>
      <c r="L127" s="105"/>
      <c r="M127" s="119"/>
    </row>
    <row r="128" spans="1:13" x14ac:dyDescent="0.25">
      <c r="A128" s="118" t="s">
        <v>1336</v>
      </c>
      <c r="B128" s="104" t="s">
        <v>126</v>
      </c>
      <c r="C128" s="104" t="s">
        <v>768</v>
      </c>
      <c r="D128" s="104" t="s">
        <v>1682</v>
      </c>
      <c r="E128" s="104" t="s">
        <v>834</v>
      </c>
      <c r="F128" s="104" t="str">
        <f t="shared" si="3"/>
        <v>&lt;zip&gt; &lt;/zip&gt;</v>
      </c>
      <c r="G128" s="64" t="s">
        <v>451</v>
      </c>
      <c r="H128" s="64" t="s">
        <v>366</v>
      </c>
      <c r="I128" s="64" t="s">
        <v>240</v>
      </c>
      <c r="J128" s="104"/>
      <c r="K128" s="104"/>
      <c r="L128" s="105"/>
      <c r="M128" s="119"/>
    </row>
    <row r="129" spans="1:13" x14ac:dyDescent="0.25">
      <c r="A129" s="118" t="s">
        <v>1149</v>
      </c>
      <c r="B129" s="104" t="s">
        <v>1150</v>
      </c>
      <c r="C129" s="104" t="s">
        <v>1151</v>
      </c>
      <c r="D129" s="104"/>
      <c r="E129" s="104" t="s">
        <v>758</v>
      </c>
      <c r="F129" s="104" t="str">
        <f t="shared" si="3"/>
        <v>&lt;DealerLicenseNumber&gt; &lt;/DealerLicenseNumber&gt;</v>
      </c>
      <c r="G129" s="195" t="s">
        <v>1589</v>
      </c>
      <c r="H129" s="195" t="s">
        <v>1590</v>
      </c>
      <c r="I129" s="195" t="s">
        <v>1591</v>
      </c>
      <c r="J129" s="104"/>
      <c r="K129" s="104"/>
      <c r="L129" s="105"/>
      <c r="M129" s="119"/>
    </row>
    <row r="130" spans="1:13" x14ac:dyDescent="0.25">
      <c r="A130" s="118" t="s">
        <v>1149</v>
      </c>
      <c r="B130" s="104" t="s">
        <v>1152</v>
      </c>
      <c r="C130" s="104" t="s">
        <v>1153</v>
      </c>
      <c r="D130" s="104"/>
      <c r="E130" s="104" t="s">
        <v>758</v>
      </c>
      <c r="F130" s="104" t="str">
        <f t="shared" si="3"/>
        <v>&lt;DealerShipName&gt; &lt;/DealerShipName&gt;</v>
      </c>
      <c r="G130" s="195" t="s">
        <v>1592</v>
      </c>
      <c r="H130" s="195" t="s">
        <v>1593</v>
      </c>
      <c r="I130" s="195" t="s">
        <v>1594</v>
      </c>
      <c r="J130" s="104"/>
      <c r="K130" s="104"/>
      <c r="L130" s="105"/>
      <c r="M130" s="119"/>
    </row>
    <row r="131" spans="1:13" x14ac:dyDescent="0.25">
      <c r="A131" s="118" t="s">
        <v>1149</v>
      </c>
      <c r="B131" s="104" t="s">
        <v>1154</v>
      </c>
      <c r="C131" s="104" t="s">
        <v>1155</v>
      </c>
      <c r="D131" s="104"/>
      <c r="E131" s="104" t="s">
        <v>834</v>
      </c>
      <c r="F131" s="104" t="str">
        <f t="shared" ref="F131:F143" si="4">CONCATENATE("&lt;",TRIM(C131),"&gt; &lt;/",TRIM(C131),"&gt;")</f>
        <v>&lt;PhoneNumber&gt; &lt;/PhoneNumber&gt;</v>
      </c>
      <c r="G131" s="195" t="s">
        <v>1595</v>
      </c>
      <c r="H131" s="195" t="s">
        <v>1596</v>
      </c>
      <c r="I131" s="195" t="s">
        <v>1597</v>
      </c>
      <c r="J131" s="104"/>
      <c r="K131" s="104"/>
      <c r="L131" s="105"/>
      <c r="M131" s="119"/>
    </row>
    <row r="132" spans="1:13" x14ac:dyDescent="0.25">
      <c r="A132" s="118" t="s">
        <v>1149</v>
      </c>
      <c r="B132" s="104" t="s">
        <v>1164</v>
      </c>
      <c r="C132" s="104" t="s">
        <v>1165</v>
      </c>
      <c r="D132" s="104"/>
      <c r="E132" s="104" t="s">
        <v>1075</v>
      </c>
      <c r="F132" s="104" t="str">
        <f t="shared" si="4"/>
        <v>&lt;TypeOfBusiness&gt; &lt;/TypeOfBusiness&gt;</v>
      </c>
      <c r="G132" s="64"/>
      <c r="H132" s="64"/>
      <c r="I132" s="64"/>
      <c r="J132" s="104"/>
      <c r="K132" s="104"/>
      <c r="L132" s="105"/>
      <c r="M132" s="119"/>
    </row>
    <row r="133" spans="1:13" x14ac:dyDescent="0.25">
      <c r="A133" s="118" t="s">
        <v>1149</v>
      </c>
      <c r="B133" s="104" t="s">
        <v>1166</v>
      </c>
      <c r="C133" s="104" t="s">
        <v>1167</v>
      </c>
      <c r="D133" s="104"/>
      <c r="E133" s="104" t="s">
        <v>1168</v>
      </c>
      <c r="F133" s="104" t="str">
        <f t="shared" si="4"/>
        <v>&lt;TypeOfBusinessSelection&gt; &lt;/TypeOfBusinessSelection&gt;</v>
      </c>
      <c r="G133" s="64"/>
      <c r="H133" s="64"/>
      <c r="I133" s="64"/>
      <c r="J133" s="104"/>
      <c r="K133" s="104"/>
      <c r="L133" s="105"/>
      <c r="M133" s="119"/>
    </row>
    <row r="134" spans="1:13" ht="30" x14ac:dyDescent="0.25">
      <c r="A134" s="118" t="s">
        <v>1207</v>
      </c>
      <c r="B134" s="104" t="s">
        <v>1208</v>
      </c>
      <c r="C134" s="104" t="s">
        <v>1209</v>
      </c>
      <c r="D134" s="104"/>
      <c r="E134" s="104" t="s">
        <v>758</v>
      </c>
      <c r="F134" s="104" t="str">
        <f t="shared" si="4"/>
        <v>&lt;SecondLienHolderName&gt; &lt;/SecondLienHolderName&gt;</v>
      </c>
      <c r="G134" s="64" t="s">
        <v>480</v>
      </c>
      <c r="H134" s="62" t="s">
        <v>371</v>
      </c>
      <c r="I134" s="64" t="s">
        <v>373</v>
      </c>
      <c r="J134" s="104"/>
      <c r="K134" s="104"/>
      <c r="L134" s="105"/>
      <c r="M134" s="119"/>
    </row>
    <row r="135" spans="1:13" x14ac:dyDescent="0.25">
      <c r="A135" s="118" t="s">
        <v>1207</v>
      </c>
      <c r="B135" s="104" t="s">
        <v>1210</v>
      </c>
      <c r="C135" s="104" t="s">
        <v>1211</v>
      </c>
      <c r="D135" s="104"/>
      <c r="E135" s="104" t="s">
        <v>868</v>
      </c>
      <c r="F135" s="104" t="str">
        <f t="shared" si="4"/>
        <v>&lt;SecondLienAmount&gt; &lt;/SecondLienAmount&gt;</v>
      </c>
      <c r="G135" s="64" t="s">
        <v>1348</v>
      </c>
      <c r="H135" s="64" t="s">
        <v>971</v>
      </c>
      <c r="I135" s="64" t="s">
        <v>1349</v>
      </c>
      <c r="J135" s="104"/>
      <c r="K135" s="104"/>
      <c r="L135" s="105"/>
      <c r="M135" s="119"/>
    </row>
    <row r="136" spans="1:13" x14ac:dyDescent="0.25">
      <c r="A136" s="118" t="s">
        <v>1207</v>
      </c>
      <c r="B136" s="104" t="s">
        <v>1212</v>
      </c>
      <c r="C136" s="104" t="s">
        <v>1213</v>
      </c>
      <c r="D136" s="104"/>
      <c r="E136" s="104" t="s">
        <v>763</v>
      </c>
      <c r="F136" s="104" t="str">
        <f t="shared" si="4"/>
        <v>&lt;SecondLienDate&gt; &lt;/SecondLienDate&gt;</v>
      </c>
      <c r="G136" s="64" t="s">
        <v>1350</v>
      </c>
      <c r="H136" s="62" t="s">
        <v>975</v>
      </c>
      <c r="I136" s="64" t="s">
        <v>1351</v>
      </c>
      <c r="J136" s="104"/>
      <c r="K136" s="104"/>
      <c r="L136" s="105"/>
      <c r="M136" s="119"/>
    </row>
    <row r="137" spans="1:13" x14ac:dyDescent="0.25">
      <c r="A137" s="118" t="s">
        <v>1207</v>
      </c>
      <c r="B137" s="104" t="s">
        <v>1214</v>
      </c>
      <c r="C137" s="104" t="s">
        <v>1215</v>
      </c>
      <c r="D137" s="104"/>
      <c r="E137" s="104" t="s">
        <v>758</v>
      </c>
      <c r="F137" s="104" t="str">
        <f t="shared" si="4"/>
        <v>&lt;SecondLienStreet&gt; &lt;/SecondLienStreet&gt;</v>
      </c>
      <c r="G137" s="64" t="s">
        <v>481</v>
      </c>
      <c r="H137" s="64" t="s">
        <v>365</v>
      </c>
      <c r="I137" s="64" t="s">
        <v>250</v>
      </c>
      <c r="J137" s="104"/>
      <c r="K137" s="104"/>
      <c r="L137" s="105"/>
      <c r="M137" s="119"/>
    </row>
    <row r="138" spans="1:13" x14ac:dyDescent="0.25">
      <c r="A138" s="118" t="s">
        <v>1207</v>
      </c>
      <c r="B138" s="104" t="s">
        <v>1216</v>
      </c>
      <c r="C138" s="104" t="s">
        <v>1217</v>
      </c>
      <c r="D138" s="104"/>
      <c r="E138" s="104" t="s">
        <v>758</v>
      </c>
      <c r="F138" s="104" t="str">
        <f t="shared" si="4"/>
        <v>&lt;SecondLienCity&gt; &lt;/SecondLienCity&gt;</v>
      </c>
      <c r="G138" s="64" t="s">
        <v>482</v>
      </c>
      <c r="H138" s="64" t="s">
        <v>367</v>
      </c>
      <c r="I138" s="64" t="s">
        <v>251</v>
      </c>
      <c r="J138" s="104"/>
      <c r="K138" s="104"/>
      <c r="L138" s="105"/>
      <c r="M138" s="119"/>
    </row>
    <row r="139" spans="1:13" x14ac:dyDescent="0.25">
      <c r="A139" s="118" t="s">
        <v>1207</v>
      </c>
      <c r="B139" s="104" t="s">
        <v>1218</v>
      </c>
      <c r="C139" s="104" t="s">
        <v>1219</v>
      </c>
      <c r="D139" s="104"/>
      <c r="E139" s="104" t="s">
        <v>758</v>
      </c>
      <c r="F139" s="104" t="str">
        <f t="shared" si="4"/>
        <v>&lt;SecondLienState&gt; &lt;/SecondLienState&gt;</v>
      </c>
      <c r="G139" s="64" t="s">
        <v>483</v>
      </c>
      <c r="H139" s="64" t="s">
        <v>368</v>
      </c>
      <c r="I139" s="64" t="s">
        <v>252</v>
      </c>
      <c r="J139" s="104"/>
      <c r="K139" s="104"/>
      <c r="L139" s="105"/>
      <c r="M139" s="119"/>
    </row>
    <row r="140" spans="1:13" x14ac:dyDescent="0.25">
      <c r="A140" s="118" t="s">
        <v>1207</v>
      </c>
      <c r="B140" s="104" t="s">
        <v>1220</v>
      </c>
      <c r="C140" s="104" t="s">
        <v>768</v>
      </c>
      <c r="D140" s="104" t="s">
        <v>1754</v>
      </c>
      <c r="E140" s="104" t="s">
        <v>834</v>
      </c>
      <c r="F140" s="104" t="str">
        <f t="shared" si="4"/>
        <v>&lt;zip&gt; &lt;/zip&gt;</v>
      </c>
      <c r="G140" s="64" t="s">
        <v>484</v>
      </c>
      <c r="H140" s="64" t="s">
        <v>366</v>
      </c>
      <c r="I140" s="64" t="s">
        <v>253</v>
      </c>
      <c r="J140" s="104"/>
      <c r="K140" s="104"/>
      <c r="L140" s="105"/>
      <c r="M140" s="119"/>
    </row>
    <row r="141" spans="1:13" ht="30" x14ac:dyDescent="0.25">
      <c r="A141" s="118" t="s">
        <v>1207</v>
      </c>
      <c r="B141" s="104" t="s">
        <v>1221</v>
      </c>
      <c r="C141" s="104" t="s">
        <v>1222</v>
      </c>
      <c r="D141" s="104"/>
      <c r="E141" s="104" t="s">
        <v>758</v>
      </c>
      <c r="F141" s="104" t="str">
        <f t="shared" si="4"/>
        <v>&lt;ThirdLienHolderName&gt; &lt;/ThirdLienHolderName&gt;</v>
      </c>
      <c r="G141" s="64" t="s">
        <v>1352</v>
      </c>
      <c r="H141" s="62" t="s">
        <v>371</v>
      </c>
      <c r="I141" s="64" t="s">
        <v>1353</v>
      </c>
      <c r="J141" s="104"/>
      <c r="K141" s="104"/>
      <c r="L141" s="105"/>
      <c r="M141" s="119"/>
    </row>
    <row r="142" spans="1:13" x14ac:dyDescent="0.25">
      <c r="A142" s="118" t="s">
        <v>1207</v>
      </c>
      <c r="B142" s="104" t="s">
        <v>1223</v>
      </c>
      <c r="C142" s="104" t="s">
        <v>1224</v>
      </c>
      <c r="D142" s="104"/>
      <c r="E142" s="104" t="s">
        <v>868</v>
      </c>
      <c r="F142" s="104" t="str">
        <f t="shared" si="4"/>
        <v>&lt;ThirdLienAmount&gt; &lt;/ThirdLienAmount&gt;</v>
      </c>
      <c r="G142" s="64" t="s">
        <v>1354</v>
      </c>
      <c r="H142" s="64" t="s">
        <v>971</v>
      </c>
      <c r="I142" s="64" t="s">
        <v>1355</v>
      </c>
      <c r="J142" s="104"/>
      <c r="K142" s="104"/>
      <c r="L142" s="105"/>
      <c r="M142" s="119"/>
    </row>
    <row r="143" spans="1:13" x14ac:dyDescent="0.25">
      <c r="A143" s="118" t="s">
        <v>1207</v>
      </c>
      <c r="B143" s="104" t="s">
        <v>1225</v>
      </c>
      <c r="C143" s="104" t="s">
        <v>1226</v>
      </c>
      <c r="D143" s="104"/>
      <c r="E143" s="104" t="s">
        <v>763</v>
      </c>
      <c r="F143" s="104" t="str">
        <f t="shared" si="4"/>
        <v>&lt;ThirdLienDate&gt; &lt;/ThirdLienDate&gt;</v>
      </c>
      <c r="G143" s="64" t="s">
        <v>1356</v>
      </c>
      <c r="H143" s="62" t="s">
        <v>975</v>
      </c>
      <c r="I143" s="64" t="s">
        <v>1357</v>
      </c>
      <c r="J143" s="104"/>
      <c r="K143" s="104"/>
      <c r="L143" s="105"/>
      <c r="M143" s="119"/>
    </row>
    <row r="144" spans="1:13" x14ac:dyDescent="0.25">
      <c r="A144" s="118" t="s">
        <v>1207</v>
      </c>
      <c r="B144" s="104" t="s">
        <v>1227</v>
      </c>
      <c r="C144" s="104" t="s">
        <v>1228</v>
      </c>
      <c r="D144" s="104"/>
      <c r="E144" s="104" t="s">
        <v>758</v>
      </c>
      <c r="F144" s="104" t="str">
        <f t="shared" ref="F144:F154" si="5">CONCATENATE("&lt;",TRIM(C144),"&gt; &lt;/",TRIM(C144),"&gt;")</f>
        <v>&lt;ThirdLienStreet&gt; &lt;/ThirdLienStreet&gt;</v>
      </c>
      <c r="G144" s="64" t="s">
        <v>1358</v>
      </c>
      <c r="H144" s="64" t="s">
        <v>365</v>
      </c>
      <c r="I144" s="64" t="s">
        <v>1359</v>
      </c>
      <c r="J144" s="104"/>
      <c r="K144" s="104"/>
      <c r="L144" s="105"/>
      <c r="M144" s="119"/>
    </row>
    <row r="145" spans="1:13" x14ac:dyDescent="0.25">
      <c r="A145" s="118" t="s">
        <v>1207</v>
      </c>
      <c r="B145" s="104" t="s">
        <v>1229</v>
      </c>
      <c r="C145" s="104" t="s">
        <v>1230</v>
      </c>
      <c r="D145" s="104"/>
      <c r="E145" s="104" t="s">
        <v>758</v>
      </c>
      <c r="F145" s="104" t="str">
        <f t="shared" si="5"/>
        <v>&lt;ThirdLienCity&gt; &lt;/ThirdLienCity&gt;</v>
      </c>
      <c r="G145" s="64" t="s">
        <v>1360</v>
      </c>
      <c r="H145" s="64" t="s">
        <v>367</v>
      </c>
      <c r="I145" s="64" t="s">
        <v>1361</v>
      </c>
      <c r="J145" s="104"/>
      <c r="K145" s="104"/>
      <c r="L145" s="105"/>
      <c r="M145" s="119"/>
    </row>
    <row r="146" spans="1:13" x14ac:dyDescent="0.25">
      <c r="A146" s="118" t="s">
        <v>1207</v>
      </c>
      <c r="B146" s="104" t="s">
        <v>1231</v>
      </c>
      <c r="C146" s="104" t="s">
        <v>1232</v>
      </c>
      <c r="D146" s="104"/>
      <c r="E146" s="104" t="s">
        <v>758</v>
      </c>
      <c r="F146" s="104" t="str">
        <f t="shared" si="5"/>
        <v>&lt;ThirdLienState&gt; &lt;/ThirdLienState&gt;</v>
      </c>
      <c r="G146" s="64" t="s">
        <v>1362</v>
      </c>
      <c r="H146" s="64" t="s">
        <v>368</v>
      </c>
      <c r="I146" s="64" t="s">
        <v>1363</v>
      </c>
      <c r="J146" s="104"/>
      <c r="K146" s="104"/>
      <c r="L146" s="105"/>
      <c r="M146" s="119"/>
    </row>
    <row r="147" spans="1:13" x14ac:dyDescent="0.25">
      <c r="A147" s="118" t="s">
        <v>1207</v>
      </c>
      <c r="B147" s="104" t="s">
        <v>1233</v>
      </c>
      <c r="C147" s="104" t="s">
        <v>768</v>
      </c>
      <c r="D147" s="104" t="s">
        <v>1755</v>
      </c>
      <c r="E147" s="104" t="s">
        <v>834</v>
      </c>
      <c r="F147" s="104" t="str">
        <f t="shared" si="5"/>
        <v>&lt;zip&gt; &lt;/zip&gt;</v>
      </c>
      <c r="G147" s="64" t="s">
        <v>1364</v>
      </c>
      <c r="H147" s="64" t="s">
        <v>366</v>
      </c>
      <c r="I147" s="64" t="s">
        <v>1365</v>
      </c>
      <c r="J147" s="104"/>
      <c r="K147" s="104"/>
      <c r="L147" s="105"/>
      <c r="M147" s="119"/>
    </row>
    <row r="148" spans="1:13" x14ac:dyDescent="0.25">
      <c r="A148" s="128" t="s">
        <v>1234</v>
      </c>
      <c r="B148" s="123" t="s">
        <v>1235</v>
      </c>
      <c r="C148" s="123" t="s">
        <v>1236</v>
      </c>
      <c r="D148" s="123"/>
      <c r="E148" s="123" t="s">
        <v>758</v>
      </c>
      <c r="F148" s="123" t="str">
        <f t="shared" si="5"/>
        <v>&lt;LastName&gt; &lt;/LastName&gt;</v>
      </c>
      <c r="G148" s="183" t="s">
        <v>1479</v>
      </c>
      <c r="H148" s="183" t="s">
        <v>1393</v>
      </c>
      <c r="I148" s="183" t="s">
        <v>1482</v>
      </c>
      <c r="J148" s="123"/>
      <c r="K148" s="123"/>
      <c r="L148" s="124"/>
      <c r="M148" s="125"/>
    </row>
    <row r="149" spans="1:13" x14ac:dyDescent="0.25">
      <c r="A149" s="118" t="s">
        <v>1234</v>
      </c>
      <c r="B149" s="104" t="s">
        <v>1237</v>
      </c>
      <c r="C149" s="104" t="s">
        <v>1238</v>
      </c>
      <c r="D149" s="104"/>
      <c r="E149" s="104" t="s">
        <v>758</v>
      </c>
      <c r="F149" s="104" t="str">
        <f t="shared" si="5"/>
        <v>&lt;FirstName&gt; &lt;/FirstName&gt;</v>
      </c>
      <c r="G149" s="64" t="s">
        <v>1391</v>
      </c>
      <c r="H149" s="64" t="s">
        <v>1392</v>
      </c>
      <c r="I149" s="64" t="s">
        <v>1394</v>
      </c>
      <c r="J149" s="104"/>
      <c r="K149" s="104"/>
      <c r="L149" s="105"/>
      <c r="M149" s="119"/>
    </row>
    <row r="150" spans="1:13" ht="30" x14ac:dyDescent="0.25">
      <c r="A150" s="118" t="s">
        <v>1234</v>
      </c>
      <c r="B150" s="104" t="s">
        <v>1239</v>
      </c>
      <c r="C150" s="104" t="s">
        <v>1240</v>
      </c>
      <c r="D150" s="104"/>
      <c r="E150" s="104" t="s">
        <v>758</v>
      </c>
      <c r="F150" s="104" t="str">
        <f t="shared" si="5"/>
        <v>&lt;MiddleName&gt; &lt;/MiddleName&gt;</v>
      </c>
      <c r="G150" s="64" t="s">
        <v>1478</v>
      </c>
      <c r="H150" s="64" t="s">
        <v>1480</v>
      </c>
      <c r="I150" s="64" t="s">
        <v>1481</v>
      </c>
      <c r="J150" s="104"/>
      <c r="K150" s="104"/>
      <c r="L150" s="105"/>
      <c r="M150" s="119"/>
    </row>
    <row r="151" spans="1:13" ht="30" x14ac:dyDescent="0.25">
      <c r="A151" s="118" t="s">
        <v>1234</v>
      </c>
      <c r="B151" s="104" t="s">
        <v>1241</v>
      </c>
      <c r="C151" s="104" t="s">
        <v>1242</v>
      </c>
      <c r="D151" s="104"/>
      <c r="E151" s="104" t="s">
        <v>758</v>
      </c>
      <c r="F151" s="104" t="str">
        <f t="shared" si="5"/>
        <v>&lt;EyeColor&gt; &lt;/EyeColor&gt;</v>
      </c>
      <c r="G151" s="64" t="s">
        <v>1491</v>
      </c>
      <c r="H151" s="64" t="s">
        <v>1492</v>
      </c>
      <c r="I151" s="64" t="s">
        <v>1493</v>
      </c>
      <c r="J151" s="104"/>
      <c r="K151" s="104"/>
      <c r="L151" s="105"/>
      <c r="M151" s="119"/>
    </row>
    <row r="152" spans="1:13" x14ac:dyDescent="0.25">
      <c r="A152" s="118" t="s">
        <v>1234</v>
      </c>
      <c r="B152" s="104" t="s">
        <v>1494</v>
      </c>
      <c r="C152" s="104" t="s">
        <v>108</v>
      </c>
      <c r="D152" s="104"/>
      <c r="E152" s="104" t="s">
        <v>764</v>
      </c>
      <c r="F152" s="104" t="str">
        <f t="shared" si="5"/>
        <v>&lt;Weight&gt; &lt;/Weight&gt;</v>
      </c>
      <c r="G152" s="64" t="s">
        <v>1521</v>
      </c>
      <c r="H152" s="64" t="s">
        <v>1524</v>
      </c>
      <c r="I152" s="64" t="s">
        <v>1526</v>
      </c>
      <c r="J152" s="104"/>
      <c r="K152" s="104"/>
      <c r="L152" s="105"/>
      <c r="M152" s="119"/>
    </row>
    <row r="153" spans="1:13" x14ac:dyDescent="0.25">
      <c r="A153" s="118" t="s">
        <v>1234</v>
      </c>
      <c r="B153" s="104" t="s">
        <v>1495</v>
      </c>
      <c r="C153" s="104" t="s">
        <v>1496</v>
      </c>
      <c r="D153" s="104"/>
      <c r="E153" s="104" t="s">
        <v>764</v>
      </c>
      <c r="F153" s="104" t="str">
        <f t="shared" si="5"/>
        <v>&lt;Height&gt; &lt;/Height&gt;</v>
      </c>
      <c r="G153" s="64" t="s">
        <v>1522</v>
      </c>
      <c r="H153" s="64" t="s">
        <v>2270</v>
      </c>
      <c r="I153" s="64" t="s">
        <v>1527</v>
      </c>
      <c r="J153" s="104"/>
      <c r="K153" s="104"/>
      <c r="L153" s="105"/>
      <c r="M153" s="119"/>
    </row>
    <row r="154" spans="1:13" x14ac:dyDescent="0.25">
      <c r="A154" s="128" t="s">
        <v>1234</v>
      </c>
      <c r="B154" s="123" t="s">
        <v>1497</v>
      </c>
      <c r="C154" s="123" t="s">
        <v>1498</v>
      </c>
      <c r="D154" s="123"/>
      <c r="E154" s="123" t="s">
        <v>758</v>
      </c>
      <c r="F154" s="123" t="str">
        <f t="shared" si="5"/>
        <v>&lt;TransactionStatus&gt; &lt;/TransactionStatus&gt;</v>
      </c>
      <c r="G154" s="64" t="s">
        <v>1523</v>
      </c>
      <c r="H154" s="64" t="s">
        <v>1486</v>
      </c>
      <c r="I154" s="64" t="s">
        <v>1528</v>
      </c>
      <c r="J154" s="123"/>
      <c r="K154" s="123"/>
      <c r="L154" s="124"/>
      <c r="M154" s="125"/>
    </row>
    <row r="155" spans="1:13" x14ac:dyDescent="0.25">
      <c r="A155" s="118"/>
      <c r="B155" s="104"/>
      <c r="C155" s="104"/>
      <c r="D155" s="104"/>
      <c r="E155" s="104"/>
      <c r="F155" s="104"/>
      <c r="G155" s="105"/>
      <c r="H155" s="105"/>
      <c r="I155" s="105"/>
      <c r="J155" s="104"/>
      <c r="K155" s="104"/>
      <c r="L155" s="105"/>
      <c r="M155" s="119"/>
    </row>
    <row r="156" spans="1:13" x14ac:dyDescent="0.25">
      <c r="A156" s="118"/>
      <c r="B156" s="104"/>
      <c r="C156" s="104"/>
      <c r="D156" s="104"/>
      <c r="E156" s="104"/>
      <c r="F156" s="104"/>
      <c r="G156" s="105"/>
      <c r="H156" s="105"/>
      <c r="I156" s="105"/>
      <c r="J156" s="104"/>
      <c r="K156" s="104"/>
      <c r="L156" s="105"/>
      <c r="M156" s="119"/>
    </row>
    <row r="157" spans="1:13" x14ac:dyDescent="0.25">
      <c r="A157" s="118"/>
      <c r="B157" s="104"/>
      <c r="C157" s="104"/>
      <c r="D157" s="104"/>
      <c r="E157" s="104"/>
      <c r="F157" s="104"/>
      <c r="G157" s="105"/>
      <c r="H157" s="105"/>
      <c r="I157" s="105"/>
      <c r="J157" s="104"/>
      <c r="K157" s="104"/>
      <c r="L157" s="105"/>
      <c r="M157" s="119"/>
    </row>
    <row r="158" spans="1:13" x14ac:dyDescent="0.25">
      <c r="A158" s="118"/>
      <c r="B158" s="104"/>
      <c r="C158" s="104"/>
      <c r="D158" s="104"/>
      <c r="E158" s="104"/>
      <c r="F158" s="104"/>
      <c r="G158" s="105"/>
      <c r="H158" s="105"/>
      <c r="I158" s="105"/>
      <c r="J158" s="104"/>
      <c r="K158" s="104"/>
      <c r="L158" s="105"/>
      <c r="M158" s="119"/>
    </row>
    <row r="159" spans="1:13" x14ac:dyDescent="0.25">
      <c r="A159" s="118"/>
      <c r="B159" s="104"/>
      <c r="C159" s="104"/>
      <c r="D159" s="104"/>
      <c r="E159" s="104"/>
      <c r="F159" s="104"/>
      <c r="G159" s="105"/>
      <c r="H159" s="105"/>
      <c r="I159" s="105"/>
      <c r="J159" s="104"/>
      <c r="K159" s="104"/>
      <c r="L159" s="105"/>
      <c r="M159" s="119"/>
    </row>
    <row r="160" spans="1:13" x14ac:dyDescent="0.25">
      <c r="A160" s="118"/>
      <c r="B160" s="104"/>
      <c r="C160" s="104"/>
      <c r="D160" s="104"/>
      <c r="E160" s="104"/>
      <c r="F160" s="104"/>
      <c r="G160" s="105"/>
      <c r="H160" s="105"/>
      <c r="I160" s="105"/>
      <c r="J160" s="104"/>
      <c r="K160" s="104"/>
      <c r="L160" s="105"/>
      <c r="M160" s="119"/>
    </row>
    <row r="161" spans="1:13" x14ac:dyDescent="0.25">
      <c r="A161" s="128"/>
      <c r="B161" s="123"/>
      <c r="C161" s="123"/>
      <c r="D161" s="123"/>
      <c r="E161" s="123"/>
      <c r="F161" s="123"/>
      <c r="G161" s="124"/>
      <c r="H161" s="124"/>
      <c r="I161" s="124"/>
      <c r="J161" s="123"/>
      <c r="K161" s="123"/>
      <c r="L161" s="124"/>
      <c r="M161" s="125"/>
    </row>
    <row r="162" spans="1:13" x14ac:dyDescent="0.25">
      <c r="A162" s="118"/>
      <c r="B162" s="104"/>
      <c r="C162" s="104"/>
      <c r="D162" s="104"/>
      <c r="E162" s="104"/>
      <c r="F162" s="104"/>
      <c r="G162" s="105"/>
      <c r="H162" s="105"/>
      <c r="I162" s="105"/>
      <c r="J162" s="104"/>
      <c r="K162" s="104"/>
      <c r="L162" s="105"/>
      <c r="M162" s="119"/>
    </row>
    <row r="163" spans="1:13" x14ac:dyDescent="0.25">
      <c r="A163" s="118"/>
      <c r="B163" s="104"/>
      <c r="C163" s="104"/>
      <c r="D163" s="104"/>
      <c r="E163" s="104"/>
      <c r="F163" s="104"/>
      <c r="G163" s="105"/>
      <c r="H163" s="105"/>
      <c r="I163" s="105"/>
      <c r="J163" s="104"/>
      <c r="K163" s="104"/>
      <c r="L163" s="105"/>
      <c r="M163" s="119"/>
    </row>
    <row r="164" spans="1:13" x14ac:dyDescent="0.25">
      <c r="A164" s="118"/>
      <c r="B164" s="104"/>
      <c r="C164" s="104"/>
      <c r="D164" s="104"/>
      <c r="E164" s="104"/>
      <c r="F164" s="104"/>
      <c r="G164" s="105"/>
      <c r="H164" s="105"/>
      <c r="I164" s="105"/>
      <c r="J164" s="104"/>
      <c r="K164" s="104"/>
      <c r="L164" s="105"/>
      <c r="M164" s="119"/>
    </row>
    <row r="165" spans="1:13" x14ac:dyDescent="0.25">
      <c r="A165" s="118"/>
      <c r="B165" s="104"/>
      <c r="C165" s="104"/>
      <c r="D165" s="104"/>
      <c r="E165" s="104"/>
      <c r="F165" s="104"/>
      <c r="G165" s="105"/>
      <c r="H165" s="105"/>
      <c r="I165" s="105"/>
      <c r="J165" s="104"/>
      <c r="K165" s="104"/>
      <c r="L165" s="105"/>
      <c r="M165" s="119"/>
    </row>
    <row r="166" spans="1:13" x14ac:dyDescent="0.25">
      <c r="A166" s="118"/>
      <c r="B166" s="104"/>
      <c r="C166" s="104"/>
      <c r="D166" s="104"/>
      <c r="E166" s="104"/>
      <c r="F166" s="104"/>
      <c r="G166" s="105"/>
      <c r="H166" s="105"/>
      <c r="I166" s="105"/>
      <c r="J166" s="104"/>
      <c r="K166" s="104"/>
      <c r="L166" s="105"/>
      <c r="M166" s="119"/>
    </row>
    <row r="167" spans="1:13" x14ac:dyDescent="0.25">
      <c r="A167" s="118"/>
      <c r="B167" s="104"/>
      <c r="C167" s="104"/>
      <c r="D167" s="104"/>
      <c r="E167" s="104"/>
      <c r="F167" s="104"/>
      <c r="G167" s="105"/>
      <c r="H167" s="105"/>
      <c r="I167" s="105"/>
      <c r="J167" s="104"/>
      <c r="K167" s="104"/>
      <c r="L167" s="105"/>
      <c r="M167" s="119"/>
    </row>
    <row r="168" spans="1:13" x14ac:dyDescent="0.25">
      <c r="A168" s="118"/>
      <c r="B168" s="104"/>
      <c r="C168" s="104"/>
      <c r="D168" s="104"/>
      <c r="E168" s="104"/>
      <c r="F168" s="104"/>
      <c r="G168" s="105"/>
      <c r="H168" s="105"/>
      <c r="I168" s="105"/>
      <c r="J168" s="104"/>
      <c r="K168" s="104"/>
      <c r="L168" s="105"/>
      <c r="M168" s="119"/>
    </row>
    <row r="169" spans="1:13" x14ac:dyDescent="0.25">
      <c r="A169" s="118"/>
      <c r="B169" s="104"/>
      <c r="C169" s="104"/>
      <c r="D169" s="104"/>
      <c r="E169" s="104"/>
      <c r="F169" s="104"/>
      <c r="G169" s="105"/>
      <c r="H169" s="105"/>
      <c r="I169" s="105"/>
      <c r="J169" s="104"/>
      <c r="K169" s="104"/>
      <c r="L169" s="105"/>
      <c r="M169" s="119"/>
    </row>
    <row r="170" spans="1:13" x14ac:dyDescent="0.25">
      <c r="A170" s="118"/>
      <c r="B170" s="104"/>
      <c r="C170" s="104"/>
      <c r="D170" s="104"/>
      <c r="E170" s="104"/>
      <c r="F170" s="104"/>
      <c r="G170" s="105"/>
      <c r="H170" s="105"/>
      <c r="I170" s="105"/>
      <c r="J170" s="104"/>
      <c r="K170" s="104"/>
      <c r="L170" s="105"/>
      <c r="M170" s="119"/>
    </row>
    <row r="171" spans="1:13" x14ac:dyDescent="0.25">
      <c r="A171" s="128"/>
      <c r="B171" s="123"/>
      <c r="C171" s="123"/>
      <c r="D171" s="123"/>
      <c r="E171" s="123"/>
      <c r="F171" s="123"/>
      <c r="G171" s="124"/>
      <c r="H171" s="124"/>
      <c r="I171" s="124"/>
      <c r="J171" s="123"/>
      <c r="K171" s="123"/>
      <c r="L171" s="124"/>
      <c r="M171" s="125"/>
    </row>
  </sheetData>
  <conditionalFormatting sqref="H172:H1048576 G1:G10 G18:G33 G37:G58 G123 G126:G171 G64:G78 G14 G16 G80:G84 G92:G120 G60:G62">
    <cfRule type="duplicateValues" dxfId="180" priority="21"/>
  </conditionalFormatting>
  <conditionalFormatting sqref="G17">
    <cfRule type="duplicateValues" dxfId="179" priority="20"/>
  </conditionalFormatting>
  <conditionalFormatting sqref="G63">
    <cfRule type="duplicateValues" dxfId="178" priority="18"/>
  </conditionalFormatting>
  <conditionalFormatting sqref="G35">
    <cfRule type="duplicateValues" dxfId="177" priority="15"/>
  </conditionalFormatting>
  <conditionalFormatting sqref="G36">
    <cfRule type="duplicateValues" dxfId="176" priority="14"/>
  </conditionalFormatting>
  <conditionalFormatting sqref="G79">
    <cfRule type="duplicateValues" dxfId="175" priority="13"/>
  </conditionalFormatting>
  <conditionalFormatting sqref="G11">
    <cfRule type="duplicateValues" dxfId="174" priority="12"/>
  </conditionalFormatting>
  <conditionalFormatting sqref="G12">
    <cfRule type="duplicateValues" dxfId="173" priority="11"/>
  </conditionalFormatting>
  <conditionalFormatting sqref="G13">
    <cfRule type="duplicateValues" dxfId="172" priority="10"/>
  </conditionalFormatting>
  <conditionalFormatting sqref="G15">
    <cfRule type="duplicateValues" dxfId="171" priority="9"/>
  </conditionalFormatting>
  <conditionalFormatting sqref="G85">
    <cfRule type="duplicateValues" dxfId="170" priority="8"/>
  </conditionalFormatting>
  <conditionalFormatting sqref="G86">
    <cfRule type="duplicateValues" dxfId="169" priority="7"/>
  </conditionalFormatting>
  <conditionalFormatting sqref="G87">
    <cfRule type="duplicateValues" dxfId="168" priority="6"/>
  </conditionalFormatting>
  <conditionalFormatting sqref="G88">
    <cfRule type="duplicateValues" dxfId="167" priority="5"/>
  </conditionalFormatting>
  <conditionalFormatting sqref="G89">
    <cfRule type="duplicateValues" dxfId="166" priority="4"/>
  </conditionalFormatting>
  <conditionalFormatting sqref="G90">
    <cfRule type="duplicateValues" dxfId="165" priority="3"/>
  </conditionalFormatting>
  <conditionalFormatting sqref="G91">
    <cfRule type="duplicateValues" dxfId="164" priority="2"/>
  </conditionalFormatting>
  <conditionalFormatting sqref="G59">
    <cfRule type="duplicateValues" dxfId="163" priority="1"/>
  </conditionalFormatting>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31"/>
  <sheetViews>
    <sheetView topLeftCell="E1" workbookViewId="0">
      <pane ySplit="1" topLeftCell="A107" activePane="bottomLeft" state="frozen"/>
      <selection pane="bottomLeft" activeCell="H109" sqref="H109:H113"/>
    </sheetView>
  </sheetViews>
  <sheetFormatPr defaultRowHeight="15" x14ac:dyDescent="0.25"/>
  <cols>
    <col min="1" max="1" width="38.85546875" bestFit="1" customWidth="1"/>
    <col min="2" max="2" width="31.28515625" bestFit="1" customWidth="1"/>
    <col min="3" max="3" width="28.42578125" customWidth="1"/>
    <col min="4" max="4" width="35" bestFit="1" customWidth="1"/>
    <col min="5" max="5" width="39.140625" customWidth="1"/>
    <col min="6" max="6" width="20" customWidth="1"/>
    <col min="7" max="7" width="48.85546875" customWidth="1"/>
    <col min="8" max="8" width="70.42578125" customWidth="1"/>
    <col min="9" max="9" width="34.28515625" customWidth="1"/>
    <col min="10" max="10" width="47.140625" customWidth="1"/>
    <col min="11" max="11" width="13.7109375" customWidth="1"/>
    <col min="12" max="12" width="16.28515625" bestFit="1" customWidth="1"/>
    <col min="13" max="13" width="17.85546875" customWidth="1"/>
    <col min="14" max="14" width="21.5703125" customWidth="1"/>
  </cols>
  <sheetData>
    <row r="1" spans="1:15" s="126" customFormat="1" x14ac:dyDescent="0.25">
      <c r="A1" s="229" t="s">
        <v>1061</v>
      </c>
      <c r="B1" s="229"/>
      <c r="C1" s="116" t="s">
        <v>731</v>
      </c>
      <c r="D1" s="116" t="s">
        <v>732</v>
      </c>
      <c r="E1" s="116" t="s">
        <v>1542</v>
      </c>
      <c r="F1" s="116" t="s">
        <v>733</v>
      </c>
      <c r="G1" s="116" t="s">
        <v>1584</v>
      </c>
      <c r="H1" s="185" t="s">
        <v>734</v>
      </c>
      <c r="I1" s="185" t="s">
        <v>736</v>
      </c>
      <c r="J1" s="185" t="s">
        <v>735</v>
      </c>
      <c r="K1" s="116" t="s">
        <v>737</v>
      </c>
      <c r="L1" s="116" t="s">
        <v>738</v>
      </c>
      <c r="M1" s="130" t="s">
        <v>739</v>
      </c>
      <c r="N1" s="117" t="s">
        <v>837</v>
      </c>
    </row>
    <row r="2" spans="1:15" s="126" customFormat="1" x14ac:dyDescent="0.25">
      <c r="A2" s="202"/>
      <c r="B2" s="202"/>
      <c r="C2" s="202" t="s">
        <v>1094</v>
      </c>
      <c r="D2" s="202" t="s">
        <v>1095</v>
      </c>
      <c r="E2" s="202" t="s">
        <v>1663</v>
      </c>
      <c r="F2" s="202" t="s">
        <v>758</v>
      </c>
      <c r="G2" s="202" t="str">
        <f t="shared" ref="G2:G33" si="0">CONCATENATE("&lt;",TRIM(D2),"&gt; &lt;/",TRIM(D2),"&gt;")</f>
        <v>&lt;InquiryType&gt; &lt;/InquiryType&gt;</v>
      </c>
      <c r="H2" s="202" t="s">
        <v>1379</v>
      </c>
      <c r="I2" s="202" t="s">
        <v>1381</v>
      </c>
      <c r="J2" s="202" t="s">
        <v>1382</v>
      </c>
      <c r="K2" s="202"/>
      <c r="L2" s="202"/>
      <c r="M2" s="202"/>
      <c r="N2" s="202"/>
      <c r="O2" s="227"/>
    </row>
    <row r="3" spans="1:15" x14ac:dyDescent="0.25">
      <c r="A3" s="203" t="s">
        <v>2939</v>
      </c>
      <c r="B3" s="203"/>
      <c r="C3" s="203" t="s">
        <v>1016</v>
      </c>
      <c r="D3" s="203" t="s">
        <v>1021</v>
      </c>
      <c r="E3" s="203"/>
      <c r="F3" s="203" t="s">
        <v>758</v>
      </c>
      <c r="G3" s="203" t="str">
        <f t="shared" si="0"/>
        <v>&lt;Action&gt; &lt;/Action&gt;</v>
      </c>
      <c r="H3" s="203" t="s">
        <v>2693</v>
      </c>
      <c r="I3" s="203" t="s">
        <v>2756</v>
      </c>
      <c r="J3" s="203" t="s">
        <v>1887</v>
      </c>
      <c r="K3" s="203"/>
      <c r="L3" s="203"/>
      <c r="M3" s="203"/>
      <c r="N3" s="203"/>
      <c r="O3" s="228"/>
    </row>
    <row r="4" spans="1:15" ht="30" x14ac:dyDescent="0.25">
      <c r="A4" s="202" t="s">
        <v>2939</v>
      </c>
      <c r="B4" s="202"/>
      <c r="C4" s="202" t="s">
        <v>1928</v>
      </c>
      <c r="D4" s="202" t="s">
        <v>1929</v>
      </c>
      <c r="E4" s="202" t="s">
        <v>2397</v>
      </c>
      <c r="F4" s="202" t="s">
        <v>758</v>
      </c>
      <c r="G4" s="202" t="str">
        <f t="shared" si="0"/>
        <v>&lt;DriverLicenseNo&gt; &lt;/DriverLicenseNo&gt;</v>
      </c>
      <c r="H4" s="202" t="s">
        <v>2698</v>
      </c>
      <c r="I4" s="207" t="s">
        <v>2757</v>
      </c>
      <c r="J4" s="202" t="s">
        <v>959</v>
      </c>
      <c r="K4" s="202"/>
      <c r="L4" s="202"/>
      <c r="M4" s="202"/>
      <c r="N4" s="202"/>
      <c r="O4" s="227"/>
    </row>
    <row r="5" spans="1:15" x14ac:dyDescent="0.25">
      <c r="A5" s="203" t="s">
        <v>1931</v>
      </c>
      <c r="B5" s="203"/>
      <c r="C5" s="203" t="s">
        <v>1932</v>
      </c>
      <c r="D5" s="203" t="s">
        <v>1933</v>
      </c>
      <c r="E5" s="203"/>
      <c r="F5" s="203" t="s">
        <v>758</v>
      </c>
      <c r="G5" s="203" t="str">
        <f t="shared" si="0"/>
        <v>&lt;DriverLicenseClassType&gt; &lt;/DriverLicenseClassType&gt;</v>
      </c>
      <c r="H5" s="203" t="s">
        <v>2699</v>
      </c>
      <c r="I5" s="203" t="s">
        <v>2779</v>
      </c>
      <c r="J5" s="203"/>
      <c r="K5" s="203"/>
      <c r="L5" s="203"/>
      <c r="M5" s="203"/>
      <c r="N5" s="203"/>
      <c r="O5" s="228"/>
    </row>
    <row r="6" spans="1:15" x14ac:dyDescent="0.25">
      <c r="A6" s="202" t="s">
        <v>1927</v>
      </c>
      <c r="B6" s="238" t="s">
        <v>2601</v>
      </c>
      <c r="C6" s="202" t="s">
        <v>1340</v>
      </c>
      <c r="D6" s="202" t="s">
        <v>1055</v>
      </c>
      <c r="E6" s="202" t="s">
        <v>2398</v>
      </c>
      <c r="F6" s="202" t="s">
        <v>763</v>
      </c>
      <c r="G6" s="202" t="str">
        <f t="shared" si="0"/>
        <v>&lt;DateOfBirth&gt; &lt;/DateOfBirth&gt;</v>
      </c>
      <c r="H6" s="202" t="s">
        <v>2700</v>
      </c>
      <c r="I6" s="202" t="s">
        <v>1203</v>
      </c>
      <c r="J6" s="202" t="s">
        <v>1204</v>
      </c>
      <c r="K6" s="202"/>
      <c r="L6" s="202"/>
      <c r="M6" s="202"/>
      <c r="N6" s="202"/>
      <c r="O6" s="227"/>
    </row>
    <row r="7" spans="1:15" x14ac:dyDescent="0.25">
      <c r="A7" s="203" t="s">
        <v>1931</v>
      </c>
      <c r="B7" s="238"/>
      <c r="C7" s="203" t="s">
        <v>1934</v>
      </c>
      <c r="D7" s="203" t="s">
        <v>1554</v>
      </c>
      <c r="E7" s="203" t="s">
        <v>2399</v>
      </c>
      <c r="F7" s="203" t="s">
        <v>758</v>
      </c>
      <c r="G7" s="203" t="str">
        <f t="shared" si="0"/>
        <v>&lt;Race&gt; &lt;/Race&gt;</v>
      </c>
      <c r="H7" s="203" t="s">
        <v>2701</v>
      </c>
      <c r="I7" s="203" t="s">
        <v>1557</v>
      </c>
      <c r="J7" s="203" t="s">
        <v>1558</v>
      </c>
      <c r="K7" s="203"/>
      <c r="L7" s="203"/>
      <c r="M7" s="203" t="s">
        <v>1559</v>
      </c>
      <c r="N7" s="203"/>
      <c r="O7" s="228"/>
    </row>
    <row r="8" spans="1:15" x14ac:dyDescent="0.25">
      <c r="A8" s="202" t="s">
        <v>1931</v>
      </c>
      <c r="B8" s="238"/>
      <c r="C8" s="202" t="s">
        <v>1935</v>
      </c>
      <c r="D8" s="202" t="s">
        <v>1555</v>
      </c>
      <c r="E8" s="202" t="s">
        <v>2400</v>
      </c>
      <c r="F8" s="202" t="s">
        <v>758</v>
      </c>
      <c r="G8" s="202" t="str">
        <f t="shared" si="0"/>
        <v>&lt;Gender&gt; &lt;/Gender&gt;</v>
      </c>
      <c r="H8" s="202" t="s">
        <v>2702</v>
      </c>
      <c r="I8" s="202" t="s">
        <v>1489</v>
      </c>
      <c r="J8" s="202" t="s">
        <v>1490</v>
      </c>
      <c r="K8" s="202"/>
      <c r="L8" s="202"/>
      <c r="M8" s="202"/>
      <c r="N8" s="202"/>
      <c r="O8" s="227"/>
    </row>
    <row r="9" spans="1:15" x14ac:dyDescent="0.25">
      <c r="A9" s="203" t="s">
        <v>2948</v>
      </c>
      <c r="B9" s="238"/>
      <c r="C9" s="203" t="s">
        <v>1937</v>
      </c>
      <c r="D9" s="203" t="s">
        <v>1020</v>
      </c>
      <c r="E9" s="203" t="s">
        <v>2401</v>
      </c>
      <c r="F9" s="203" t="s">
        <v>758</v>
      </c>
      <c r="G9" s="203" t="str">
        <f t="shared" si="0"/>
        <v>&lt;Name&gt; &lt;/Name&gt;</v>
      </c>
      <c r="H9" s="203" t="s">
        <v>2703</v>
      </c>
      <c r="I9" s="203" t="s">
        <v>1393</v>
      </c>
      <c r="J9" s="203" t="s">
        <v>1395</v>
      </c>
      <c r="K9" s="203"/>
      <c r="L9" s="203"/>
      <c r="M9" s="203"/>
      <c r="N9" s="203"/>
      <c r="O9" s="228"/>
    </row>
    <row r="10" spans="1:15" x14ac:dyDescent="0.25">
      <c r="A10" s="202" t="s">
        <v>1938</v>
      </c>
      <c r="B10" s="238"/>
      <c r="C10" s="202" t="s">
        <v>1939</v>
      </c>
      <c r="D10" s="202" t="s">
        <v>1940</v>
      </c>
      <c r="E10" s="202" t="s">
        <v>2402</v>
      </c>
      <c r="F10" s="202" t="s">
        <v>758</v>
      </c>
      <c r="G10" s="202" t="str">
        <f t="shared" si="0"/>
        <v>&lt;LastNameTC&gt; &lt;/LastNameTC&gt;</v>
      </c>
      <c r="H10" s="202" t="s">
        <v>1836</v>
      </c>
      <c r="I10" s="202" t="s">
        <v>1836</v>
      </c>
      <c r="J10" s="202"/>
      <c r="K10" s="202"/>
      <c r="L10" s="202"/>
      <c r="M10" s="202"/>
      <c r="N10" s="202"/>
      <c r="O10" s="227"/>
    </row>
    <row r="11" spans="1:15" x14ac:dyDescent="0.25">
      <c r="A11" s="203" t="s">
        <v>1938</v>
      </c>
      <c r="B11" s="238"/>
      <c r="C11" s="203" t="s">
        <v>1941</v>
      </c>
      <c r="D11" s="203" t="s">
        <v>1942</v>
      </c>
      <c r="E11" s="203" t="s">
        <v>2403</v>
      </c>
      <c r="F11" s="203" t="s">
        <v>758</v>
      </c>
      <c r="G11" s="203" t="str">
        <f t="shared" si="0"/>
        <v>&lt;LastNameTL&gt; &lt;/LastNameTL&gt;</v>
      </c>
      <c r="H11" s="203" t="s">
        <v>1836</v>
      </c>
      <c r="I11" s="203" t="s">
        <v>1836</v>
      </c>
      <c r="J11" s="203"/>
      <c r="K11" s="203"/>
      <c r="L11" s="203"/>
      <c r="M11" s="203"/>
      <c r="N11" s="203"/>
      <c r="O11" s="228"/>
    </row>
    <row r="12" spans="1:15" x14ac:dyDescent="0.25">
      <c r="A12" s="202" t="s">
        <v>1931</v>
      </c>
      <c r="B12" s="238"/>
      <c r="C12" s="202" t="s">
        <v>541</v>
      </c>
      <c r="D12" s="202" t="s">
        <v>1943</v>
      </c>
      <c r="E12" s="202"/>
      <c r="F12" s="202" t="s">
        <v>763</v>
      </c>
      <c r="G12" s="202" t="str">
        <f t="shared" si="0"/>
        <v>&lt;DriverLicenseExpDate&gt; &lt;/DriverLicenseExpDate&gt;</v>
      </c>
      <c r="H12" s="203" t="s">
        <v>2694</v>
      </c>
      <c r="I12" s="203" t="s">
        <v>2758</v>
      </c>
      <c r="J12" s="202"/>
      <c r="K12" s="202"/>
      <c r="L12" s="202"/>
      <c r="M12" s="202"/>
      <c r="N12" s="202"/>
      <c r="O12" s="227"/>
    </row>
    <row r="13" spans="1:15" x14ac:dyDescent="0.25">
      <c r="A13" s="203" t="s">
        <v>2939</v>
      </c>
      <c r="B13" s="238"/>
      <c r="C13" s="203" t="s">
        <v>1123</v>
      </c>
      <c r="D13" s="203" t="s">
        <v>1123</v>
      </c>
      <c r="E13" s="203"/>
      <c r="F13" s="203" t="s">
        <v>758</v>
      </c>
      <c r="G13" s="203" t="str">
        <f t="shared" si="0"/>
        <v>&lt;SSN&gt; &lt;/SSN&gt;</v>
      </c>
      <c r="H13" s="203" t="s">
        <v>2707</v>
      </c>
      <c r="I13" s="203" t="s">
        <v>1386</v>
      </c>
      <c r="J13" s="203" t="s">
        <v>1387</v>
      </c>
      <c r="K13" s="203"/>
      <c r="L13" s="203"/>
      <c r="M13" s="203"/>
      <c r="N13" s="203"/>
      <c r="O13" s="228"/>
    </row>
    <row r="14" spans="1:15" x14ac:dyDescent="0.25">
      <c r="A14" s="202" t="s">
        <v>2948</v>
      </c>
      <c r="B14" s="238"/>
      <c r="C14" s="202" t="s">
        <v>1944</v>
      </c>
      <c r="D14" s="202" t="s">
        <v>1238</v>
      </c>
      <c r="E14" s="202" t="s">
        <v>1765</v>
      </c>
      <c r="F14" s="202" t="s">
        <v>758</v>
      </c>
      <c r="G14" s="202" t="str">
        <f t="shared" si="0"/>
        <v>&lt;FirstName&gt; &lt;/FirstName&gt;</v>
      </c>
      <c r="H14" s="202" t="s">
        <v>2706</v>
      </c>
      <c r="I14" s="202" t="s">
        <v>1392</v>
      </c>
      <c r="J14" s="202" t="s">
        <v>1394</v>
      </c>
      <c r="K14" s="202"/>
      <c r="L14" s="202"/>
      <c r="M14" s="202"/>
      <c r="N14" s="202"/>
      <c r="O14" s="227"/>
    </row>
    <row r="15" spans="1:15" x14ac:dyDescent="0.25">
      <c r="A15" s="203" t="s">
        <v>1938</v>
      </c>
      <c r="B15" s="238"/>
      <c r="C15" s="203" t="s">
        <v>1939</v>
      </c>
      <c r="D15" s="203" t="s">
        <v>1945</v>
      </c>
      <c r="E15" s="203"/>
      <c r="F15" s="203" t="s">
        <v>758</v>
      </c>
      <c r="G15" s="203" t="str">
        <f t="shared" si="0"/>
        <v>&lt;FirstNameTC&gt; &lt;/FirstNameTC&gt;</v>
      </c>
      <c r="H15" s="203" t="s">
        <v>1836</v>
      </c>
      <c r="I15" s="203" t="s">
        <v>1836</v>
      </c>
      <c r="J15" s="203"/>
      <c r="K15" s="203"/>
      <c r="L15" s="203"/>
      <c r="M15" s="203"/>
      <c r="N15" s="203"/>
      <c r="O15" s="228"/>
    </row>
    <row r="16" spans="1:15" x14ac:dyDescent="0.25">
      <c r="A16" s="202" t="s">
        <v>1938</v>
      </c>
      <c r="B16" s="238"/>
      <c r="C16" s="202" t="s">
        <v>1941</v>
      </c>
      <c r="D16" s="202" t="s">
        <v>1946</v>
      </c>
      <c r="E16" s="202"/>
      <c r="F16" s="202" t="s">
        <v>758</v>
      </c>
      <c r="G16" s="202" t="str">
        <f t="shared" si="0"/>
        <v>&lt;FirstNameTL&gt; &lt;/FirstNameTL&gt;</v>
      </c>
      <c r="H16" s="202" t="s">
        <v>1836</v>
      </c>
      <c r="I16" s="202" t="s">
        <v>1836</v>
      </c>
      <c r="J16" s="202"/>
      <c r="K16" s="202"/>
      <c r="L16" s="202"/>
      <c r="M16" s="202"/>
      <c r="N16" s="202"/>
      <c r="O16" s="227"/>
    </row>
    <row r="17" spans="1:15" x14ac:dyDescent="0.25">
      <c r="A17" s="203" t="s">
        <v>2948</v>
      </c>
      <c r="B17" s="238"/>
      <c r="C17" s="203" t="s">
        <v>1947</v>
      </c>
      <c r="D17" s="203" t="s">
        <v>1240</v>
      </c>
      <c r="E17" s="203"/>
      <c r="F17" s="203" t="s">
        <v>758</v>
      </c>
      <c r="G17" s="203" t="str">
        <f t="shared" si="0"/>
        <v>&lt;MiddleName&gt; &lt;/MiddleName&gt;</v>
      </c>
      <c r="H17" s="203" t="s">
        <v>2705</v>
      </c>
      <c r="I17" s="203" t="s">
        <v>2284</v>
      </c>
      <c r="J17" s="203" t="s">
        <v>1481</v>
      </c>
      <c r="K17" s="203"/>
      <c r="L17" s="203"/>
      <c r="M17" s="203"/>
      <c r="N17" s="203"/>
      <c r="O17" s="228"/>
    </row>
    <row r="18" spans="1:15" x14ac:dyDescent="0.25">
      <c r="A18" s="202" t="s">
        <v>1938</v>
      </c>
      <c r="B18" s="238"/>
      <c r="C18" s="202" t="s">
        <v>1939</v>
      </c>
      <c r="D18" s="202" t="s">
        <v>1948</v>
      </c>
      <c r="E18" s="202"/>
      <c r="F18" s="202" t="s">
        <v>758</v>
      </c>
      <c r="G18" s="202" t="str">
        <f t="shared" si="0"/>
        <v>&lt;MiddleNameTC&gt; &lt;/MiddleNameTC&gt;</v>
      </c>
      <c r="H18" s="202" t="s">
        <v>1836</v>
      </c>
      <c r="I18" s="202" t="s">
        <v>1836</v>
      </c>
      <c r="J18" s="202"/>
      <c r="K18" s="202"/>
      <c r="L18" s="202"/>
      <c r="M18" s="202"/>
      <c r="N18" s="202"/>
      <c r="O18" s="227"/>
    </row>
    <row r="19" spans="1:15" x14ac:dyDescent="0.25">
      <c r="A19" s="203" t="s">
        <v>1938</v>
      </c>
      <c r="B19" s="238"/>
      <c r="C19" s="203" t="s">
        <v>1941</v>
      </c>
      <c r="D19" s="203" t="s">
        <v>1949</v>
      </c>
      <c r="E19" s="203"/>
      <c r="F19" s="203" t="s">
        <v>758</v>
      </c>
      <c r="G19" s="203" t="str">
        <f t="shared" si="0"/>
        <v>&lt;MiddleNameTL&gt; &lt;/MiddleNameTL&gt;</v>
      </c>
      <c r="H19" s="203" t="s">
        <v>1836</v>
      </c>
      <c r="I19" s="203" t="s">
        <v>1836</v>
      </c>
      <c r="J19" s="203"/>
      <c r="K19" s="203"/>
      <c r="L19" s="203"/>
      <c r="M19" s="203"/>
      <c r="N19" s="203"/>
      <c r="O19" s="228"/>
    </row>
    <row r="20" spans="1:15" x14ac:dyDescent="0.25">
      <c r="A20" s="202" t="s">
        <v>1938</v>
      </c>
      <c r="B20" s="238"/>
      <c r="C20" s="202" t="s">
        <v>1950</v>
      </c>
      <c r="D20" s="202" t="s">
        <v>1951</v>
      </c>
      <c r="E20" s="202"/>
      <c r="F20" s="202" t="s">
        <v>758</v>
      </c>
      <c r="G20" s="202" t="str">
        <f t="shared" si="0"/>
        <v>&lt;DirverLicenseSuffix&gt; &lt;/DirverLicenseSuffix&gt;</v>
      </c>
      <c r="H20" s="203" t="s">
        <v>2704</v>
      </c>
      <c r="I20" s="202" t="s">
        <v>2778</v>
      </c>
      <c r="J20" s="202"/>
      <c r="K20" s="202"/>
      <c r="L20" s="202"/>
      <c r="M20" s="202"/>
      <c r="N20" s="202"/>
      <c r="O20" s="227"/>
    </row>
    <row r="21" spans="1:15" x14ac:dyDescent="0.25">
      <c r="A21" s="203" t="s">
        <v>1931</v>
      </c>
      <c r="B21" s="238"/>
      <c r="C21" s="203" t="s">
        <v>2636</v>
      </c>
      <c r="D21" s="203" t="s">
        <v>2642</v>
      </c>
      <c r="E21" s="203"/>
      <c r="F21" s="203" t="s">
        <v>1961</v>
      </c>
      <c r="G21" s="203" t="str">
        <f t="shared" si="0"/>
        <v>&lt;Restrictions-1&gt; &lt;/Restrictions-1&gt;</v>
      </c>
      <c r="H21" s="203" t="s">
        <v>2695</v>
      </c>
      <c r="I21" s="203" t="s">
        <v>2759</v>
      </c>
      <c r="J21" s="203" t="s">
        <v>1890</v>
      </c>
      <c r="K21" s="203"/>
      <c r="L21" s="203"/>
      <c r="M21" s="203"/>
      <c r="N21" s="203"/>
      <c r="O21" s="228"/>
    </row>
    <row r="22" spans="1:15" x14ac:dyDescent="0.25">
      <c r="A22" s="202" t="s">
        <v>1931</v>
      </c>
      <c r="B22" s="238"/>
      <c r="C22" s="202" t="s">
        <v>2637</v>
      </c>
      <c r="D22" s="202" t="s">
        <v>2643</v>
      </c>
      <c r="E22" s="202"/>
      <c r="F22" s="202" t="s">
        <v>1961</v>
      </c>
      <c r="G22" s="202" t="str">
        <f t="shared" si="0"/>
        <v>&lt;Restrictions-2&gt; &lt;/Restrictions-2&gt;</v>
      </c>
      <c r="H22" s="203" t="s">
        <v>2695</v>
      </c>
      <c r="I22" s="203" t="s">
        <v>2759</v>
      </c>
      <c r="J22" s="202"/>
      <c r="K22" s="202"/>
      <c r="L22" s="202"/>
      <c r="M22" s="202"/>
      <c r="N22" s="202"/>
      <c r="O22" s="227"/>
    </row>
    <row r="23" spans="1:15" x14ac:dyDescent="0.25">
      <c r="A23" s="203" t="s">
        <v>1931</v>
      </c>
      <c r="B23" s="238"/>
      <c r="C23" s="203" t="s">
        <v>2638</v>
      </c>
      <c r="D23" s="203" t="s">
        <v>2644</v>
      </c>
      <c r="E23" s="203"/>
      <c r="F23" s="203" t="s">
        <v>1961</v>
      </c>
      <c r="G23" s="203" t="str">
        <f t="shared" si="0"/>
        <v>&lt;Restrictions-3&gt; &lt;/Restrictions-3&gt;</v>
      </c>
      <c r="H23" s="203" t="s">
        <v>2695</v>
      </c>
      <c r="I23" s="203" t="s">
        <v>2759</v>
      </c>
      <c r="J23" s="203"/>
      <c r="K23" s="203"/>
      <c r="L23" s="203"/>
      <c r="M23" s="203"/>
      <c r="N23" s="203"/>
      <c r="O23" s="228"/>
    </row>
    <row r="24" spans="1:15" x14ac:dyDescent="0.25">
      <c r="A24" s="202" t="s">
        <v>1931</v>
      </c>
      <c r="B24" s="238"/>
      <c r="C24" s="202" t="s">
        <v>2639</v>
      </c>
      <c r="D24" s="202" t="s">
        <v>2645</v>
      </c>
      <c r="E24" s="202"/>
      <c r="F24" s="202" t="s">
        <v>1961</v>
      </c>
      <c r="G24" s="202" t="str">
        <f t="shared" si="0"/>
        <v>&lt;Restrictions-4&gt; &lt;/Restrictions-4&gt;</v>
      </c>
      <c r="H24" s="203" t="s">
        <v>2695</v>
      </c>
      <c r="I24" s="203" t="s">
        <v>2759</v>
      </c>
      <c r="J24" s="202"/>
      <c r="K24" s="202"/>
      <c r="L24" s="202"/>
      <c r="M24" s="202"/>
      <c r="N24" s="202"/>
      <c r="O24" s="227"/>
    </row>
    <row r="25" spans="1:15" x14ac:dyDescent="0.25">
      <c r="A25" s="203" t="s">
        <v>1931</v>
      </c>
      <c r="B25" s="238"/>
      <c r="C25" s="203" t="s">
        <v>2640</v>
      </c>
      <c r="D25" s="203" t="s">
        <v>2646</v>
      </c>
      <c r="E25" s="203"/>
      <c r="F25" s="203" t="s">
        <v>1961</v>
      </c>
      <c r="G25" s="203" t="str">
        <f t="shared" si="0"/>
        <v>&lt;Restrictions-5&gt; &lt;/Restrictions-5&gt;</v>
      </c>
      <c r="H25" s="203" t="s">
        <v>2695</v>
      </c>
      <c r="I25" s="203" t="s">
        <v>2759</v>
      </c>
      <c r="J25" s="203"/>
      <c r="K25" s="203"/>
      <c r="L25" s="203"/>
      <c r="M25" s="203"/>
      <c r="N25" s="203"/>
      <c r="O25" s="228"/>
    </row>
    <row r="26" spans="1:15" x14ac:dyDescent="0.25">
      <c r="A26" s="202" t="s">
        <v>1931</v>
      </c>
      <c r="B26" s="238"/>
      <c r="C26" s="202" t="s">
        <v>2641</v>
      </c>
      <c r="D26" s="202" t="s">
        <v>2647</v>
      </c>
      <c r="E26" s="202"/>
      <c r="F26" s="202" t="s">
        <v>1961</v>
      </c>
      <c r="G26" s="202" t="str">
        <f t="shared" si="0"/>
        <v>&lt;Restrictions-6&gt; &lt;/Restrictions-6&gt;</v>
      </c>
      <c r="H26" s="203" t="s">
        <v>2695</v>
      </c>
      <c r="I26" s="203" t="s">
        <v>2759</v>
      </c>
      <c r="J26" s="202"/>
      <c r="K26" s="202"/>
      <c r="L26" s="202"/>
      <c r="M26" s="202"/>
      <c r="N26" s="202"/>
      <c r="O26" s="227"/>
    </row>
    <row r="27" spans="1:15" x14ac:dyDescent="0.25">
      <c r="A27" s="203" t="s">
        <v>1927</v>
      </c>
      <c r="B27" s="238"/>
      <c r="C27" s="203" t="s">
        <v>1952</v>
      </c>
      <c r="D27" s="203" t="s">
        <v>1112</v>
      </c>
      <c r="E27" s="203"/>
      <c r="F27" s="203" t="s">
        <v>758</v>
      </c>
      <c r="G27" s="203" t="str">
        <f t="shared" si="0"/>
        <v>&lt;Endorsment&gt; &lt;/Endorsment&gt;</v>
      </c>
      <c r="H27" s="203" t="s">
        <v>2696</v>
      </c>
      <c r="I27" s="203" t="s">
        <v>2760</v>
      </c>
      <c r="J27" s="203" t="s">
        <v>1461</v>
      </c>
      <c r="K27" s="203"/>
      <c r="L27" s="203"/>
      <c r="M27" s="203"/>
      <c r="N27" s="203"/>
      <c r="O27" s="228"/>
    </row>
    <row r="28" spans="1:15" x14ac:dyDescent="0.25">
      <c r="A28" s="202" t="s">
        <v>1927</v>
      </c>
      <c r="B28" s="238"/>
      <c r="C28" s="202" t="s">
        <v>1114</v>
      </c>
      <c r="D28" s="202" t="s">
        <v>1115</v>
      </c>
      <c r="E28" s="202"/>
      <c r="F28" s="202" t="s">
        <v>758</v>
      </c>
      <c r="G28" s="202" t="str">
        <f t="shared" si="0"/>
        <v>&lt;WildLifeAndFisheryLicenseStatus&gt; &lt;/WildLifeAndFisheryLicenseStatus&gt;</v>
      </c>
      <c r="H28" s="202" t="s">
        <v>2697</v>
      </c>
      <c r="I28" s="202" t="s">
        <v>2761</v>
      </c>
      <c r="J28" s="202" t="s">
        <v>1464</v>
      </c>
      <c r="K28" s="202"/>
      <c r="L28" s="202"/>
      <c r="M28" s="202"/>
      <c r="N28" s="202"/>
      <c r="O28" s="227"/>
    </row>
    <row r="29" spans="1:15" x14ac:dyDescent="0.25">
      <c r="A29" s="203" t="s">
        <v>1927</v>
      </c>
      <c r="B29" s="238"/>
      <c r="C29" s="203" t="s">
        <v>748</v>
      </c>
      <c r="D29" s="203" t="s">
        <v>748</v>
      </c>
      <c r="E29" s="203" t="s">
        <v>2272</v>
      </c>
      <c r="F29" s="203" t="s">
        <v>758</v>
      </c>
      <c r="G29" s="203" t="str">
        <f t="shared" si="0"/>
        <v>&lt;Flag-1&gt; &lt;/Flag-1&gt;</v>
      </c>
      <c r="H29" s="203" t="s">
        <v>2709</v>
      </c>
      <c r="I29" s="202" t="s">
        <v>2768</v>
      </c>
      <c r="J29" s="203"/>
      <c r="K29" s="203"/>
      <c r="L29" s="203"/>
      <c r="M29" s="203"/>
      <c r="N29" s="203"/>
      <c r="O29" s="228"/>
    </row>
    <row r="30" spans="1:15" x14ac:dyDescent="0.25">
      <c r="A30" s="202" t="s">
        <v>1927</v>
      </c>
      <c r="B30" s="238"/>
      <c r="C30" s="202" t="s">
        <v>749</v>
      </c>
      <c r="D30" s="202" t="s">
        <v>749</v>
      </c>
      <c r="E30" s="202" t="s">
        <v>2272</v>
      </c>
      <c r="F30" s="202" t="s">
        <v>758</v>
      </c>
      <c r="G30" s="202" t="str">
        <f t="shared" si="0"/>
        <v>&lt;Flag-2&gt; &lt;/Flag-2&gt;</v>
      </c>
      <c r="H30" s="203" t="s">
        <v>2709</v>
      </c>
      <c r="I30" s="202" t="s">
        <v>2768</v>
      </c>
      <c r="J30" s="202"/>
      <c r="K30" s="202"/>
      <c r="L30" s="202"/>
      <c r="M30" s="202"/>
      <c r="N30" s="202"/>
      <c r="O30" s="227"/>
    </row>
    <row r="31" spans="1:15" x14ac:dyDescent="0.25">
      <c r="A31" s="203" t="s">
        <v>1927</v>
      </c>
      <c r="B31" s="238"/>
      <c r="C31" s="203" t="s">
        <v>750</v>
      </c>
      <c r="D31" s="203" t="s">
        <v>750</v>
      </c>
      <c r="E31" s="203" t="s">
        <v>2272</v>
      </c>
      <c r="F31" s="203" t="s">
        <v>758</v>
      </c>
      <c r="G31" s="203" t="str">
        <f t="shared" si="0"/>
        <v>&lt;Flag-3&gt; &lt;/Flag-3&gt;</v>
      </c>
      <c r="H31" s="203" t="s">
        <v>2709</v>
      </c>
      <c r="I31" s="202" t="s">
        <v>2768</v>
      </c>
      <c r="J31" s="203"/>
      <c r="K31" s="203"/>
      <c r="L31" s="203"/>
      <c r="M31" s="203"/>
      <c r="N31" s="203"/>
      <c r="O31" s="228"/>
    </row>
    <row r="32" spans="1:15" x14ac:dyDescent="0.25">
      <c r="A32" s="202" t="s">
        <v>1927</v>
      </c>
      <c r="B32" s="238"/>
      <c r="C32" s="202" t="s">
        <v>751</v>
      </c>
      <c r="D32" s="202" t="s">
        <v>751</v>
      </c>
      <c r="E32" s="202" t="s">
        <v>2272</v>
      </c>
      <c r="F32" s="202" t="s">
        <v>758</v>
      </c>
      <c r="G32" s="202" t="str">
        <f t="shared" si="0"/>
        <v>&lt;Flag-4&gt; &lt;/Flag-4&gt;</v>
      </c>
      <c r="H32" s="203" t="s">
        <v>2709</v>
      </c>
      <c r="I32" s="202" t="s">
        <v>2768</v>
      </c>
      <c r="J32" s="202"/>
      <c r="K32" s="202"/>
      <c r="L32" s="202"/>
      <c r="M32" s="202"/>
      <c r="N32" s="202"/>
      <c r="O32" s="227"/>
    </row>
    <row r="33" spans="1:15" x14ac:dyDescent="0.25">
      <c r="A33" s="203" t="s">
        <v>1927</v>
      </c>
      <c r="B33" s="238"/>
      <c r="C33" s="203" t="s">
        <v>752</v>
      </c>
      <c r="D33" s="203" t="s">
        <v>752</v>
      </c>
      <c r="E33" s="203" t="s">
        <v>2272</v>
      </c>
      <c r="F33" s="203" t="s">
        <v>758</v>
      </c>
      <c r="G33" s="203" t="str">
        <f t="shared" si="0"/>
        <v>&lt;Flag-5&gt; &lt;/Flag-5&gt;</v>
      </c>
      <c r="H33" s="203" t="s">
        <v>2709</v>
      </c>
      <c r="I33" s="202" t="s">
        <v>2768</v>
      </c>
      <c r="J33" s="203"/>
      <c r="K33" s="203"/>
      <c r="L33" s="203"/>
      <c r="M33" s="203"/>
      <c r="N33" s="203"/>
      <c r="O33" s="228"/>
    </row>
    <row r="34" spans="1:15" x14ac:dyDescent="0.25">
      <c r="A34" s="202" t="s">
        <v>1927</v>
      </c>
      <c r="B34" s="238"/>
      <c r="C34" s="202" t="s">
        <v>753</v>
      </c>
      <c r="D34" s="202" t="s">
        <v>753</v>
      </c>
      <c r="E34" s="202" t="s">
        <v>2272</v>
      </c>
      <c r="F34" s="202" t="s">
        <v>758</v>
      </c>
      <c r="G34" s="202" t="str">
        <f t="shared" ref="G34:G65" si="1">CONCATENATE("&lt;",TRIM(D34),"&gt; &lt;/",TRIM(D34),"&gt;")</f>
        <v>&lt;Flag-6&gt; &lt;/Flag-6&gt;</v>
      </c>
      <c r="H34" s="203" t="s">
        <v>2709</v>
      </c>
      <c r="I34" s="202" t="s">
        <v>2768</v>
      </c>
      <c r="J34" s="202"/>
      <c r="K34" s="202"/>
      <c r="L34" s="202"/>
      <c r="M34" s="202"/>
      <c r="N34" s="202"/>
      <c r="O34" s="227"/>
    </row>
    <row r="35" spans="1:15" x14ac:dyDescent="0.25">
      <c r="A35" s="203" t="s">
        <v>1927</v>
      </c>
      <c r="B35" s="238"/>
      <c r="C35" s="203" t="s">
        <v>754</v>
      </c>
      <c r="D35" s="203" t="s">
        <v>754</v>
      </c>
      <c r="E35" s="203" t="s">
        <v>2272</v>
      </c>
      <c r="F35" s="203" t="s">
        <v>758</v>
      </c>
      <c r="G35" s="203" t="str">
        <f t="shared" si="1"/>
        <v>&lt;Flag-7&gt; &lt;/Flag-7&gt;</v>
      </c>
      <c r="H35" s="203" t="s">
        <v>2709</v>
      </c>
      <c r="I35" s="202" t="s">
        <v>2768</v>
      </c>
      <c r="J35" s="203"/>
      <c r="K35" s="203"/>
      <c r="L35" s="203"/>
      <c r="M35" s="203"/>
      <c r="N35" s="203"/>
      <c r="O35" s="228"/>
    </row>
    <row r="36" spans="1:15" x14ac:dyDescent="0.25">
      <c r="A36" s="202" t="s">
        <v>1927</v>
      </c>
      <c r="B36" s="238"/>
      <c r="C36" s="202" t="s">
        <v>755</v>
      </c>
      <c r="D36" s="202" t="s">
        <v>755</v>
      </c>
      <c r="E36" s="202" t="s">
        <v>2272</v>
      </c>
      <c r="F36" s="202" t="s">
        <v>758</v>
      </c>
      <c r="G36" s="202" t="str">
        <f t="shared" si="1"/>
        <v>&lt;Flag-8&gt; &lt;/Flag-8&gt;</v>
      </c>
      <c r="H36" s="203" t="s">
        <v>2709</v>
      </c>
      <c r="I36" s="202" t="s">
        <v>2768</v>
      </c>
      <c r="J36" s="202"/>
      <c r="K36" s="202"/>
      <c r="L36" s="202"/>
      <c r="M36" s="202"/>
      <c r="N36" s="202"/>
      <c r="O36" s="227"/>
    </row>
    <row r="37" spans="1:15" x14ac:dyDescent="0.25">
      <c r="A37" s="203" t="s">
        <v>1927</v>
      </c>
      <c r="B37" s="238"/>
      <c r="C37" s="203" t="s">
        <v>756</v>
      </c>
      <c r="D37" s="203" t="s">
        <v>756</v>
      </c>
      <c r="E37" s="203" t="s">
        <v>2272</v>
      </c>
      <c r="F37" s="203" t="s">
        <v>758</v>
      </c>
      <c r="G37" s="203" t="str">
        <f t="shared" si="1"/>
        <v>&lt;Flag-9&gt; &lt;/Flag-9&gt;</v>
      </c>
      <c r="H37" s="203" t="s">
        <v>2709</v>
      </c>
      <c r="I37" s="202" t="s">
        <v>2768</v>
      </c>
      <c r="J37" s="203"/>
      <c r="K37" s="203"/>
      <c r="L37" s="203"/>
      <c r="M37" s="203"/>
      <c r="N37" s="203"/>
      <c r="O37" s="228"/>
    </row>
    <row r="38" spans="1:15" x14ac:dyDescent="0.25">
      <c r="A38" s="202" t="s">
        <v>1927</v>
      </c>
      <c r="B38" s="238"/>
      <c r="C38" s="202" t="s">
        <v>757</v>
      </c>
      <c r="D38" s="202" t="s">
        <v>757</v>
      </c>
      <c r="E38" s="202" t="s">
        <v>2272</v>
      </c>
      <c r="F38" s="202" t="s">
        <v>758</v>
      </c>
      <c r="G38" s="202" t="str">
        <f t="shared" si="1"/>
        <v>&lt;Flag-10&gt; &lt;/Flag-10&gt;</v>
      </c>
      <c r="H38" s="203" t="s">
        <v>2709</v>
      </c>
      <c r="I38" s="202" t="s">
        <v>2768</v>
      </c>
      <c r="J38" s="202"/>
      <c r="K38" s="202"/>
      <c r="L38" s="202"/>
      <c r="M38" s="202"/>
      <c r="N38" s="202"/>
      <c r="O38" s="227"/>
    </row>
    <row r="39" spans="1:15" x14ac:dyDescent="0.25">
      <c r="A39" s="203" t="s">
        <v>1927</v>
      </c>
      <c r="B39" s="202"/>
      <c r="C39" s="203" t="s">
        <v>791</v>
      </c>
      <c r="D39" s="203" t="s">
        <v>1953</v>
      </c>
      <c r="E39" s="203"/>
      <c r="F39" s="203" t="s">
        <v>758</v>
      </c>
      <c r="G39" s="203" t="str">
        <f t="shared" si="1"/>
        <v>&lt;OutOfStateCode&gt; &lt;/OutOfStateCode&gt;</v>
      </c>
      <c r="H39" s="203" t="s">
        <v>2708</v>
      </c>
      <c r="I39" s="202" t="s">
        <v>2762</v>
      </c>
      <c r="J39" s="203"/>
      <c r="K39" s="203"/>
      <c r="L39" s="203"/>
      <c r="M39" s="203"/>
      <c r="N39" s="203"/>
      <c r="O39" s="228"/>
    </row>
    <row r="40" spans="1:15" ht="30" x14ac:dyDescent="0.25">
      <c r="A40" s="202" t="s">
        <v>1927</v>
      </c>
      <c r="B40" s="203"/>
      <c r="C40" s="202" t="s">
        <v>745</v>
      </c>
      <c r="D40" s="202" t="s">
        <v>1954</v>
      </c>
      <c r="E40" s="202" t="s">
        <v>1930</v>
      </c>
      <c r="F40" s="202" t="s">
        <v>758</v>
      </c>
      <c r="G40" s="202" t="str">
        <f t="shared" si="1"/>
        <v>&lt;OutOfStateDriverLicenseNo&gt; &lt;/OutOfStateDriverLicenseNo&gt;</v>
      </c>
      <c r="H40" s="202" t="s">
        <v>2710</v>
      </c>
      <c r="I40" s="207" t="s">
        <v>2757</v>
      </c>
      <c r="J40" s="202"/>
      <c r="K40" s="202"/>
      <c r="L40" s="202"/>
      <c r="M40" s="202"/>
      <c r="N40" s="202"/>
      <c r="O40" s="227"/>
    </row>
    <row r="41" spans="1:15" x14ac:dyDescent="0.25">
      <c r="A41" s="203" t="s">
        <v>1927</v>
      </c>
      <c r="B41" s="239" t="s">
        <v>2602</v>
      </c>
      <c r="C41" s="203" t="s">
        <v>1340</v>
      </c>
      <c r="D41" s="203" t="s">
        <v>1055</v>
      </c>
      <c r="E41" s="203"/>
      <c r="F41" s="203" t="s">
        <v>758</v>
      </c>
      <c r="G41" s="203" t="str">
        <f t="shared" si="1"/>
        <v>&lt;DateOfBirth&gt; &lt;/DateOfBirth&gt;</v>
      </c>
      <c r="H41" s="202" t="s">
        <v>2711</v>
      </c>
      <c r="I41" s="202" t="s">
        <v>1203</v>
      </c>
      <c r="J41" s="203"/>
      <c r="K41" s="203"/>
      <c r="L41" s="203"/>
      <c r="M41" s="203"/>
      <c r="N41" s="203"/>
      <c r="O41" s="228"/>
    </row>
    <row r="42" spans="1:15" x14ac:dyDescent="0.25">
      <c r="A42" s="202" t="s">
        <v>1927</v>
      </c>
      <c r="B42" s="239"/>
      <c r="C42" s="202" t="s">
        <v>1934</v>
      </c>
      <c r="D42" s="202" t="s">
        <v>1554</v>
      </c>
      <c r="E42" s="202"/>
      <c r="F42" s="202" t="s">
        <v>758</v>
      </c>
      <c r="G42" s="202" t="str">
        <f t="shared" si="1"/>
        <v>&lt;Race&gt; &lt;/Race&gt;</v>
      </c>
      <c r="H42" s="203" t="s">
        <v>2712</v>
      </c>
      <c r="I42" s="203" t="s">
        <v>1557</v>
      </c>
      <c r="J42" s="202"/>
      <c r="K42" s="202"/>
      <c r="L42" s="202"/>
      <c r="M42" s="202"/>
      <c r="N42" s="202"/>
      <c r="O42" s="227"/>
    </row>
    <row r="43" spans="1:15" x14ac:dyDescent="0.25">
      <c r="A43" s="203" t="s">
        <v>1927</v>
      </c>
      <c r="B43" s="239"/>
      <c r="C43" s="203" t="s">
        <v>1935</v>
      </c>
      <c r="D43" s="203" t="s">
        <v>1555</v>
      </c>
      <c r="E43" s="203"/>
      <c r="F43" s="203" t="s">
        <v>758</v>
      </c>
      <c r="G43" s="203" t="str">
        <f t="shared" si="1"/>
        <v>&lt;Gender&gt; &lt;/Gender&gt;</v>
      </c>
      <c r="H43" s="202" t="s">
        <v>2713</v>
      </c>
      <c r="I43" s="202" t="s">
        <v>1489</v>
      </c>
      <c r="J43" s="203"/>
      <c r="K43" s="203"/>
      <c r="L43" s="203"/>
      <c r="M43" s="203"/>
      <c r="N43" s="203"/>
      <c r="O43" s="228"/>
    </row>
    <row r="44" spans="1:15" x14ac:dyDescent="0.25">
      <c r="A44" s="202" t="s">
        <v>1931</v>
      </c>
      <c r="B44" s="239"/>
      <c r="C44" s="202" t="s">
        <v>1937</v>
      </c>
      <c r="D44" s="202" t="s">
        <v>1236</v>
      </c>
      <c r="E44" s="202"/>
      <c r="F44" s="202" t="s">
        <v>758</v>
      </c>
      <c r="G44" s="202" t="str">
        <f t="shared" si="1"/>
        <v>&lt;LastName&gt; &lt;/LastName&gt;</v>
      </c>
      <c r="H44" s="203" t="s">
        <v>2714</v>
      </c>
      <c r="I44" s="203" t="s">
        <v>1393</v>
      </c>
      <c r="J44" s="202"/>
      <c r="K44" s="202"/>
      <c r="L44" s="202"/>
      <c r="M44" s="202"/>
      <c r="N44" s="202"/>
      <c r="O44" s="227"/>
    </row>
    <row r="45" spans="1:15" x14ac:dyDescent="0.25">
      <c r="A45" s="203" t="s">
        <v>1938</v>
      </c>
      <c r="B45" s="239"/>
      <c r="C45" s="203" t="s">
        <v>1939</v>
      </c>
      <c r="D45" s="203" t="s">
        <v>1940</v>
      </c>
      <c r="E45" s="203"/>
      <c r="F45" s="203" t="s">
        <v>758</v>
      </c>
      <c r="G45" s="203" t="str">
        <f t="shared" si="1"/>
        <v>&lt;LastNameTC&gt; &lt;/LastNameTC&gt;</v>
      </c>
      <c r="H45" s="202" t="s">
        <v>1836</v>
      </c>
      <c r="I45" s="203"/>
      <c r="J45" s="203"/>
      <c r="K45" s="203"/>
      <c r="L45" s="203"/>
      <c r="M45" s="203"/>
      <c r="N45" s="203"/>
      <c r="O45" s="228"/>
    </row>
    <row r="46" spans="1:15" x14ac:dyDescent="0.25">
      <c r="A46" s="202" t="s">
        <v>1938</v>
      </c>
      <c r="B46" s="239"/>
      <c r="C46" s="202" t="s">
        <v>1941</v>
      </c>
      <c r="D46" s="202" t="s">
        <v>1942</v>
      </c>
      <c r="E46" s="202"/>
      <c r="F46" s="202" t="s">
        <v>758</v>
      </c>
      <c r="G46" s="202" t="str">
        <f t="shared" si="1"/>
        <v>&lt;LastNameTL&gt; &lt;/LastNameTL&gt;</v>
      </c>
      <c r="H46" s="203" t="s">
        <v>1836</v>
      </c>
      <c r="I46" s="202"/>
      <c r="J46" s="202"/>
      <c r="K46" s="202"/>
      <c r="L46" s="202"/>
      <c r="M46" s="202"/>
      <c r="N46" s="202"/>
      <c r="O46" s="227"/>
    </row>
    <row r="47" spans="1:15" x14ac:dyDescent="0.25">
      <c r="A47" s="203" t="s">
        <v>1927</v>
      </c>
      <c r="B47" s="239"/>
      <c r="C47" s="203" t="s">
        <v>1123</v>
      </c>
      <c r="D47" s="203" t="s">
        <v>1123</v>
      </c>
      <c r="E47" s="203"/>
      <c r="F47" s="203" t="s">
        <v>758</v>
      </c>
      <c r="G47" s="203" t="str">
        <f t="shared" si="1"/>
        <v>&lt;SSN&gt; &lt;/SSN&gt;</v>
      </c>
      <c r="H47" s="203" t="s">
        <v>2715</v>
      </c>
      <c r="I47" s="203" t="s">
        <v>1386</v>
      </c>
      <c r="J47" s="203"/>
      <c r="K47" s="203"/>
      <c r="L47" s="203"/>
      <c r="M47" s="203"/>
      <c r="N47" s="203"/>
      <c r="O47" s="228"/>
    </row>
    <row r="48" spans="1:15" x14ac:dyDescent="0.25">
      <c r="A48" s="202" t="s">
        <v>1931</v>
      </c>
      <c r="B48" s="239"/>
      <c r="C48" s="202" t="s">
        <v>1944</v>
      </c>
      <c r="D48" s="202" t="s">
        <v>1238</v>
      </c>
      <c r="E48" s="202"/>
      <c r="F48" s="202" t="s">
        <v>758</v>
      </c>
      <c r="G48" s="202" t="str">
        <f t="shared" si="1"/>
        <v>&lt;FirstName&gt; &lt;/FirstName&gt;</v>
      </c>
      <c r="H48" s="202" t="s">
        <v>2716</v>
      </c>
      <c r="I48" s="202" t="s">
        <v>1392</v>
      </c>
      <c r="J48" s="202"/>
      <c r="K48" s="202"/>
      <c r="L48" s="202"/>
      <c r="M48" s="202"/>
      <c r="N48" s="202"/>
      <c r="O48" s="227"/>
    </row>
    <row r="49" spans="1:15" x14ac:dyDescent="0.25">
      <c r="A49" s="203" t="s">
        <v>1938</v>
      </c>
      <c r="B49" s="239"/>
      <c r="C49" s="203" t="s">
        <v>1939</v>
      </c>
      <c r="D49" s="203" t="s">
        <v>1945</v>
      </c>
      <c r="E49" s="203"/>
      <c r="F49" s="203" t="s">
        <v>758</v>
      </c>
      <c r="G49" s="203" t="str">
        <f t="shared" si="1"/>
        <v>&lt;FirstNameTC&gt; &lt;/FirstNameTC&gt;</v>
      </c>
      <c r="H49" s="203" t="s">
        <v>1836</v>
      </c>
      <c r="I49" s="203"/>
      <c r="J49" s="203"/>
      <c r="K49" s="203"/>
      <c r="L49" s="203"/>
      <c r="M49" s="203"/>
      <c r="N49" s="203"/>
      <c r="O49" s="228"/>
    </row>
    <row r="50" spans="1:15" x14ac:dyDescent="0.25">
      <c r="A50" s="202" t="s">
        <v>1938</v>
      </c>
      <c r="B50" s="239"/>
      <c r="C50" s="202" t="s">
        <v>1941</v>
      </c>
      <c r="D50" s="202" t="s">
        <v>2603</v>
      </c>
      <c r="E50" s="202"/>
      <c r="F50" s="202" t="s">
        <v>758</v>
      </c>
      <c r="G50" s="202" t="str">
        <f t="shared" si="1"/>
        <v>&lt;FristNameTL&gt; &lt;/FristNameTL&gt;</v>
      </c>
      <c r="H50" s="202" t="s">
        <v>1836</v>
      </c>
      <c r="I50" s="202"/>
      <c r="J50" s="202"/>
      <c r="K50" s="202"/>
      <c r="L50" s="202"/>
      <c r="M50" s="202"/>
      <c r="N50" s="202"/>
      <c r="O50" s="227"/>
    </row>
    <row r="51" spans="1:15" x14ac:dyDescent="0.25">
      <c r="A51" s="203" t="s">
        <v>1931</v>
      </c>
      <c r="B51" s="239"/>
      <c r="C51" s="203" t="s">
        <v>1947</v>
      </c>
      <c r="D51" s="203" t="s">
        <v>1240</v>
      </c>
      <c r="E51" s="203"/>
      <c r="F51" s="203" t="s">
        <v>758</v>
      </c>
      <c r="G51" s="203" t="str">
        <f t="shared" si="1"/>
        <v>&lt;MiddleName&gt; &lt;/MiddleName&gt;</v>
      </c>
      <c r="H51" s="203" t="s">
        <v>2717</v>
      </c>
      <c r="I51" s="203" t="s">
        <v>2284</v>
      </c>
      <c r="J51" s="203"/>
      <c r="K51" s="203"/>
      <c r="L51" s="203"/>
      <c r="M51" s="203"/>
      <c r="N51" s="203"/>
      <c r="O51" s="228"/>
    </row>
    <row r="52" spans="1:15" x14ac:dyDescent="0.25">
      <c r="A52" s="202" t="s">
        <v>1938</v>
      </c>
      <c r="B52" s="239"/>
      <c r="C52" s="202" t="s">
        <v>1939</v>
      </c>
      <c r="D52" s="202" t="s">
        <v>1948</v>
      </c>
      <c r="E52" s="202"/>
      <c r="F52" s="202" t="s">
        <v>758</v>
      </c>
      <c r="G52" s="202" t="str">
        <f t="shared" si="1"/>
        <v>&lt;MiddleNameTC&gt; &lt;/MiddleNameTC&gt;</v>
      </c>
      <c r="H52" s="202" t="s">
        <v>1836</v>
      </c>
      <c r="I52" s="202"/>
      <c r="J52" s="202"/>
      <c r="K52" s="202"/>
      <c r="L52" s="202"/>
      <c r="M52" s="202"/>
      <c r="N52" s="202"/>
      <c r="O52" s="227"/>
    </row>
    <row r="53" spans="1:15" x14ac:dyDescent="0.25">
      <c r="A53" s="203" t="s">
        <v>1938</v>
      </c>
      <c r="B53" s="239"/>
      <c r="C53" s="203" t="s">
        <v>1941</v>
      </c>
      <c r="D53" s="203" t="s">
        <v>1949</v>
      </c>
      <c r="E53" s="203"/>
      <c r="F53" s="203" t="s">
        <v>758</v>
      </c>
      <c r="G53" s="203" t="str">
        <f t="shared" si="1"/>
        <v>&lt;MiddleNameTL&gt; &lt;/MiddleNameTL&gt;</v>
      </c>
      <c r="H53" s="203" t="s">
        <v>1836</v>
      </c>
      <c r="I53" s="203"/>
      <c r="J53" s="203"/>
      <c r="K53" s="203"/>
      <c r="L53" s="203"/>
      <c r="M53" s="203"/>
      <c r="N53" s="203"/>
      <c r="O53" s="228"/>
    </row>
    <row r="54" spans="1:15" x14ac:dyDescent="0.25">
      <c r="A54" s="202" t="s">
        <v>1927</v>
      </c>
      <c r="B54" s="239"/>
      <c r="C54" s="202" t="s">
        <v>1950</v>
      </c>
      <c r="D54" s="202" t="s">
        <v>2604</v>
      </c>
      <c r="E54" s="202"/>
      <c r="F54" s="202" t="s">
        <v>758</v>
      </c>
      <c r="G54" s="202" t="str">
        <f t="shared" si="1"/>
        <v>&lt;Suffix&gt; &lt;/Suffix&gt;</v>
      </c>
      <c r="H54" s="203" t="s">
        <v>2718</v>
      </c>
      <c r="I54" s="202" t="s">
        <v>2778</v>
      </c>
      <c r="J54" s="202"/>
      <c r="K54" s="202"/>
      <c r="L54" s="202"/>
      <c r="M54" s="202"/>
      <c r="N54" s="202"/>
      <c r="O54" s="227"/>
    </row>
    <row r="55" spans="1:15" x14ac:dyDescent="0.25">
      <c r="A55" s="203" t="s">
        <v>1927</v>
      </c>
      <c r="B55" s="203"/>
      <c r="C55" s="203" t="s">
        <v>1956</v>
      </c>
      <c r="D55" s="203" t="s">
        <v>2309</v>
      </c>
      <c r="E55" s="203"/>
      <c r="F55" s="203" t="s">
        <v>758</v>
      </c>
      <c r="G55" s="203" t="str">
        <f t="shared" si="1"/>
        <v>&lt;IsCommercialDriverLicense&gt; &lt;/IsCommercialDriverLicense&gt;</v>
      </c>
      <c r="H55" s="203" t="s">
        <v>2719</v>
      </c>
      <c r="I55" s="202" t="s">
        <v>2765</v>
      </c>
      <c r="J55" s="203"/>
      <c r="K55" s="203"/>
      <c r="L55" s="203"/>
      <c r="M55" s="203"/>
      <c r="N55" s="203"/>
      <c r="O55" s="228"/>
    </row>
    <row r="56" spans="1:15" x14ac:dyDescent="0.25">
      <c r="A56" s="202" t="s">
        <v>1938</v>
      </c>
      <c r="B56" s="202"/>
      <c r="C56" s="202" t="s">
        <v>1957</v>
      </c>
      <c r="D56" s="202" t="s">
        <v>2396</v>
      </c>
      <c r="E56" s="202"/>
      <c r="F56" s="202" t="s">
        <v>758</v>
      </c>
      <c r="G56" s="202" t="str">
        <f t="shared" si="1"/>
        <v>&lt;isDLComplainceWithFederalGovernment&gt; &lt;/isDLComplainceWithFederalGovernment&gt;</v>
      </c>
      <c r="H56" s="203" t="s">
        <v>2753</v>
      </c>
      <c r="I56" s="203" t="s">
        <v>2766</v>
      </c>
      <c r="J56" s="202"/>
      <c r="K56" s="202"/>
      <c r="L56" s="202"/>
      <c r="M56" s="202"/>
      <c r="N56" s="202"/>
      <c r="O56" s="227"/>
    </row>
    <row r="57" spans="1:15" x14ac:dyDescent="0.25">
      <c r="A57" s="203" t="s">
        <v>1927</v>
      </c>
      <c r="B57" s="203"/>
      <c r="C57" s="203" t="s">
        <v>1958</v>
      </c>
      <c r="D57" s="203" t="s">
        <v>2310</v>
      </c>
      <c r="E57" s="203"/>
      <c r="F57" s="203" t="s">
        <v>758</v>
      </c>
      <c r="G57" s="203" t="str">
        <f t="shared" si="1"/>
        <v>&lt;OutofStateCommercialDriverLicnese&gt; &lt;/OutofStateCommercialDriverLicnese&gt;</v>
      </c>
      <c r="H57" s="203" t="s">
        <v>2752</v>
      </c>
      <c r="I57" s="202" t="s">
        <v>2765</v>
      </c>
      <c r="J57" s="203"/>
      <c r="K57" s="203"/>
      <c r="L57" s="203"/>
      <c r="M57" s="203"/>
      <c r="N57" s="203"/>
      <c r="O57" s="228"/>
    </row>
    <row r="58" spans="1:15" x14ac:dyDescent="0.25">
      <c r="A58" s="202" t="s">
        <v>1938</v>
      </c>
      <c r="B58" s="202"/>
      <c r="C58" s="202" t="s">
        <v>1959</v>
      </c>
      <c r="D58" s="202" t="s">
        <v>1960</v>
      </c>
      <c r="E58" s="202"/>
      <c r="F58" s="202" t="s">
        <v>1961</v>
      </c>
      <c r="G58" s="202" t="str">
        <f t="shared" si="1"/>
        <v>&lt;visitQueueNumber&gt; &lt;/visitQueueNumber&gt;</v>
      </c>
      <c r="H58" s="203" t="s">
        <v>2720</v>
      </c>
      <c r="I58" s="203" t="s">
        <v>2767</v>
      </c>
      <c r="J58" s="202"/>
      <c r="K58" s="202"/>
      <c r="L58" s="202"/>
      <c r="M58" s="202"/>
      <c r="N58" s="202"/>
      <c r="O58" s="227"/>
    </row>
    <row r="59" spans="1:15" x14ac:dyDescent="0.25">
      <c r="A59" s="203" t="s">
        <v>1962</v>
      </c>
      <c r="B59" s="202"/>
      <c r="C59" s="203" t="s">
        <v>1963</v>
      </c>
      <c r="D59" s="203" t="s">
        <v>1964</v>
      </c>
      <c r="E59" s="203"/>
      <c r="F59" s="203" t="s">
        <v>716</v>
      </c>
      <c r="G59" s="203" t="str">
        <f t="shared" si="1"/>
        <v>&lt;MedicalQuestionOk&gt; &lt;/MedicalQuestionOk&gt;</v>
      </c>
      <c r="H59" s="202" t="s">
        <v>2721</v>
      </c>
      <c r="I59" s="202" t="s">
        <v>2768</v>
      </c>
      <c r="J59" s="203"/>
      <c r="K59" s="203"/>
      <c r="L59" s="203"/>
      <c r="M59" s="203"/>
      <c r="N59" s="203"/>
      <c r="O59" s="228"/>
    </row>
    <row r="60" spans="1:15" x14ac:dyDescent="0.25">
      <c r="A60" s="202" t="s">
        <v>1962</v>
      </c>
      <c r="B60" s="203"/>
      <c r="C60" s="202" t="s">
        <v>1965</v>
      </c>
      <c r="D60" s="202" t="s">
        <v>2610</v>
      </c>
      <c r="E60" s="202"/>
      <c r="F60" s="202" t="s">
        <v>716</v>
      </c>
      <c r="G60" s="202" t="str">
        <f t="shared" si="1"/>
        <v>&lt;MedicalQuestionOne&gt; &lt;/MedicalQuestionOne&gt;</v>
      </c>
      <c r="H60" s="202" t="s">
        <v>2721</v>
      </c>
      <c r="I60" s="202" t="s">
        <v>2768</v>
      </c>
      <c r="J60" s="202"/>
      <c r="K60" s="202"/>
      <c r="L60" s="202"/>
      <c r="M60" s="202"/>
      <c r="N60" s="202"/>
      <c r="O60" s="227"/>
    </row>
    <row r="61" spans="1:15" x14ac:dyDescent="0.25">
      <c r="A61" s="203" t="s">
        <v>1962</v>
      </c>
      <c r="B61" s="202"/>
      <c r="C61" s="203" t="s">
        <v>1966</v>
      </c>
      <c r="D61" s="203" t="s">
        <v>2611</v>
      </c>
      <c r="E61" s="203"/>
      <c r="F61" s="203" t="s">
        <v>716</v>
      </c>
      <c r="G61" s="203" t="str">
        <f t="shared" si="1"/>
        <v>&lt;MedicalQuestionTwo&gt; &lt;/MedicalQuestionTwo&gt;</v>
      </c>
      <c r="H61" s="202" t="s">
        <v>2721</v>
      </c>
      <c r="I61" s="202" t="s">
        <v>2768</v>
      </c>
      <c r="J61" s="203"/>
      <c r="K61" s="203"/>
      <c r="L61" s="203"/>
      <c r="M61" s="203"/>
      <c r="N61" s="203"/>
      <c r="O61" s="228"/>
    </row>
    <row r="62" spans="1:15" x14ac:dyDescent="0.25">
      <c r="A62" s="202" t="s">
        <v>1962</v>
      </c>
      <c r="B62" s="239" t="s">
        <v>2606</v>
      </c>
      <c r="C62" s="202" t="s">
        <v>107</v>
      </c>
      <c r="D62" s="202" t="s">
        <v>2607</v>
      </c>
      <c r="E62" s="202"/>
      <c r="F62" s="202" t="s">
        <v>758</v>
      </c>
      <c r="G62" s="202" t="str">
        <f t="shared" si="1"/>
        <v>&lt;EyeVisionLeft&gt; &lt;/EyeVisionLeft&gt;</v>
      </c>
      <c r="H62" s="203" t="s">
        <v>2727</v>
      </c>
      <c r="I62" s="203" t="s">
        <v>2770</v>
      </c>
      <c r="J62" s="202"/>
      <c r="K62" s="202"/>
      <c r="L62" s="202"/>
      <c r="M62" s="202"/>
      <c r="N62" s="202"/>
      <c r="O62" s="227"/>
    </row>
    <row r="63" spans="1:15" x14ac:dyDescent="0.25">
      <c r="A63" s="203" t="s">
        <v>1962</v>
      </c>
      <c r="B63" s="239"/>
      <c r="C63" s="203" t="s">
        <v>2613</v>
      </c>
      <c r="D63" s="203" t="s">
        <v>2608</v>
      </c>
      <c r="E63" s="203"/>
      <c r="F63" s="203" t="s">
        <v>758</v>
      </c>
      <c r="G63" s="203" t="str">
        <f t="shared" si="1"/>
        <v>&lt;EyeVisionRight&gt; &lt;/EyeVisionRight&gt;</v>
      </c>
      <c r="H63" s="203" t="s">
        <v>2723</v>
      </c>
      <c r="I63" s="203" t="s">
        <v>2770</v>
      </c>
      <c r="J63" s="203"/>
      <c r="K63" s="203"/>
      <c r="L63" s="203"/>
      <c r="M63" s="203"/>
      <c r="N63" s="203"/>
      <c r="O63" s="228"/>
    </row>
    <row r="64" spans="1:15" x14ac:dyDescent="0.25">
      <c r="A64" s="202" t="s">
        <v>1962</v>
      </c>
      <c r="B64" s="239"/>
      <c r="C64" s="202" t="s">
        <v>2614</v>
      </c>
      <c r="D64" s="202" t="s">
        <v>2609</v>
      </c>
      <c r="E64" s="202"/>
      <c r="F64" s="202" t="s">
        <v>758</v>
      </c>
      <c r="G64" s="202" t="str">
        <f t="shared" si="1"/>
        <v>&lt;EyeVisionBoth&gt; &lt;/EyeVisionBoth&gt;</v>
      </c>
      <c r="H64" s="203" t="s">
        <v>2724</v>
      </c>
      <c r="I64" s="203" t="s">
        <v>2770</v>
      </c>
      <c r="J64" s="202"/>
      <c r="K64" s="202"/>
      <c r="L64" s="202"/>
      <c r="M64" s="202"/>
      <c r="N64" s="202"/>
      <c r="O64" s="227"/>
    </row>
    <row r="65" spans="1:15" x14ac:dyDescent="0.25">
      <c r="A65" s="203" t="s">
        <v>1962</v>
      </c>
      <c r="B65" s="239" t="s">
        <v>2612</v>
      </c>
      <c r="C65" s="203" t="s">
        <v>107</v>
      </c>
      <c r="D65" s="203" t="s">
        <v>2615</v>
      </c>
      <c r="E65" s="203"/>
      <c r="F65" s="203" t="s">
        <v>758</v>
      </c>
      <c r="G65" s="203" t="str">
        <f t="shared" si="1"/>
        <v>&lt;LensLeft&gt; &lt;/LensLeft&gt;</v>
      </c>
      <c r="H65" s="203" t="s">
        <v>2722</v>
      </c>
      <c r="I65" s="203" t="s">
        <v>2769</v>
      </c>
      <c r="J65" s="203"/>
      <c r="K65" s="203"/>
      <c r="L65" s="203"/>
      <c r="M65" s="203"/>
      <c r="N65" s="203"/>
      <c r="O65" s="228"/>
    </row>
    <row r="66" spans="1:15" x14ac:dyDescent="0.25">
      <c r="A66" s="202" t="s">
        <v>1962</v>
      </c>
      <c r="B66" s="239"/>
      <c r="C66" s="202" t="s">
        <v>2613</v>
      </c>
      <c r="D66" s="202" t="s">
        <v>2616</v>
      </c>
      <c r="E66" s="202"/>
      <c r="F66" s="202" t="s">
        <v>758</v>
      </c>
      <c r="G66" s="202" t="str">
        <f t="shared" ref="G66:G97" si="2">CONCATENATE("&lt;",TRIM(D66),"&gt; &lt;/",TRIM(D66),"&gt;")</f>
        <v>&lt;LensRight&gt; &lt;/LensRight&gt;</v>
      </c>
      <c r="H66" s="203" t="s">
        <v>2725</v>
      </c>
      <c r="I66" s="203" t="s">
        <v>2769</v>
      </c>
      <c r="J66" s="202"/>
      <c r="K66" s="202"/>
      <c r="L66" s="202"/>
      <c r="M66" s="202"/>
      <c r="N66" s="202"/>
      <c r="O66" s="227"/>
    </row>
    <row r="67" spans="1:15" x14ac:dyDescent="0.25">
      <c r="A67" s="203" t="s">
        <v>1962</v>
      </c>
      <c r="B67" s="239"/>
      <c r="C67" s="203" t="s">
        <v>2614</v>
      </c>
      <c r="D67" s="203" t="s">
        <v>2617</v>
      </c>
      <c r="E67" s="203"/>
      <c r="F67" s="203" t="s">
        <v>758</v>
      </c>
      <c r="G67" s="203" t="str">
        <f t="shared" si="2"/>
        <v>&lt;LensBoth&gt; &lt;/LensBoth&gt;</v>
      </c>
      <c r="H67" s="203" t="s">
        <v>2726</v>
      </c>
      <c r="I67" s="203" t="s">
        <v>2769</v>
      </c>
      <c r="J67" s="203"/>
      <c r="K67" s="203"/>
      <c r="L67" s="203"/>
      <c r="M67" s="203"/>
      <c r="N67" s="203"/>
      <c r="O67" s="228"/>
    </row>
    <row r="68" spans="1:15" x14ac:dyDescent="0.25">
      <c r="A68" s="202" t="s">
        <v>1962</v>
      </c>
      <c r="B68" s="203"/>
      <c r="C68" s="202" t="s">
        <v>1967</v>
      </c>
      <c r="D68" s="202" t="s">
        <v>1967</v>
      </c>
      <c r="E68" s="202"/>
      <c r="F68" s="202" t="s">
        <v>758</v>
      </c>
      <c r="G68" s="202" t="str">
        <f t="shared" si="2"/>
        <v>&lt;MC&gt; &lt;/MC&gt;</v>
      </c>
      <c r="H68" s="203" t="s">
        <v>2696</v>
      </c>
      <c r="I68" s="203" t="s">
        <v>2760</v>
      </c>
      <c r="J68" s="202"/>
      <c r="K68" s="202"/>
      <c r="L68" s="202"/>
      <c r="M68" s="202"/>
      <c r="N68" s="202"/>
      <c r="O68" s="227"/>
    </row>
    <row r="69" spans="1:15" x14ac:dyDescent="0.25">
      <c r="A69" s="203" t="s">
        <v>1962</v>
      </c>
      <c r="B69" s="202"/>
      <c r="C69" s="203" t="s">
        <v>1968</v>
      </c>
      <c r="D69" s="203" t="s">
        <v>2618</v>
      </c>
      <c r="E69" s="203"/>
      <c r="F69" s="203" t="s">
        <v>758</v>
      </c>
      <c r="G69" s="203" t="str">
        <f t="shared" si="2"/>
        <v>&lt;DL-TL&gt; &lt;/DL-TL&gt;</v>
      </c>
      <c r="H69" s="203" t="s">
        <v>2696</v>
      </c>
      <c r="I69" s="203" t="s">
        <v>2760</v>
      </c>
      <c r="J69" s="203"/>
      <c r="K69" s="203"/>
      <c r="L69" s="203"/>
      <c r="M69" s="203"/>
      <c r="N69" s="203"/>
      <c r="O69" s="228"/>
    </row>
    <row r="70" spans="1:15" x14ac:dyDescent="0.25">
      <c r="A70" s="202" t="s">
        <v>1962</v>
      </c>
      <c r="B70" s="203"/>
      <c r="C70" s="202" t="s">
        <v>1969</v>
      </c>
      <c r="D70" s="202" t="s">
        <v>1969</v>
      </c>
      <c r="E70" s="202"/>
      <c r="F70" s="202" t="s">
        <v>758</v>
      </c>
      <c r="G70" s="202" t="str">
        <f t="shared" si="2"/>
        <v>&lt;TNK&gt; &lt;/TNK&gt;</v>
      </c>
      <c r="H70" s="203" t="s">
        <v>2696</v>
      </c>
      <c r="I70" s="203" t="s">
        <v>2760</v>
      </c>
      <c r="J70" s="202"/>
      <c r="K70" s="202"/>
      <c r="L70" s="202"/>
      <c r="M70" s="202"/>
      <c r="N70" s="202"/>
      <c r="O70" s="227"/>
    </row>
    <row r="71" spans="1:15" x14ac:dyDescent="0.25">
      <c r="A71" s="203" t="s">
        <v>1962</v>
      </c>
      <c r="B71" s="202"/>
      <c r="C71" s="203" t="s">
        <v>1970</v>
      </c>
      <c r="D71" s="203" t="s">
        <v>1970</v>
      </c>
      <c r="E71" s="203"/>
      <c r="F71" s="203" t="s">
        <v>758</v>
      </c>
      <c r="G71" s="203" t="str">
        <f t="shared" si="2"/>
        <v>&lt;HAZ&gt; &lt;/HAZ&gt;</v>
      </c>
      <c r="H71" s="203" t="s">
        <v>2696</v>
      </c>
      <c r="I71" s="203" t="s">
        <v>2760</v>
      </c>
      <c r="J71" s="203"/>
      <c r="K71" s="203"/>
      <c r="L71" s="203"/>
      <c r="M71" s="203"/>
      <c r="N71" s="203"/>
      <c r="O71" s="228"/>
    </row>
    <row r="72" spans="1:15" x14ac:dyDescent="0.25">
      <c r="A72" s="202" t="s">
        <v>1962</v>
      </c>
      <c r="B72" s="203"/>
      <c r="C72" s="202" t="s">
        <v>615</v>
      </c>
      <c r="D72" s="202" t="s">
        <v>2619</v>
      </c>
      <c r="E72" s="202"/>
      <c r="F72" s="202" t="s">
        <v>758</v>
      </c>
      <c r="G72" s="202" t="str">
        <f t="shared" si="2"/>
        <v>&lt;Passenger&gt; &lt;/Passenger&gt;</v>
      </c>
      <c r="H72" s="203" t="s">
        <v>2696</v>
      </c>
      <c r="I72" s="203" t="s">
        <v>2760</v>
      </c>
      <c r="J72" s="202"/>
      <c r="K72" s="202"/>
      <c r="L72" s="202"/>
      <c r="M72" s="202"/>
      <c r="N72" s="202"/>
      <c r="O72" s="227"/>
    </row>
    <row r="73" spans="1:15" x14ac:dyDescent="0.25">
      <c r="A73" s="203" t="s">
        <v>1962</v>
      </c>
      <c r="B73" s="202"/>
      <c r="C73" s="203" t="s">
        <v>1971</v>
      </c>
      <c r="D73" s="203" t="s">
        <v>1971</v>
      </c>
      <c r="E73" s="203"/>
      <c r="F73" s="203" t="s">
        <v>758</v>
      </c>
      <c r="G73" s="203" t="str">
        <f t="shared" si="2"/>
        <v>&lt;SB&gt; &lt;/SB&gt;</v>
      </c>
      <c r="H73" s="203" t="s">
        <v>2696</v>
      </c>
      <c r="I73" s="203" t="s">
        <v>2760</v>
      </c>
      <c r="J73" s="203"/>
      <c r="K73" s="203"/>
      <c r="L73" s="203"/>
      <c r="M73" s="203"/>
      <c r="N73" s="203"/>
      <c r="O73" s="228"/>
    </row>
    <row r="74" spans="1:15" x14ac:dyDescent="0.25">
      <c r="A74" s="202" t="s">
        <v>1962</v>
      </c>
      <c r="B74" s="203"/>
      <c r="C74" s="202" t="s">
        <v>1972</v>
      </c>
      <c r="D74" s="202" t="s">
        <v>1972</v>
      </c>
      <c r="E74" s="202"/>
      <c r="F74" s="202" t="s">
        <v>758</v>
      </c>
      <c r="G74" s="202" t="str">
        <f t="shared" si="2"/>
        <v>&lt;EMR&gt; &lt;/EMR&gt;</v>
      </c>
      <c r="H74" s="203" t="s">
        <v>2696</v>
      </c>
      <c r="I74" s="203" t="s">
        <v>2760</v>
      </c>
      <c r="J74" s="202"/>
      <c r="K74" s="202"/>
      <c r="L74" s="202"/>
      <c r="M74" s="202"/>
      <c r="N74" s="202"/>
      <c r="O74" s="227"/>
    </row>
    <row r="75" spans="1:15" x14ac:dyDescent="0.25">
      <c r="A75" s="203" t="s">
        <v>1962</v>
      </c>
      <c r="B75" s="202"/>
      <c r="C75" s="203" t="s">
        <v>1973</v>
      </c>
      <c r="D75" s="203" t="s">
        <v>1974</v>
      </c>
      <c r="E75" s="203"/>
      <c r="F75" s="203" t="s">
        <v>758</v>
      </c>
      <c r="G75" s="203" t="str">
        <f t="shared" si="2"/>
        <v>&lt;LifeTimeHunting&gt; &lt;/LifeTimeHunting&gt;</v>
      </c>
      <c r="H75" s="203" t="s">
        <v>2696</v>
      </c>
      <c r="I75" s="203" t="s">
        <v>2760</v>
      </c>
      <c r="J75" s="203"/>
      <c r="K75" s="203"/>
      <c r="L75" s="203"/>
      <c r="M75" s="203"/>
      <c r="N75" s="203"/>
      <c r="O75" s="228"/>
    </row>
    <row r="76" spans="1:15" x14ac:dyDescent="0.25">
      <c r="A76" s="202" t="s">
        <v>1962</v>
      </c>
      <c r="B76" s="203"/>
      <c r="C76" s="202" t="s">
        <v>1975</v>
      </c>
      <c r="D76" s="202" t="s">
        <v>1976</v>
      </c>
      <c r="E76" s="202"/>
      <c r="F76" s="202" t="s">
        <v>758</v>
      </c>
      <c r="G76" s="202" t="str">
        <f t="shared" si="2"/>
        <v>&lt;LifeTimeFishing&gt; &lt;/LifeTimeFishing&gt;</v>
      </c>
      <c r="H76" s="203" t="s">
        <v>2696</v>
      </c>
      <c r="I76" s="203" t="s">
        <v>2760</v>
      </c>
      <c r="J76" s="202"/>
      <c r="K76" s="202"/>
      <c r="L76" s="202"/>
      <c r="M76" s="202"/>
      <c r="N76" s="202"/>
      <c r="O76" s="227"/>
    </row>
    <row r="77" spans="1:15" x14ac:dyDescent="0.25">
      <c r="A77" s="203" t="s">
        <v>1962</v>
      </c>
      <c r="B77" s="202"/>
      <c r="C77" s="203" t="s">
        <v>1977</v>
      </c>
      <c r="D77" s="203" t="s">
        <v>1978</v>
      </c>
      <c r="E77" s="203"/>
      <c r="F77" s="203" t="s">
        <v>758</v>
      </c>
      <c r="G77" s="203" t="str">
        <f t="shared" si="2"/>
        <v>&lt;HuntersEducation&gt; &lt;/HuntersEducation&gt;</v>
      </c>
      <c r="H77" s="203" t="s">
        <v>2696</v>
      </c>
      <c r="I77" s="203" t="s">
        <v>2760</v>
      </c>
      <c r="J77" s="203"/>
      <c r="K77" s="203"/>
      <c r="L77" s="203"/>
      <c r="M77" s="203"/>
      <c r="N77" s="203"/>
      <c r="O77" s="228"/>
    </row>
    <row r="78" spans="1:15" x14ac:dyDescent="0.25">
      <c r="A78" s="202" t="s">
        <v>1962</v>
      </c>
      <c r="B78" s="203"/>
      <c r="C78" s="202" t="s">
        <v>1979</v>
      </c>
      <c r="D78" s="202" t="s">
        <v>1980</v>
      </c>
      <c r="E78" s="202"/>
      <c r="F78" s="202" t="s">
        <v>758</v>
      </c>
      <c r="G78" s="202" t="str">
        <f t="shared" si="2"/>
        <v>&lt;BoatersEducation&gt; &lt;/BoatersEducation&gt;</v>
      </c>
      <c r="H78" s="203" t="s">
        <v>2696</v>
      </c>
      <c r="I78" s="203" t="s">
        <v>2760</v>
      </c>
      <c r="J78" s="202"/>
      <c r="K78" s="202"/>
      <c r="L78" s="202"/>
      <c r="M78" s="202"/>
      <c r="N78" s="202"/>
      <c r="O78" s="227"/>
    </row>
    <row r="79" spans="1:15" x14ac:dyDescent="0.25">
      <c r="A79" s="203" t="s">
        <v>1962</v>
      </c>
      <c r="B79" s="202"/>
      <c r="C79" s="203" t="s">
        <v>1981</v>
      </c>
      <c r="D79" s="203" t="s">
        <v>1982</v>
      </c>
      <c r="E79" s="203"/>
      <c r="F79" s="203" t="s">
        <v>758</v>
      </c>
      <c r="G79" s="203" t="str">
        <f t="shared" si="2"/>
        <v>&lt;MedicalSelfCertificateNonInter&gt; &lt;/MedicalSelfCertificateNonInter&gt;</v>
      </c>
      <c r="H79" s="202" t="s">
        <v>2721</v>
      </c>
      <c r="I79" s="202" t="s">
        <v>2768</v>
      </c>
      <c r="J79" s="203"/>
      <c r="K79" s="203"/>
      <c r="L79" s="203"/>
      <c r="M79" s="203"/>
      <c r="N79" s="203"/>
      <c r="O79" s="228"/>
    </row>
    <row r="80" spans="1:15" x14ac:dyDescent="0.25">
      <c r="A80" s="202" t="s">
        <v>1962</v>
      </c>
      <c r="B80" s="203"/>
      <c r="C80" s="202" t="s">
        <v>1983</v>
      </c>
      <c r="D80" s="202" t="s">
        <v>1984</v>
      </c>
      <c r="E80" s="202"/>
      <c r="F80" s="202" t="s">
        <v>758</v>
      </c>
      <c r="G80" s="202" t="str">
        <f t="shared" si="2"/>
        <v>&lt;MedicalSelfCertificateExcInter&gt; &lt;/MedicalSelfCertificateExcInter&gt;</v>
      </c>
      <c r="H80" s="202" t="s">
        <v>2721</v>
      </c>
      <c r="I80" s="202" t="s">
        <v>2768</v>
      </c>
      <c r="J80" s="202"/>
      <c r="K80" s="202"/>
      <c r="L80" s="202"/>
      <c r="M80" s="202"/>
      <c r="N80" s="202"/>
      <c r="O80" s="227"/>
    </row>
    <row r="81" spans="1:15" x14ac:dyDescent="0.25">
      <c r="A81" s="203" t="s">
        <v>1962</v>
      </c>
      <c r="B81" s="202"/>
      <c r="C81" s="203" t="s">
        <v>1985</v>
      </c>
      <c r="D81" s="203" t="s">
        <v>1986</v>
      </c>
      <c r="E81" s="203"/>
      <c r="F81" s="203" t="s">
        <v>758</v>
      </c>
      <c r="G81" s="203" t="str">
        <f t="shared" si="2"/>
        <v>&lt;MedicalSelfCertificateNonIntra&gt; &lt;/MedicalSelfCertificateNonIntra&gt;</v>
      </c>
      <c r="H81" s="202" t="s">
        <v>2721</v>
      </c>
      <c r="I81" s="202" t="s">
        <v>2768</v>
      </c>
      <c r="J81" s="203"/>
      <c r="K81" s="203"/>
      <c r="L81" s="203"/>
      <c r="M81" s="203"/>
      <c r="N81" s="203"/>
      <c r="O81" s="228"/>
    </row>
    <row r="82" spans="1:15" x14ac:dyDescent="0.25">
      <c r="A82" s="202" t="s">
        <v>1962</v>
      </c>
      <c r="B82" s="203"/>
      <c r="C82" s="202" t="s">
        <v>1987</v>
      </c>
      <c r="D82" s="202" t="s">
        <v>1988</v>
      </c>
      <c r="E82" s="202"/>
      <c r="F82" s="202" t="s">
        <v>758</v>
      </c>
      <c r="G82" s="202" t="str">
        <f t="shared" si="2"/>
        <v>&lt;MedicalSelfCertificateExcIntra&gt; &lt;/MedicalSelfCertificateExcIntra&gt;</v>
      </c>
      <c r="H82" s="202" t="s">
        <v>2721</v>
      </c>
      <c r="I82" s="202" t="s">
        <v>2768</v>
      </c>
      <c r="J82" s="202"/>
      <c r="K82" s="202"/>
      <c r="L82" s="202"/>
      <c r="M82" s="202"/>
      <c r="N82" s="202"/>
      <c r="O82" s="227"/>
    </row>
    <row r="83" spans="1:15" x14ac:dyDescent="0.25">
      <c r="A83" s="203" t="s">
        <v>1962</v>
      </c>
      <c r="B83" s="202"/>
      <c r="C83" s="203" t="s">
        <v>1989</v>
      </c>
      <c r="D83" s="203" t="s">
        <v>1990</v>
      </c>
      <c r="E83" s="203"/>
      <c r="F83" s="203" t="s">
        <v>758</v>
      </c>
      <c r="G83" s="203" t="str">
        <f t="shared" si="2"/>
        <v>&lt;veteran&gt; &lt;/veteran&gt;</v>
      </c>
      <c r="H83" s="202" t="s">
        <v>2721</v>
      </c>
      <c r="I83" s="202" t="s">
        <v>2768</v>
      </c>
      <c r="J83" s="203"/>
      <c r="K83" s="203"/>
      <c r="L83" s="203"/>
      <c r="M83" s="203"/>
      <c r="N83" s="203"/>
      <c r="O83" s="228"/>
    </row>
    <row r="84" spans="1:15" x14ac:dyDescent="0.25">
      <c r="A84" s="202" t="s">
        <v>1962</v>
      </c>
      <c r="B84" s="203"/>
      <c r="C84" s="202" t="s">
        <v>1991</v>
      </c>
      <c r="D84" s="202" t="s">
        <v>1992</v>
      </c>
      <c r="E84" s="202"/>
      <c r="F84" s="202" t="s">
        <v>758</v>
      </c>
      <c r="G84" s="202" t="str">
        <f t="shared" si="2"/>
        <v>&lt;cajun&gt; &lt;/cajun&gt;</v>
      </c>
      <c r="H84" s="202" t="s">
        <v>2721</v>
      </c>
      <c r="I84" s="202" t="s">
        <v>2768</v>
      </c>
      <c r="J84" s="202"/>
      <c r="K84" s="202"/>
      <c r="L84" s="202"/>
      <c r="M84" s="202"/>
      <c r="N84" s="202"/>
      <c r="O84" s="227"/>
    </row>
    <row r="85" spans="1:15" x14ac:dyDescent="0.25">
      <c r="A85" s="203" t="s">
        <v>1962</v>
      </c>
      <c r="B85" s="202"/>
      <c r="C85" s="203" t="s">
        <v>1993</v>
      </c>
      <c r="D85" s="203" t="s">
        <v>2620</v>
      </c>
      <c r="E85" s="203"/>
      <c r="F85" s="203" t="s">
        <v>758</v>
      </c>
      <c r="G85" s="203" t="str">
        <f t="shared" si="2"/>
        <v>&lt;FreeDocumentCredit&gt; &lt;/FreeDocumentCredit&gt;</v>
      </c>
      <c r="H85" s="202" t="s">
        <v>2721</v>
      </c>
      <c r="I85" s="202" t="s">
        <v>2768</v>
      </c>
      <c r="J85" s="203"/>
      <c r="K85" s="203"/>
      <c r="L85" s="203"/>
      <c r="M85" s="203"/>
      <c r="N85" s="203"/>
      <c r="O85" s="228"/>
    </row>
    <row r="86" spans="1:15" x14ac:dyDescent="0.25">
      <c r="A86" s="202" t="s">
        <v>1962</v>
      </c>
      <c r="B86" s="202"/>
      <c r="C86" s="202" t="s">
        <v>2622</v>
      </c>
      <c r="D86" s="202" t="s">
        <v>2621</v>
      </c>
      <c r="E86" s="202"/>
      <c r="F86" s="202" t="s">
        <v>758</v>
      </c>
      <c r="G86" s="202" t="str">
        <f t="shared" si="2"/>
        <v>&lt;FosterChild&gt; &lt;/FosterChild&gt;</v>
      </c>
      <c r="H86" s="202" t="s">
        <v>2721</v>
      </c>
      <c r="I86" s="202" t="s">
        <v>2768</v>
      </c>
      <c r="J86" s="202"/>
      <c r="K86" s="202"/>
      <c r="L86" s="202"/>
      <c r="M86" s="202"/>
      <c r="N86" s="202"/>
      <c r="O86" s="227"/>
    </row>
    <row r="87" spans="1:15" x14ac:dyDescent="0.25">
      <c r="A87" s="203" t="s">
        <v>1962</v>
      </c>
      <c r="B87" s="203"/>
      <c r="C87" s="203" t="s">
        <v>1994</v>
      </c>
      <c r="D87" s="203" t="s">
        <v>1995</v>
      </c>
      <c r="E87" s="203"/>
      <c r="F87" s="203" t="s">
        <v>758</v>
      </c>
      <c r="G87" s="203" t="str">
        <f t="shared" si="2"/>
        <v>&lt;OrleansPar&gt; &lt;/OrleansPar&gt;</v>
      </c>
      <c r="H87" s="202" t="s">
        <v>2721</v>
      </c>
      <c r="I87" s="202" t="s">
        <v>2768</v>
      </c>
      <c r="J87" s="203"/>
      <c r="K87" s="203"/>
      <c r="L87" s="203"/>
      <c r="M87" s="203"/>
      <c r="N87" s="203"/>
      <c r="O87" s="228"/>
    </row>
    <row r="88" spans="1:15" x14ac:dyDescent="0.25">
      <c r="A88" s="202" t="s">
        <v>1962</v>
      </c>
      <c r="B88" s="202"/>
      <c r="C88" s="202" t="s">
        <v>1996</v>
      </c>
      <c r="D88" s="202" t="s">
        <v>2623</v>
      </c>
      <c r="E88" s="202"/>
      <c r="F88" s="202" t="s">
        <v>758</v>
      </c>
      <c r="G88" s="202" t="str">
        <f t="shared" si="2"/>
        <v>&lt;NonPermanentAlien&gt; &lt;/NonPermanentAlien&gt;</v>
      </c>
      <c r="H88" s="202" t="s">
        <v>2721</v>
      </c>
      <c r="I88" s="202" t="s">
        <v>2768</v>
      </c>
      <c r="J88" s="202"/>
      <c r="K88" s="202"/>
      <c r="L88" s="202"/>
      <c r="M88" s="202"/>
      <c r="N88" s="202"/>
      <c r="O88" s="227"/>
    </row>
    <row r="89" spans="1:15" x14ac:dyDescent="0.25">
      <c r="A89" s="203" t="s">
        <v>1962</v>
      </c>
      <c r="B89" s="203"/>
      <c r="C89" s="203" t="s">
        <v>1997</v>
      </c>
      <c r="D89" s="203" t="s">
        <v>1998</v>
      </c>
      <c r="E89" s="203"/>
      <c r="F89" s="203" t="s">
        <v>758</v>
      </c>
      <c r="G89" s="203" t="str">
        <f t="shared" si="2"/>
        <v>&lt;Duplicate&gt; &lt;/Duplicate&gt;</v>
      </c>
      <c r="H89" s="202" t="s">
        <v>2721</v>
      </c>
      <c r="I89" s="202" t="s">
        <v>2768</v>
      </c>
      <c r="J89" s="203"/>
      <c r="K89" s="203"/>
      <c r="L89" s="203"/>
      <c r="M89" s="203"/>
      <c r="N89" s="203"/>
      <c r="O89" s="228"/>
    </row>
    <row r="90" spans="1:15" x14ac:dyDescent="0.25">
      <c r="A90" s="202" t="s">
        <v>1962</v>
      </c>
      <c r="B90" s="202"/>
      <c r="C90" s="202" t="s">
        <v>1999</v>
      </c>
      <c r="D90" s="202" t="s">
        <v>2624</v>
      </c>
      <c r="E90" s="202"/>
      <c r="F90" s="202" t="s">
        <v>758</v>
      </c>
      <c r="G90" s="202" t="str">
        <f t="shared" si="2"/>
        <v>&lt;PhotoRetake&gt; &lt;/PhotoRetake&gt;</v>
      </c>
      <c r="H90" s="202" t="s">
        <v>2721</v>
      </c>
      <c r="I90" s="202" t="s">
        <v>2768</v>
      </c>
      <c r="J90" s="202"/>
      <c r="K90" s="202"/>
      <c r="L90" s="202"/>
      <c r="M90" s="202"/>
      <c r="N90" s="202"/>
      <c r="O90" s="227"/>
    </row>
    <row r="91" spans="1:15" x14ac:dyDescent="0.25">
      <c r="A91" s="203" t="s">
        <v>1962</v>
      </c>
      <c r="B91" s="203"/>
      <c r="C91" s="203" t="s">
        <v>2000</v>
      </c>
      <c r="D91" s="203" t="s">
        <v>2001</v>
      </c>
      <c r="E91" s="203"/>
      <c r="F91" s="203" t="s">
        <v>758</v>
      </c>
      <c r="G91" s="203" t="str">
        <f t="shared" si="2"/>
        <v>&lt;ChangeData&gt; &lt;/ChangeData&gt;</v>
      </c>
      <c r="H91" s="202" t="s">
        <v>2721</v>
      </c>
      <c r="I91" s="202" t="s">
        <v>2768</v>
      </c>
      <c r="J91" s="203"/>
      <c r="K91" s="203"/>
      <c r="L91" s="203"/>
      <c r="M91" s="203"/>
      <c r="N91" s="203"/>
      <c r="O91" s="228"/>
    </row>
    <row r="92" spans="1:15" x14ac:dyDescent="0.25">
      <c r="A92" s="202" t="s">
        <v>1962</v>
      </c>
      <c r="B92" s="203"/>
      <c r="C92" s="202" t="s">
        <v>2625</v>
      </c>
      <c r="D92" s="202" t="s">
        <v>2626</v>
      </c>
      <c r="E92" s="202"/>
      <c r="F92" s="202" t="s">
        <v>758</v>
      </c>
      <c r="G92" s="202" t="str">
        <f t="shared" si="2"/>
        <v>&lt;ChangeRest&gt; &lt;/ChangeRest&gt;</v>
      </c>
      <c r="H92" s="202" t="s">
        <v>2721</v>
      </c>
      <c r="I92" s="202" t="s">
        <v>2768</v>
      </c>
      <c r="J92" s="202"/>
      <c r="K92" s="202"/>
      <c r="L92" s="202"/>
      <c r="M92" s="202"/>
      <c r="N92" s="202"/>
      <c r="O92" s="227"/>
    </row>
    <row r="93" spans="1:15" x14ac:dyDescent="0.25">
      <c r="A93" s="203" t="s">
        <v>1962</v>
      </c>
      <c r="B93" s="202"/>
      <c r="C93" s="203" t="s">
        <v>2002</v>
      </c>
      <c r="D93" s="203" t="s">
        <v>2003</v>
      </c>
      <c r="E93" s="203"/>
      <c r="F93" s="203" t="s">
        <v>758</v>
      </c>
      <c r="G93" s="203" t="str">
        <f t="shared" si="2"/>
        <v>&lt;Correction&gt; &lt;/Correction&gt;</v>
      </c>
      <c r="H93" s="202" t="s">
        <v>2721</v>
      </c>
      <c r="I93" s="202" t="s">
        <v>2768</v>
      </c>
      <c r="J93" s="203"/>
      <c r="K93" s="203"/>
      <c r="L93" s="203"/>
      <c r="M93" s="203"/>
      <c r="N93" s="203"/>
      <c r="O93" s="228"/>
    </row>
    <row r="94" spans="1:15" x14ac:dyDescent="0.25">
      <c r="A94" s="202" t="s">
        <v>1962</v>
      </c>
      <c r="B94" s="203"/>
      <c r="C94" s="202" t="s">
        <v>2004</v>
      </c>
      <c r="D94" s="202" t="s">
        <v>2627</v>
      </c>
      <c r="E94" s="202"/>
      <c r="F94" s="202" t="s">
        <v>758</v>
      </c>
      <c r="G94" s="202" t="str">
        <f t="shared" si="2"/>
        <v>&lt;DelinqueCredit&gt; &lt;/DelinqueCredit&gt;</v>
      </c>
      <c r="H94" s="202" t="s">
        <v>2721</v>
      </c>
      <c r="I94" s="202" t="s">
        <v>2768</v>
      </c>
      <c r="J94" s="202"/>
      <c r="K94" s="202"/>
      <c r="L94" s="202"/>
      <c r="M94" s="202"/>
      <c r="N94" s="202"/>
      <c r="O94" s="227"/>
    </row>
    <row r="95" spans="1:15" x14ac:dyDescent="0.25">
      <c r="A95" s="203" t="s">
        <v>1962</v>
      </c>
      <c r="B95" s="202"/>
      <c r="C95" s="203" t="s">
        <v>2005</v>
      </c>
      <c r="D95" s="203" t="s">
        <v>2628</v>
      </c>
      <c r="E95" s="203"/>
      <c r="F95" s="203" t="s">
        <v>758</v>
      </c>
      <c r="G95" s="203" t="str">
        <f t="shared" si="2"/>
        <v>&lt;ComercialLicensePermit&gt; &lt;/ComercialLicensePermit&gt;</v>
      </c>
      <c r="H95" s="202" t="s">
        <v>2721</v>
      </c>
      <c r="I95" s="202" t="s">
        <v>2768</v>
      </c>
      <c r="J95" s="203"/>
      <c r="K95" s="203"/>
      <c r="L95" s="203"/>
      <c r="M95" s="203"/>
      <c r="N95" s="203"/>
      <c r="O95" s="228"/>
    </row>
    <row r="96" spans="1:15" x14ac:dyDescent="0.25">
      <c r="A96" s="202" t="s">
        <v>1962</v>
      </c>
      <c r="B96" s="203"/>
      <c r="C96" s="202" t="s">
        <v>2006</v>
      </c>
      <c r="D96" s="202" t="s">
        <v>2007</v>
      </c>
      <c r="E96" s="202"/>
      <c r="F96" s="202" t="s">
        <v>758</v>
      </c>
      <c r="G96" s="202" t="str">
        <f t="shared" si="2"/>
        <v>&lt;AssignDriverLicenseNumber&gt; &lt;/AssignDriverLicenseNumber&gt;</v>
      </c>
      <c r="H96" s="202" t="s">
        <v>2721</v>
      </c>
      <c r="I96" s="202" t="s">
        <v>2768</v>
      </c>
      <c r="J96" s="202"/>
      <c r="K96" s="202"/>
      <c r="L96" s="202"/>
      <c r="M96" s="202"/>
      <c r="N96" s="202"/>
      <c r="O96" s="227"/>
    </row>
    <row r="97" spans="1:15" x14ac:dyDescent="0.25">
      <c r="A97" s="203" t="s">
        <v>1962</v>
      </c>
      <c r="B97" s="202"/>
      <c r="C97" s="203" t="s">
        <v>2008</v>
      </c>
      <c r="D97" s="203" t="s">
        <v>2009</v>
      </c>
      <c r="E97" s="203"/>
      <c r="F97" s="203" t="s">
        <v>758</v>
      </c>
      <c r="G97" s="203" t="str">
        <f t="shared" si="2"/>
        <v>&lt;ApplicationFeeCredit&gt; &lt;/ApplicationFeeCredit&gt;</v>
      </c>
      <c r="H97" s="202" t="s">
        <v>2721</v>
      </c>
      <c r="I97" s="202" t="s">
        <v>2768</v>
      </c>
      <c r="J97" s="203"/>
      <c r="K97" s="203"/>
      <c r="L97" s="203"/>
      <c r="M97" s="203"/>
      <c r="N97" s="203"/>
      <c r="O97" s="228"/>
    </row>
    <row r="98" spans="1:15" x14ac:dyDescent="0.25">
      <c r="A98" s="202" t="s">
        <v>1962</v>
      </c>
      <c r="B98" s="203"/>
      <c r="C98" s="202" t="s">
        <v>2010</v>
      </c>
      <c r="D98" s="202" t="s">
        <v>2011</v>
      </c>
      <c r="E98" s="202"/>
      <c r="F98" s="202" t="s">
        <v>758</v>
      </c>
      <c r="G98" s="202" t="str">
        <f t="shared" ref="G98:G131" si="3">CONCATENATE("&lt;",TRIM(D98),"&gt; &lt;/",TRIM(D98),"&gt;")</f>
        <v>&lt;VoterId&gt; &lt;/VoterId&gt;</v>
      </c>
      <c r="H98" s="202" t="s">
        <v>2721</v>
      </c>
      <c r="I98" s="202" t="s">
        <v>2768</v>
      </c>
      <c r="J98" s="202"/>
      <c r="K98" s="202"/>
      <c r="L98" s="202"/>
      <c r="M98" s="202"/>
      <c r="N98" s="202"/>
      <c r="O98" s="227"/>
    </row>
    <row r="99" spans="1:15" x14ac:dyDescent="0.25">
      <c r="A99" s="203" t="s">
        <v>1962</v>
      </c>
      <c r="B99" s="202"/>
      <c r="C99" s="203" t="s">
        <v>2012</v>
      </c>
      <c r="D99" s="203" t="s">
        <v>2629</v>
      </c>
      <c r="E99" s="203"/>
      <c r="F99" s="203" t="s">
        <v>758</v>
      </c>
      <c r="G99" s="203" t="str">
        <f t="shared" si="3"/>
        <v>&lt;ReferToHazardLicense&gt; &lt;/ReferToHazardLicense&gt;</v>
      </c>
      <c r="H99" s="202" t="s">
        <v>2721</v>
      </c>
      <c r="I99" s="202" t="s">
        <v>2768</v>
      </c>
      <c r="J99" s="203"/>
      <c r="K99" s="203"/>
      <c r="L99" s="203"/>
      <c r="M99" s="203"/>
      <c r="N99" s="203"/>
      <c r="O99" s="228"/>
    </row>
    <row r="100" spans="1:15" x14ac:dyDescent="0.25">
      <c r="A100" s="202" t="s">
        <v>1962</v>
      </c>
      <c r="B100" s="203"/>
      <c r="C100" s="202" t="s">
        <v>2013</v>
      </c>
      <c r="D100" s="202" t="s">
        <v>2630</v>
      </c>
      <c r="E100" s="202"/>
      <c r="F100" s="202" t="s">
        <v>758</v>
      </c>
      <c r="G100" s="202" t="str">
        <f t="shared" si="3"/>
        <v>&lt;Interlock-Breathlizer&gt; &lt;/Interlock-Breathlizer&gt;</v>
      </c>
      <c r="H100" s="202" t="s">
        <v>2721</v>
      </c>
      <c r="I100" s="202" t="s">
        <v>2768</v>
      </c>
      <c r="J100" s="202"/>
      <c r="K100" s="202"/>
      <c r="L100" s="202"/>
      <c r="M100" s="202"/>
      <c r="N100" s="202"/>
      <c r="O100" s="227"/>
    </row>
    <row r="101" spans="1:15" x14ac:dyDescent="0.25">
      <c r="A101" s="203" t="s">
        <v>1962</v>
      </c>
      <c r="B101" s="202"/>
      <c r="C101" s="203" t="s">
        <v>2014</v>
      </c>
      <c r="D101" s="203" t="s">
        <v>2631</v>
      </c>
      <c r="E101" s="203"/>
      <c r="F101" s="203" t="s">
        <v>758</v>
      </c>
      <c r="G101" s="203" t="str">
        <f t="shared" si="3"/>
        <v>&lt;DisabledVeteran&gt; &lt;/DisabledVeteran&gt;</v>
      </c>
      <c r="H101" s="202" t="s">
        <v>2721</v>
      </c>
      <c r="I101" s="202" t="s">
        <v>2768</v>
      </c>
      <c r="J101" s="203"/>
      <c r="K101" s="203"/>
      <c r="L101" s="203"/>
      <c r="M101" s="203"/>
      <c r="N101" s="203"/>
      <c r="O101" s="228"/>
    </row>
    <row r="102" spans="1:15" x14ac:dyDescent="0.25">
      <c r="A102" s="202" t="s">
        <v>1962</v>
      </c>
      <c r="B102" s="203"/>
      <c r="C102" s="202" t="s">
        <v>2015</v>
      </c>
      <c r="D102" s="202" t="s">
        <v>2632</v>
      </c>
      <c r="E102" s="202"/>
      <c r="F102" s="202" t="s">
        <v>758</v>
      </c>
      <c r="G102" s="202" t="str">
        <f t="shared" si="3"/>
        <v>&lt;ChildID&gt; &lt;/ChildID&gt;</v>
      </c>
      <c r="H102" s="202" t="s">
        <v>2721</v>
      </c>
      <c r="I102" s="202" t="s">
        <v>2768</v>
      </c>
      <c r="J102" s="202"/>
      <c r="K102" s="202"/>
      <c r="L102" s="202"/>
      <c r="M102" s="202"/>
      <c r="N102" s="202"/>
      <c r="O102" s="227"/>
    </row>
    <row r="103" spans="1:15" x14ac:dyDescent="0.25">
      <c r="A103" s="203" t="s">
        <v>1962</v>
      </c>
      <c r="B103" s="202"/>
      <c r="C103" s="203" t="s">
        <v>2016</v>
      </c>
      <c r="D103" s="203" t="s">
        <v>2633</v>
      </c>
      <c r="E103" s="203"/>
      <c r="F103" s="203" t="s">
        <v>758</v>
      </c>
      <c r="G103" s="203" t="str">
        <f t="shared" si="3"/>
        <v>&lt;UndocumentAliens&gt; &lt;/UndocumentAliens&gt;</v>
      </c>
      <c r="H103" s="202" t="s">
        <v>2721</v>
      </c>
      <c r="I103" s="202" t="s">
        <v>2768</v>
      </c>
      <c r="J103" s="203"/>
      <c r="K103" s="203"/>
      <c r="L103" s="203"/>
      <c r="M103" s="203"/>
      <c r="N103" s="203"/>
      <c r="O103" s="228"/>
    </row>
    <row r="104" spans="1:15" x14ac:dyDescent="0.25">
      <c r="A104" s="202" t="s">
        <v>1962</v>
      </c>
      <c r="B104" s="203"/>
      <c r="C104" s="202" t="s">
        <v>2017</v>
      </c>
      <c r="D104" s="202" t="s">
        <v>2634</v>
      </c>
      <c r="E104" s="202"/>
      <c r="F104" s="202" t="s">
        <v>758</v>
      </c>
      <c r="G104" s="202" t="str">
        <f t="shared" si="3"/>
        <v>&lt;DrivingWhileIntoxicated1-2-3-Offense&gt; &lt;/DrivingWhileIntoxicated1-2-3-Offense&gt;</v>
      </c>
      <c r="H104" s="202" t="s">
        <v>2721</v>
      </c>
      <c r="I104" s="202" t="s">
        <v>2768</v>
      </c>
      <c r="J104" s="202"/>
      <c r="K104" s="202"/>
      <c r="L104" s="202"/>
      <c r="M104" s="202"/>
      <c r="N104" s="202"/>
      <c r="O104" s="227"/>
    </row>
    <row r="105" spans="1:15" x14ac:dyDescent="0.25">
      <c r="A105" s="203" t="s">
        <v>1962</v>
      </c>
      <c r="B105" s="202"/>
      <c r="C105" s="203" t="s">
        <v>2018</v>
      </c>
      <c r="D105" s="203" t="s">
        <v>2635</v>
      </c>
      <c r="E105" s="203"/>
      <c r="F105" s="203" t="s">
        <v>758</v>
      </c>
      <c r="G105" s="203" t="str">
        <f t="shared" si="3"/>
        <v>&lt;GenderOffender&gt; &lt;/GenderOffender&gt;</v>
      </c>
      <c r="H105" s="202" t="s">
        <v>2721</v>
      </c>
      <c r="I105" s="202" t="s">
        <v>2768</v>
      </c>
      <c r="J105" s="203"/>
      <c r="K105" s="203"/>
      <c r="L105" s="203"/>
      <c r="M105" s="203"/>
      <c r="N105" s="203"/>
      <c r="O105" s="228"/>
    </row>
    <row r="106" spans="1:15" x14ac:dyDescent="0.25">
      <c r="A106" s="202" t="s">
        <v>2019</v>
      </c>
      <c r="B106" s="203"/>
      <c r="C106" s="202" t="s">
        <v>1495</v>
      </c>
      <c r="D106" s="202" t="s">
        <v>1496</v>
      </c>
      <c r="E106" s="202"/>
      <c r="F106" s="202" t="s">
        <v>1961</v>
      </c>
      <c r="G106" s="202" t="str">
        <f t="shared" si="3"/>
        <v>&lt;Height&gt; &lt;/Height&gt;</v>
      </c>
      <c r="H106" s="202" t="s">
        <v>2728</v>
      </c>
      <c r="I106" s="202" t="s">
        <v>1525</v>
      </c>
      <c r="J106" s="202" t="s">
        <v>1527</v>
      </c>
      <c r="K106" s="202"/>
      <c r="L106" s="202"/>
      <c r="M106" s="202"/>
      <c r="N106" s="202"/>
      <c r="O106" s="227"/>
    </row>
    <row r="107" spans="1:15" x14ac:dyDescent="0.25">
      <c r="A107" s="203" t="s">
        <v>2019</v>
      </c>
      <c r="B107" s="202"/>
      <c r="C107" s="203" t="s">
        <v>1494</v>
      </c>
      <c r="D107" s="203" t="s">
        <v>108</v>
      </c>
      <c r="E107" s="203"/>
      <c r="F107" s="203" t="s">
        <v>1961</v>
      </c>
      <c r="G107" s="203" t="str">
        <f t="shared" si="3"/>
        <v>&lt;Weight&gt; &lt;/Weight&gt;</v>
      </c>
      <c r="H107" s="203" t="s">
        <v>2729</v>
      </c>
      <c r="I107" s="203" t="s">
        <v>1524</v>
      </c>
      <c r="J107" s="203" t="s">
        <v>1526</v>
      </c>
      <c r="K107" s="203"/>
      <c r="L107" s="203"/>
      <c r="M107" s="203"/>
      <c r="N107" s="203"/>
      <c r="O107" s="228"/>
    </row>
    <row r="108" spans="1:15" x14ac:dyDescent="0.25">
      <c r="A108" s="202" t="s">
        <v>2019</v>
      </c>
      <c r="B108" s="203"/>
      <c r="C108" s="202" t="s">
        <v>1241</v>
      </c>
      <c r="D108" s="202" t="s">
        <v>1242</v>
      </c>
      <c r="E108" s="202"/>
      <c r="F108" s="202" t="s">
        <v>758</v>
      </c>
      <c r="G108" s="202" t="str">
        <f t="shared" si="3"/>
        <v>&lt;EyeColor&gt; &lt;/EyeColor&gt;</v>
      </c>
      <c r="H108" s="202" t="s">
        <v>2730</v>
      </c>
      <c r="I108" s="202" t="s">
        <v>1492</v>
      </c>
      <c r="J108" s="202" t="s">
        <v>1493</v>
      </c>
      <c r="K108" s="202"/>
      <c r="L108" s="202"/>
      <c r="M108" s="202"/>
      <c r="N108" s="202"/>
      <c r="O108" s="227"/>
    </row>
    <row r="109" spans="1:15" x14ac:dyDescent="0.25">
      <c r="A109" s="203" t="s">
        <v>2019</v>
      </c>
      <c r="B109" s="202"/>
      <c r="C109" s="203" t="s">
        <v>2020</v>
      </c>
      <c r="D109" s="203" t="s">
        <v>2021</v>
      </c>
      <c r="E109" s="203" t="s">
        <v>2022</v>
      </c>
      <c r="F109" s="203" t="s">
        <v>758</v>
      </c>
      <c r="G109" s="203" t="str">
        <f t="shared" si="3"/>
        <v>&lt;LicenseAddressStreetA&gt; &lt;/LicenseAddressStreetA&gt;</v>
      </c>
      <c r="H109" s="203" t="s">
        <v>2731</v>
      </c>
      <c r="I109" s="203" t="s">
        <v>365</v>
      </c>
      <c r="J109" s="203" t="s">
        <v>1198</v>
      </c>
      <c r="K109" s="203"/>
      <c r="L109" s="203"/>
      <c r="M109" s="203"/>
      <c r="N109" s="203"/>
      <c r="O109" s="228"/>
    </row>
    <row r="110" spans="1:15" x14ac:dyDescent="0.25">
      <c r="A110" s="202" t="s">
        <v>2019</v>
      </c>
      <c r="B110" s="203"/>
      <c r="C110" s="202" t="s">
        <v>2023</v>
      </c>
      <c r="D110" s="202" t="s">
        <v>2024</v>
      </c>
      <c r="E110" s="202" t="s">
        <v>2025</v>
      </c>
      <c r="F110" s="202" t="s">
        <v>758</v>
      </c>
      <c r="G110" s="202" t="str">
        <f t="shared" si="3"/>
        <v>&lt;LicenseAddressStrretB&gt; &lt;/LicenseAddressStrretB&gt;</v>
      </c>
      <c r="H110" s="202" t="s">
        <v>2732</v>
      </c>
      <c r="I110" s="202" t="s">
        <v>2034</v>
      </c>
      <c r="J110" s="202" t="s">
        <v>2285</v>
      </c>
      <c r="K110" s="202"/>
      <c r="L110" s="202"/>
      <c r="M110" s="202"/>
      <c r="N110" s="202"/>
      <c r="O110" s="227"/>
    </row>
    <row r="111" spans="1:15" x14ac:dyDescent="0.25">
      <c r="A111" s="203" t="s">
        <v>2019</v>
      </c>
      <c r="B111" s="202"/>
      <c r="C111" s="203" t="s">
        <v>809</v>
      </c>
      <c r="D111" s="203" t="s">
        <v>2026</v>
      </c>
      <c r="E111" s="203" t="s">
        <v>2027</v>
      </c>
      <c r="F111" s="203" t="s">
        <v>758</v>
      </c>
      <c r="G111" s="203" t="str">
        <f t="shared" si="3"/>
        <v>&lt;LicenseAddressCity&gt; &lt;/LicenseAddressCity&gt;</v>
      </c>
      <c r="H111" s="203" t="s">
        <v>2733</v>
      </c>
      <c r="I111" s="203" t="s">
        <v>367</v>
      </c>
      <c r="J111" s="203" t="s">
        <v>1199</v>
      </c>
      <c r="K111" s="203"/>
      <c r="L111" s="203"/>
      <c r="M111" s="203"/>
      <c r="N111" s="203"/>
      <c r="O111" s="228"/>
    </row>
    <row r="112" spans="1:15" x14ac:dyDescent="0.25">
      <c r="A112" s="202" t="s">
        <v>2019</v>
      </c>
      <c r="B112" s="203"/>
      <c r="C112" s="202" t="s">
        <v>810</v>
      </c>
      <c r="D112" s="202" t="s">
        <v>2028</v>
      </c>
      <c r="E112" s="202" t="s">
        <v>2029</v>
      </c>
      <c r="F112" s="202" t="s">
        <v>758</v>
      </c>
      <c r="G112" s="202" t="str">
        <f t="shared" si="3"/>
        <v>&lt;LicenseAddressState&gt; &lt;/LicenseAddressState&gt;</v>
      </c>
      <c r="H112" s="202" t="s">
        <v>2734</v>
      </c>
      <c r="I112" s="202" t="s">
        <v>368</v>
      </c>
      <c r="J112" s="202" t="s">
        <v>2286</v>
      </c>
      <c r="K112" s="202"/>
      <c r="L112" s="202"/>
      <c r="M112" s="202"/>
      <c r="N112" s="202"/>
      <c r="O112" s="227"/>
    </row>
    <row r="113" spans="1:15" x14ac:dyDescent="0.25">
      <c r="A113" s="203" t="s">
        <v>2019</v>
      </c>
      <c r="B113" s="202"/>
      <c r="C113" s="203" t="s">
        <v>126</v>
      </c>
      <c r="D113" s="203" t="s">
        <v>2030</v>
      </c>
      <c r="E113" s="203" t="s">
        <v>1657</v>
      </c>
      <c r="F113" s="203" t="s">
        <v>758</v>
      </c>
      <c r="G113" s="203" t="str">
        <f t="shared" si="3"/>
        <v>&lt;LicenseAddressZip&gt; &lt;/LicenseAddressZip&gt;</v>
      </c>
      <c r="H113" s="203" t="s">
        <v>2735</v>
      </c>
      <c r="I113" s="203" t="s">
        <v>366</v>
      </c>
      <c r="J113" s="203" t="s">
        <v>1201</v>
      </c>
      <c r="K113" s="203"/>
      <c r="L113" s="203"/>
      <c r="M113" s="203"/>
      <c r="N113" s="203"/>
      <c r="O113" s="228"/>
    </row>
    <row r="114" spans="1:15" x14ac:dyDescent="0.25">
      <c r="A114" s="202" t="s">
        <v>2019</v>
      </c>
      <c r="B114" s="203"/>
      <c r="C114" s="202" t="s">
        <v>2020</v>
      </c>
      <c r="D114" s="202" t="s">
        <v>2031</v>
      </c>
      <c r="E114" s="202" t="s">
        <v>1654</v>
      </c>
      <c r="F114" s="202" t="s">
        <v>758</v>
      </c>
      <c r="G114" s="202" t="str">
        <f t="shared" si="3"/>
        <v>&lt;MailingAddressStreetA&gt; &lt;/MailingAddressStreetA&gt;</v>
      </c>
      <c r="H114" s="202" t="s">
        <v>2736</v>
      </c>
      <c r="I114" s="202" t="s">
        <v>365</v>
      </c>
      <c r="J114" s="202" t="s">
        <v>239</v>
      </c>
      <c r="K114" s="202"/>
      <c r="L114" s="202"/>
      <c r="M114" s="202"/>
      <c r="N114" s="202"/>
      <c r="O114" s="227"/>
    </row>
    <row r="115" spans="1:15" x14ac:dyDescent="0.25">
      <c r="A115" s="203" t="s">
        <v>2019</v>
      </c>
      <c r="B115" s="202"/>
      <c r="C115" s="203" t="s">
        <v>2023</v>
      </c>
      <c r="D115" s="203" t="s">
        <v>2032</v>
      </c>
      <c r="E115" s="203" t="s">
        <v>2033</v>
      </c>
      <c r="F115" s="203" t="s">
        <v>758</v>
      </c>
      <c r="G115" s="203" t="str">
        <f t="shared" si="3"/>
        <v>&lt;MailingAddressStrretB&gt; &lt;/MailingAddressStrretB&gt;</v>
      </c>
      <c r="H115" s="203" t="s">
        <v>2737</v>
      </c>
      <c r="I115" s="203" t="s">
        <v>2034</v>
      </c>
      <c r="J115" s="203" t="s">
        <v>2035</v>
      </c>
      <c r="K115" s="203"/>
      <c r="L115" s="203"/>
      <c r="M115" s="203"/>
      <c r="N115" s="203"/>
      <c r="O115" s="228"/>
    </row>
    <row r="116" spans="1:15" x14ac:dyDescent="0.25">
      <c r="A116" s="202" t="s">
        <v>2019</v>
      </c>
      <c r="B116" s="203"/>
      <c r="C116" s="202" t="s">
        <v>809</v>
      </c>
      <c r="D116" s="202" t="s">
        <v>2036</v>
      </c>
      <c r="E116" s="202" t="s">
        <v>1655</v>
      </c>
      <c r="F116" s="202" t="s">
        <v>758</v>
      </c>
      <c r="G116" s="202" t="str">
        <f t="shared" si="3"/>
        <v>&lt;MailingAddressCity&gt; &lt;/MailingAddressCity&gt;</v>
      </c>
      <c r="H116" s="202" t="s">
        <v>2738</v>
      </c>
      <c r="I116" s="202" t="s">
        <v>367</v>
      </c>
      <c r="J116" s="202" t="s">
        <v>241</v>
      </c>
      <c r="K116" s="202"/>
      <c r="L116" s="202"/>
      <c r="M116" s="202"/>
      <c r="N116" s="202"/>
      <c r="O116" s="227"/>
    </row>
    <row r="117" spans="1:15" x14ac:dyDescent="0.25">
      <c r="A117" s="203" t="s">
        <v>2019</v>
      </c>
      <c r="B117" s="202"/>
      <c r="C117" s="203" t="s">
        <v>810</v>
      </c>
      <c r="D117" s="203" t="s">
        <v>2037</v>
      </c>
      <c r="E117" s="203" t="s">
        <v>1656</v>
      </c>
      <c r="F117" s="203" t="s">
        <v>758</v>
      </c>
      <c r="G117" s="203" t="str">
        <f t="shared" si="3"/>
        <v>&lt;MailingAddressState&gt; &lt;/MailingAddressState&gt;</v>
      </c>
      <c r="H117" s="203" t="s">
        <v>2739</v>
      </c>
      <c r="I117" s="203" t="s">
        <v>368</v>
      </c>
      <c r="J117" s="203" t="s">
        <v>242</v>
      </c>
      <c r="K117" s="203"/>
      <c r="L117" s="203"/>
      <c r="M117" s="203"/>
      <c r="N117" s="203"/>
      <c r="O117" s="228"/>
    </row>
    <row r="118" spans="1:15" x14ac:dyDescent="0.25">
      <c r="A118" s="202" t="s">
        <v>2019</v>
      </c>
      <c r="B118" s="203"/>
      <c r="C118" s="202" t="s">
        <v>126</v>
      </c>
      <c r="D118" s="202" t="s">
        <v>2038</v>
      </c>
      <c r="E118" s="202" t="s">
        <v>1657</v>
      </c>
      <c r="F118" s="202" t="s">
        <v>758</v>
      </c>
      <c r="G118" s="202" t="str">
        <f t="shared" si="3"/>
        <v>&lt;MailingAddressZip&gt; &lt;/MailingAddressZip&gt;</v>
      </c>
      <c r="H118" s="202" t="s">
        <v>2740</v>
      </c>
      <c r="I118" s="202" t="s">
        <v>366</v>
      </c>
      <c r="J118" s="202" t="s">
        <v>240</v>
      </c>
      <c r="K118" s="202"/>
      <c r="L118" s="202"/>
      <c r="M118" s="202"/>
      <c r="N118" s="202"/>
      <c r="O118" s="227"/>
    </row>
    <row r="119" spans="1:15" x14ac:dyDescent="0.25">
      <c r="A119" s="203" t="s">
        <v>2019</v>
      </c>
      <c r="B119" s="202"/>
      <c r="C119" s="203" t="s">
        <v>571</v>
      </c>
      <c r="D119" s="203" t="s">
        <v>2039</v>
      </c>
      <c r="E119" s="203" t="s">
        <v>1622</v>
      </c>
      <c r="F119" s="203" t="s">
        <v>758</v>
      </c>
      <c r="G119" s="203" t="str">
        <f t="shared" si="3"/>
        <v>&lt;DomicileCode&gt; &lt;/DomicileCode&gt;</v>
      </c>
      <c r="H119" s="203" t="s">
        <v>2741</v>
      </c>
      <c r="I119" s="202" t="s">
        <v>2780</v>
      </c>
      <c r="J119" s="203" t="s">
        <v>286</v>
      </c>
      <c r="K119" s="203"/>
      <c r="L119" s="203"/>
      <c r="M119" s="203"/>
      <c r="N119" s="203"/>
      <c r="O119" s="228"/>
    </row>
    <row r="120" spans="1:15" x14ac:dyDescent="0.25">
      <c r="A120" s="202" t="s">
        <v>2019</v>
      </c>
      <c r="B120" s="202"/>
      <c r="C120" s="202" t="s">
        <v>2041</v>
      </c>
      <c r="D120" s="202" t="s">
        <v>2042</v>
      </c>
      <c r="E120" s="202"/>
      <c r="F120" s="202" t="s">
        <v>758</v>
      </c>
      <c r="G120" s="202" t="str">
        <f t="shared" si="3"/>
        <v>&lt;BloodType&gt; &lt;/BloodType&gt;</v>
      </c>
      <c r="H120" s="203" t="s">
        <v>2743</v>
      </c>
      <c r="I120" s="203" t="s">
        <v>2781</v>
      </c>
      <c r="J120" s="202"/>
      <c r="K120" s="202"/>
      <c r="L120" s="202"/>
      <c r="M120" s="202"/>
      <c r="N120" s="202"/>
      <c r="O120" s="227"/>
    </row>
    <row r="121" spans="1:15" x14ac:dyDescent="0.25">
      <c r="A121" s="203" t="s">
        <v>2019</v>
      </c>
      <c r="B121" s="203"/>
      <c r="C121" s="203" t="s">
        <v>2043</v>
      </c>
      <c r="D121" s="203" t="s">
        <v>2044</v>
      </c>
      <c r="E121" s="203"/>
      <c r="F121" s="203" t="s">
        <v>758</v>
      </c>
      <c r="G121" s="203" t="str">
        <f t="shared" si="3"/>
        <v>&lt;IsDonar&gt; &lt;/IsDonar&gt;</v>
      </c>
      <c r="H121" s="203" t="s">
        <v>2744</v>
      </c>
      <c r="I121" s="203" t="s">
        <v>2782</v>
      </c>
      <c r="J121" s="203"/>
      <c r="K121" s="203"/>
      <c r="L121" s="203"/>
      <c r="M121" s="203"/>
      <c r="N121" s="203"/>
      <c r="O121" s="228"/>
    </row>
    <row r="122" spans="1:15" x14ac:dyDescent="0.25">
      <c r="A122" s="202" t="s">
        <v>2019</v>
      </c>
      <c r="B122" s="202"/>
      <c r="C122" s="202" t="s">
        <v>2045</v>
      </c>
      <c r="D122" s="202" t="s">
        <v>2046</v>
      </c>
      <c r="E122" s="202"/>
      <c r="F122" s="202" t="s">
        <v>758</v>
      </c>
      <c r="G122" s="202" t="str">
        <f t="shared" si="3"/>
        <v>&lt;isMilitary&gt; &lt;/isMilitary&gt;</v>
      </c>
      <c r="H122" s="202" t="s">
        <v>2745</v>
      </c>
      <c r="I122" s="202" t="s">
        <v>2287</v>
      </c>
      <c r="J122" s="202" t="s">
        <v>2288</v>
      </c>
      <c r="K122" s="202"/>
      <c r="L122" s="202"/>
      <c r="M122" s="202"/>
      <c r="N122" s="202"/>
      <c r="O122" s="227"/>
    </row>
    <row r="123" spans="1:15" x14ac:dyDescent="0.25">
      <c r="A123" s="203" t="s">
        <v>2019</v>
      </c>
      <c r="B123" s="203"/>
      <c r="C123" s="203" t="s">
        <v>2047</v>
      </c>
      <c r="D123" s="203" t="s">
        <v>2048</v>
      </c>
      <c r="E123" s="203"/>
      <c r="F123" s="203" t="s">
        <v>758</v>
      </c>
      <c r="G123" s="203" t="str">
        <f t="shared" si="3"/>
        <v>&lt;isVote&gt; &lt;/isVote&gt;</v>
      </c>
      <c r="H123" s="203" t="s">
        <v>2742</v>
      </c>
      <c r="I123" s="202" t="s">
        <v>2783</v>
      </c>
      <c r="J123" s="203"/>
      <c r="K123" s="203"/>
      <c r="L123" s="203"/>
      <c r="M123" s="203"/>
      <c r="N123" s="203"/>
      <c r="O123" s="228"/>
    </row>
    <row r="124" spans="1:15" x14ac:dyDescent="0.25">
      <c r="A124" s="202" t="s">
        <v>2019</v>
      </c>
      <c r="B124" s="202"/>
      <c r="C124" s="202" t="s">
        <v>2049</v>
      </c>
      <c r="D124" s="202" t="s">
        <v>2050</v>
      </c>
      <c r="E124" s="202"/>
      <c r="F124" s="202" t="s">
        <v>758</v>
      </c>
      <c r="G124" s="202" t="str">
        <f t="shared" si="3"/>
        <v>&lt;HandicapType&gt; &lt;/HandicapType&gt;</v>
      </c>
      <c r="H124" s="203" t="s">
        <v>2746</v>
      </c>
      <c r="I124" s="203" t="s">
        <v>2771</v>
      </c>
      <c r="J124" s="202"/>
      <c r="K124" s="202"/>
      <c r="L124" s="202"/>
      <c r="M124" s="202"/>
      <c r="N124" s="202"/>
      <c r="O124" s="227"/>
    </row>
    <row r="125" spans="1:15" x14ac:dyDescent="0.25">
      <c r="A125" s="203" t="s">
        <v>2019</v>
      </c>
      <c r="B125" s="203"/>
      <c r="C125" s="203" t="s">
        <v>2051</v>
      </c>
      <c r="D125" s="203" t="s">
        <v>2052</v>
      </c>
      <c r="E125" s="203"/>
      <c r="F125" s="203" t="s">
        <v>1961</v>
      </c>
      <c r="G125" s="203" t="str">
        <f t="shared" si="3"/>
        <v>&lt;HandiCapControlNumber&gt; &lt;/HandiCapControlNumber&gt;</v>
      </c>
      <c r="H125" s="203" t="s">
        <v>2698</v>
      </c>
      <c r="I125" s="202" t="s">
        <v>2772</v>
      </c>
      <c r="J125" s="203"/>
      <c r="K125" s="203"/>
      <c r="L125" s="203"/>
      <c r="M125" s="203"/>
      <c r="N125" s="203"/>
      <c r="O125" s="228"/>
    </row>
    <row r="126" spans="1:15" x14ac:dyDescent="0.25">
      <c r="A126" s="202" t="s">
        <v>2019</v>
      </c>
      <c r="B126" s="202"/>
      <c r="C126" s="202" t="s">
        <v>2053</v>
      </c>
      <c r="D126" s="202" t="s">
        <v>2054</v>
      </c>
      <c r="E126" s="202"/>
      <c r="F126" s="202" t="s">
        <v>758</v>
      </c>
      <c r="G126" s="202" t="str">
        <f t="shared" si="3"/>
        <v>&lt;Remarks&gt; &lt;/Remarks&gt;</v>
      </c>
      <c r="H126" s="203" t="s">
        <v>2747</v>
      </c>
      <c r="I126" s="202" t="s">
        <v>2774</v>
      </c>
      <c r="J126" s="202"/>
      <c r="K126" s="202"/>
      <c r="L126" s="202"/>
      <c r="M126" s="202"/>
      <c r="N126" s="202"/>
      <c r="O126" s="227"/>
    </row>
    <row r="127" spans="1:15" x14ac:dyDescent="0.25">
      <c r="A127" s="203" t="s">
        <v>2057</v>
      </c>
      <c r="B127" s="203"/>
      <c r="C127" s="203" t="s">
        <v>1177</v>
      </c>
      <c r="D127" s="203" t="s">
        <v>900</v>
      </c>
      <c r="E127" s="203" t="s">
        <v>1599</v>
      </c>
      <c r="F127" s="203" t="s">
        <v>758</v>
      </c>
      <c r="G127" s="203" t="str">
        <f t="shared" si="3"/>
        <v>&lt;OfficeCode&gt; &lt;/OfficeCode&gt;</v>
      </c>
      <c r="H127" s="203" t="s">
        <v>2750</v>
      </c>
      <c r="I127" s="202" t="s">
        <v>2773</v>
      </c>
      <c r="J127" s="203" t="s">
        <v>1545</v>
      </c>
      <c r="K127" s="203"/>
      <c r="L127" s="203"/>
      <c r="M127" s="203"/>
      <c r="N127" s="203"/>
      <c r="O127" s="228"/>
    </row>
    <row r="128" spans="1:15" x14ac:dyDescent="0.25">
      <c r="A128" s="202" t="s">
        <v>2057</v>
      </c>
      <c r="B128" s="202"/>
      <c r="C128" s="202" t="s">
        <v>1041</v>
      </c>
      <c r="D128" s="202" t="s">
        <v>1043</v>
      </c>
      <c r="E128" s="202" t="s">
        <v>1704</v>
      </c>
      <c r="F128" s="202" t="s">
        <v>763</v>
      </c>
      <c r="G128" s="202" t="str">
        <f t="shared" si="3"/>
        <v>&lt;BeginDate&gt; &lt;/BeginDate&gt;</v>
      </c>
      <c r="H128" s="203" t="s">
        <v>2750</v>
      </c>
      <c r="I128" s="202" t="s">
        <v>2773</v>
      </c>
      <c r="J128" s="202" t="s">
        <v>1551</v>
      </c>
      <c r="K128" s="202"/>
      <c r="L128" s="202" t="s">
        <v>1045</v>
      </c>
      <c r="M128" s="202"/>
      <c r="N128" s="202"/>
      <c r="O128" s="227"/>
    </row>
    <row r="129" spans="1:15" x14ac:dyDescent="0.25">
      <c r="A129" s="203" t="s">
        <v>2057</v>
      </c>
      <c r="B129" s="203"/>
      <c r="C129" s="203" t="s">
        <v>2935</v>
      </c>
      <c r="D129" s="203" t="s">
        <v>2936</v>
      </c>
      <c r="E129" s="203" t="s">
        <v>2937</v>
      </c>
      <c r="F129" s="203" t="s">
        <v>763</v>
      </c>
      <c r="G129" s="203" t="str">
        <f t="shared" si="3"/>
        <v>&lt;BeginTime&gt; &lt;/BeginTime&gt;</v>
      </c>
      <c r="H129" s="203" t="s">
        <v>2750</v>
      </c>
      <c r="I129" s="202" t="s">
        <v>2773</v>
      </c>
      <c r="J129" s="203" t="s">
        <v>1552</v>
      </c>
      <c r="K129" s="203"/>
      <c r="L129" s="203" t="s">
        <v>1045</v>
      </c>
      <c r="M129" s="203"/>
      <c r="N129" s="203"/>
      <c r="O129" s="228"/>
    </row>
    <row r="130" spans="1:15" x14ac:dyDescent="0.25">
      <c r="A130" s="202" t="s">
        <v>2073</v>
      </c>
      <c r="B130" s="230"/>
      <c r="C130" s="230" t="s">
        <v>2071</v>
      </c>
      <c r="D130" s="230" t="s">
        <v>2072</v>
      </c>
      <c r="E130" s="202"/>
      <c r="F130" s="230" t="s">
        <v>758</v>
      </c>
      <c r="G130" s="203" t="str">
        <f t="shared" si="3"/>
        <v>&lt;isOnlyUpdate&gt; &lt;/isOnlyUpdate&gt;</v>
      </c>
      <c r="H130" s="203" t="s">
        <v>2750</v>
      </c>
      <c r="I130" s="202" t="s">
        <v>2773</v>
      </c>
      <c r="J130" s="57"/>
      <c r="K130" s="57"/>
      <c r="L130" s="57"/>
      <c r="M130" s="57"/>
      <c r="N130" s="57"/>
    </row>
    <row r="131" spans="1:15" x14ac:dyDescent="0.25">
      <c r="A131" s="203" t="s">
        <v>2605</v>
      </c>
      <c r="B131" s="203"/>
      <c r="C131" s="203" t="s">
        <v>2600</v>
      </c>
      <c r="D131" s="203" t="s">
        <v>2600</v>
      </c>
      <c r="E131" s="203"/>
      <c r="F131" s="203" t="s">
        <v>758</v>
      </c>
      <c r="G131" s="203" t="str">
        <f t="shared" si="3"/>
        <v>&lt;DuplicateCount&gt; &lt;/DuplicateCount&gt;</v>
      </c>
      <c r="H131" s="203" t="s">
        <v>2750</v>
      </c>
      <c r="I131" s="202" t="s">
        <v>2773</v>
      </c>
      <c r="J131" s="57"/>
      <c r="K131" s="57"/>
      <c r="L131" s="57"/>
      <c r="M131" s="57"/>
      <c r="N131" s="57"/>
    </row>
  </sheetData>
  <autoFilter ref="A1:O131"/>
  <mergeCells count="4">
    <mergeCell ref="B6:B38"/>
    <mergeCell ref="B41:B54"/>
    <mergeCell ref="B62:B64"/>
    <mergeCell ref="B65:B67"/>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128"/>
  <sheetViews>
    <sheetView workbookViewId="0">
      <selection sqref="A1:N128"/>
    </sheetView>
  </sheetViews>
  <sheetFormatPr defaultRowHeight="15" x14ac:dyDescent="0.25"/>
  <cols>
    <col min="1" max="1" width="31" bestFit="1" customWidth="1"/>
    <col min="2" max="2" width="28.42578125" customWidth="1"/>
    <col min="3" max="3" width="35" bestFit="1" customWidth="1"/>
    <col min="4" max="4" width="63.28515625" bestFit="1" customWidth="1"/>
    <col min="5" max="5" width="20" customWidth="1"/>
    <col min="6" max="6" width="67.140625" customWidth="1"/>
    <col min="7" max="7" width="65.28515625" customWidth="1"/>
    <col min="8" max="8" width="41.140625" customWidth="1"/>
    <col min="9" max="9" width="50.140625" bestFit="1" customWidth="1"/>
    <col min="10" max="10" width="13.7109375" customWidth="1"/>
    <col min="11" max="11" width="11.7109375" customWidth="1"/>
    <col min="12" max="12" width="55" customWidth="1"/>
    <col min="13" max="13" width="21.5703125" customWidth="1"/>
  </cols>
  <sheetData>
    <row r="1" spans="1:13" x14ac:dyDescent="0.25">
      <c r="A1" s="129" t="s">
        <v>1061</v>
      </c>
      <c r="B1" s="116" t="s">
        <v>731</v>
      </c>
      <c r="C1" s="116" t="s">
        <v>732</v>
      </c>
      <c r="D1" s="116" t="s">
        <v>1542</v>
      </c>
      <c r="E1" s="116" t="s">
        <v>733</v>
      </c>
      <c r="F1" s="116" t="s">
        <v>1584</v>
      </c>
      <c r="G1" s="185" t="s">
        <v>734</v>
      </c>
      <c r="H1" s="185" t="s">
        <v>736</v>
      </c>
      <c r="I1" s="185" t="s">
        <v>735</v>
      </c>
      <c r="J1" s="116" t="s">
        <v>737</v>
      </c>
      <c r="K1" s="116" t="s">
        <v>738</v>
      </c>
      <c r="L1" s="130" t="s">
        <v>739</v>
      </c>
      <c r="M1" s="117" t="s">
        <v>837</v>
      </c>
    </row>
    <row r="2" spans="1:13" hidden="1" x14ac:dyDescent="0.25">
      <c r="A2" s="202"/>
      <c r="B2" s="202" t="s">
        <v>1094</v>
      </c>
      <c r="C2" s="202" t="s">
        <v>1095</v>
      </c>
      <c r="D2" s="202" t="s">
        <v>1663</v>
      </c>
      <c r="E2" s="202" t="s">
        <v>758</v>
      </c>
      <c r="F2" s="202" t="str">
        <f>CONCATENATE("&lt;",TRIM(C2),"&gt; &lt;/",TRIM(C2),"&gt;")</f>
        <v>&lt;InquiryType&gt; &lt;/InquiryType&gt;</v>
      </c>
      <c r="G2" s="202" t="s">
        <v>1379</v>
      </c>
      <c r="H2" s="202" t="s">
        <v>1381</v>
      </c>
      <c r="I2" s="202" t="s">
        <v>1382</v>
      </c>
      <c r="J2" s="202"/>
      <c r="K2" s="202"/>
      <c r="L2" s="202"/>
      <c r="M2" s="202"/>
    </row>
    <row r="3" spans="1:13" x14ac:dyDescent="0.25">
      <c r="A3" s="203" t="s">
        <v>2074</v>
      </c>
      <c r="B3" s="203" t="s">
        <v>1016</v>
      </c>
      <c r="C3" s="203" t="s">
        <v>1021</v>
      </c>
      <c r="D3" s="203"/>
      <c r="E3" s="203" t="s">
        <v>758</v>
      </c>
      <c r="F3" s="203" t="str">
        <f>CONCATENATE("&lt;",TRIM(C3),"&gt; &lt;/",TRIM(C3),"&gt;")</f>
        <v>&lt;Action&gt; &lt;/Action&gt;</v>
      </c>
      <c r="G3" s="203" t="s">
        <v>2755</v>
      </c>
      <c r="H3" s="203" t="s">
        <v>2756</v>
      </c>
      <c r="I3" s="203" t="s">
        <v>1887</v>
      </c>
      <c r="J3" s="203"/>
      <c r="K3" s="203"/>
      <c r="L3" s="203"/>
      <c r="M3" s="203"/>
    </row>
    <row r="4" spans="1:13" ht="30" x14ac:dyDescent="0.25">
      <c r="A4" s="202" t="s">
        <v>2075</v>
      </c>
      <c r="B4" s="202" t="s">
        <v>1928</v>
      </c>
      <c r="C4" s="202" t="s">
        <v>1929</v>
      </c>
      <c r="D4" s="202" t="s">
        <v>1930</v>
      </c>
      <c r="E4" s="202" t="s">
        <v>758</v>
      </c>
      <c r="F4" s="202" t="str">
        <f t="shared" ref="F4:F54" si="0">CONCATENATE("&lt;",TRIM(C4),"&gt; &lt;/",TRIM(C4),"&gt;")</f>
        <v>&lt;DriverLicenseNo&gt; &lt;/DriverLicenseNo&gt;</v>
      </c>
      <c r="G4" s="202" t="s">
        <v>2698</v>
      </c>
      <c r="H4" s="207" t="s">
        <v>2757</v>
      </c>
      <c r="I4" s="202" t="s">
        <v>959</v>
      </c>
      <c r="J4" s="202"/>
      <c r="K4" s="202"/>
      <c r="L4" s="202"/>
      <c r="M4" s="202"/>
    </row>
    <row r="5" spans="1:13" x14ac:dyDescent="0.25">
      <c r="A5" s="203" t="s">
        <v>2080</v>
      </c>
      <c r="B5" s="203" t="s">
        <v>1932</v>
      </c>
      <c r="C5" s="203" t="s">
        <v>1933</v>
      </c>
      <c r="D5" s="203"/>
      <c r="E5" s="203" t="s">
        <v>758</v>
      </c>
      <c r="F5" s="203" t="str">
        <f t="shared" si="0"/>
        <v>&lt;DriverLicenseClassType&gt; &lt;/DriverLicenseClassType&gt;</v>
      </c>
      <c r="G5" s="203" t="s">
        <v>2699</v>
      </c>
      <c r="H5" s="203" t="s">
        <v>2779</v>
      </c>
      <c r="I5" s="203"/>
      <c r="J5" s="203"/>
      <c r="K5" s="203"/>
      <c r="L5" s="203"/>
      <c r="M5" s="203"/>
    </row>
    <row r="6" spans="1:13" x14ac:dyDescent="0.25">
      <c r="A6" s="202" t="s">
        <v>2079</v>
      </c>
      <c r="B6" s="202" t="s">
        <v>1340</v>
      </c>
      <c r="C6" s="202" t="s">
        <v>1055</v>
      </c>
      <c r="D6" s="202" t="s">
        <v>1769</v>
      </c>
      <c r="E6" s="202" t="s">
        <v>763</v>
      </c>
      <c r="F6" s="202" t="str">
        <f t="shared" si="0"/>
        <v>&lt;DateOfBirth&gt; &lt;/DateOfBirth&gt;</v>
      </c>
      <c r="G6" s="202" t="s">
        <v>2700</v>
      </c>
      <c r="H6" s="202" t="s">
        <v>1203</v>
      </c>
      <c r="I6" s="202" t="s">
        <v>1204</v>
      </c>
      <c r="J6" s="202"/>
      <c r="K6" s="202"/>
      <c r="L6" s="202"/>
      <c r="M6" s="202"/>
    </row>
    <row r="7" spans="1:13" x14ac:dyDescent="0.25">
      <c r="A7" s="203" t="s">
        <v>2080</v>
      </c>
      <c r="B7" s="203" t="s">
        <v>1934</v>
      </c>
      <c r="C7" s="203" t="s">
        <v>1554</v>
      </c>
      <c r="D7" s="203" t="s">
        <v>1767</v>
      </c>
      <c r="E7" s="203" t="s">
        <v>758</v>
      </c>
      <c r="F7" s="203" t="str">
        <f t="shared" si="0"/>
        <v>&lt;Race&gt; &lt;/Race&gt;</v>
      </c>
      <c r="G7" s="203" t="s">
        <v>2701</v>
      </c>
      <c r="H7" s="203" t="s">
        <v>1557</v>
      </c>
      <c r="I7" s="203" t="s">
        <v>1558</v>
      </c>
      <c r="J7" s="203"/>
      <c r="K7" s="203"/>
      <c r="L7" s="203" t="s">
        <v>1559</v>
      </c>
      <c r="M7" s="203"/>
    </row>
    <row r="8" spans="1:13" x14ac:dyDescent="0.25">
      <c r="A8" s="202" t="s">
        <v>2081</v>
      </c>
      <c r="B8" s="202" t="s">
        <v>1935</v>
      </c>
      <c r="C8" s="202" t="s">
        <v>1936</v>
      </c>
      <c r="D8" s="202"/>
      <c r="E8" s="202" t="s">
        <v>758</v>
      </c>
      <c r="F8" s="202" t="str">
        <f t="shared" si="0"/>
        <v>&lt;Sex&gt; &lt;/Sex&gt;</v>
      </c>
      <c r="G8" s="202" t="s">
        <v>2702</v>
      </c>
      <c r="H8" s="202" t="s">
        <v>1489</v>
      </c>
      <c r="I8" s="202" t="s">
        <v>1490</v>
      </c>
      <c r="J8" s="202"/>
      <c r="K8" s="202"/>
      <c r="L8" s="202"/>
      <c r="M8" s="202"/>
    </row>
    <row r="9" spans="1:13" x14ac:dyDescent="0.25">
      <c r="A9" s="203" t="s">
        <v>2075</v>
      </c>
      <c r="B9" s="203" t="s">
        <v>1937</v>
      </c>
      <c r="C9" s="203" t="s">
        <v>1236</v>
      </c>
      <c r="D9" s="203" t="s">
        <v>1764</v>
      </c>
      <c r="E9" s="203" t="s">
        <v>758</v>
      </c>
      <c r="F9" s="203" t="str">
        <f t="shared" si="0"/>
        <v>&lt;LastName&gt; &lt;/LastName&gt;</v>
      </c>
      <c r="G9" s="203" t="s">
        <v>2703</v>
      </c>
      <c r="H9" s="203" t="s">
        <v>1393</v>
      </c>
      <c r="I9" s="203" t="s">
        <v>1395</v>
      </c>
      <c r="J9" s="203"/>
      <c r="K9" s="203"/>
      <c r="L9" s="203"/>
      <c r="M9" s="203"/>
    </row>
    <row r="10" spans="1:13" hidden="1" x14ac:dyDescent="0.25">
      <c r="A10" s="202" t="s">
        <v>1938</v>
      </c>
      <c r="B10" s="202" t="s">
        <v>1939</v>
      </c>
      <c r="C10" s="202" t="s">
        <v>1940</v>
      </c>
      <c r="D10" s="202"/>
      <c r="E10" s="202" t="s">
        <v>758</v>
      </c>
      <c r="F10" s="202" t="str">
        <f t="shared" si="0"/>
        <v>&lt;LastNameTC&gt; &lt;/LastNameTC&gt;</v>
      </c>
      <c r="G10" s="202" t="s">
        <v>1836</v>
      </c>
      <c r="H10" s="202"/>
      <c r="I10" s="202"/>
      <c r="J10" s="202"/>
      <c r="K10" s="202"/>
      <c r="L10" s="202"/>
      <c r="M10" s="202"/>
    </row>
    <row r="11" spans="1:13" hidden="1" x14ac:dyDescent="0.25">
      <c r="A11" s="203" t="s">
        <v>1938</v>
      </c>
      <c r="B11" s="203" t="s">
        <v>1941</v>
      </c>
      <c r="C11" s="203" t="s">
        <v>1942</v>
      </c>
      <c r="D11" s="203"/>
      <c r="E11" s="203" t="s">
        <v>758</v>
      </c>
      <c r="F11" s="203" t="str">
        <f t="shared" si="0"/>
        <v>&lt;LastNameTL&gt; &lt;/LastNameTL&gt;</v>
      </c>
      <c r="G11" s="203" t="s">
        <v>1836</v>
      </c>
      <c r="H11" s="203"/>
      <c r="I11" s="203"/>
      <c r="J11" s="203"/>
      <c r="K11" s="203"/>
      <c r="L11" s="203"/>
      <c r="M11" s="203"/>
    </row>
    <row r="12" spans="1:13" x14ac:dyDescent="0.25">
      <c r="A12" s="202" t="s">
        <v>2080</v>
      </c>
      <c r="B12" s="202" t="s">
        <v>541</v>
      </c>
      <c r="C12" s="202" t="s">
        <v>1943</v>
      </c>
      <c r="D12" s="202"/>
      <c r="E12" s="202" t="s">
        <v>763</v>
      </c>
      <c r="F12" s="202" t="str">
        <f t="shared" si="0"/>
        <v>&lt;DriverLicenseExpDate&gt; &lt;/DriverLicenseExpDate&gt;</v>
      </c>
      <c r="G12" s="203" t="s">
        <v>2694</v>
      </c>
      <c r="H12" s="203" t="s">
        <v>2758</v>
      </c>
      <c r="I12" s="202"/>
      <c r="J12" s="202"/>
      <c r="K12" s="202"/>
      <c r="L12" s="202"/>
      <c r="M12" s="202"/>
    </row>
    <row r="13" spans="1:13" x14ac:dyDescent="0.25">
      <c r="A13" s="203" t="s">
        <v>2079</v>
      </c>
      <c r="B13" s="203" t="s">
        <v>1123</v>
      </c>
      <c r="C13" s="203" t="s">
        <v>1123</v>
      </c>
      <c r="D13" s="203"/>
      <c r="E13" s="203" t="s">
        <v>758</v>
      </c>
      <c r="F13" s="203" t="str">
        <f t="shared" si="0"/>
        <v>&lt;SSN&gt; &lt;/SSN&gt;</v>
      </c>
      <c r="G13" s="203" t="s">
        <v>2707</v>
      </c>
      <c r="H13" s="223" t="s">
        <v>1386</v>
      </c>
      <c r="I13" s="203" t="s">
        <v>1387</v>
      </c>
      <c r="J13" s="203"/>
      <c r="K13" s="203"/>
      <c r="L13" s="203"/>
      <c r="M13" s="203"/>
    </row>
    <row r="14" spans="1:13" x14ac:dyDescent="0.25">
      <c r="A14" s="202" t="s">
        <v>2074</v>
      </c>
      <c r="B14" s="202" t="s">
        <v>1944</v>
      </c>
      <c r="C14" s="202" t="s">
        <v>1238</v>
      </c>
      <c r="D14" s="202" t="s">
        <v>1765</v>
      </c>
      <c r="E14" s="202" t="s">
        <v>758</v>
      </c>
      <c r="F14" s="202" t="str">
        <f t="shared" si="0"/>
        <v>&lt;FirstName&gt; &lt;/FirstName&gt;</v>
      </c>
      <c r="G14" s="202" t="s">
        <v>2706</v>
      </c>
      <c r="H14" s="202" t="s">
        <v>1392</v>
      </c>
      <c r="I14" s="202" t="s">
        <v>1394</v>
      </c>
      <c r="J14" s="202"/>
      <c r="K14" s="202"/>
      <c r="L14" s="202"/>
      <c r="M14" s="202"/>
    </row>
    <row r="15" spans="1:13" hidden="1" x14ac:dyDescent="0.25">
      <c r="A15" s="203" t="s">
        <v>1938</v>
      </c>
      <c r="B15" s="203" t="s">
        <v>1939</v>
      </c>
      <c r="C15" s="203" t="s">
        <v>1945</v>
      </c>
      <c r="D15" s="203"/>
      <c r="E15" s="203" t="s">
        <v>758</v>
      </c>
      <c r="F15" s="203" t="str">
        <f t="shared" si="0"/>
        <v>&lt;FirstNameTC&gt; &lt;/FirstNameTC&gt;</v>
      </c>
      <c r="G15" s="223" t="s">
        <v>1836</v>
      </c>
      <c r="H15" s="203"/>
      <c r="I15" s="203"/>
      <c r="J15" s="203"/>
      <c r="K15" s="203"/>
      <c r="L15" s="203"/>
      <c r="M15" s="203"/>
    </row>
    <row r="16" spans="1:13" hidden="1" x14ac:dyDescent="0.25">
      <c r="A16" s="202" t="s">
        <v>1938</v>
      </c>
      <c r="B16" s="202" t="s">
        <v>1941</v>
      </c>
      <c r="C16" s="202" t="s">
        <v>1946</v>
      </c>
      <c r="D16" s="202"/>
      <c r="E16" s="202" t="s">
        <v>758</v>
      </c>
      <c r="F16" s="202" t="str">
        <f t="shared" si="0"/>
        <v>&lt;FirstNameTL&gt; &lt;/FirstNameTL&gt;</v>
      </c>
      <c r="G16" s="202" t="s">
        <v>1836</v>
      </c>
      <c r="H16" s="202"/>
      <c r="I16" s="202"/>
      <c r="J16" s="202"/>
      <c r="K16" s="202"/>
      <c r="L16" s="202"/>
      <c r="M16" s="202"/>
    </row>
    <row r="17" spans="1:14" x14ac:dyDescent="0.25">
      <c r="A17" s="203" t="s">
        <v>2074</v>
      </c>
      <c r="B17" s="203" t="s">
        <v>1947</v>
      </c>
      <c r="C17" s="203" t="s">
        <v>1240</v>
      </c>
      <c r="D17" s="203"/>
      <c r="E17" s="203" t="s">
        <v>758</v>
      </c>
      <c r="F17" s="203" t="str">
        <f t="shared" si="0"/>
        <v>&lt;MiddleName&gt; &lt;/MiddleName&gt;</v>
      </c>
      <c r="G17" s="203" t="s">
        <v>2705</v>
      </c>
      <c r="H17" s="203" t="s">
        <v>2284</v>
      </c>
      <c r="I17" s="203" t="s">
        <v>1481</v>
      </c>
      <c r="J17" s="203"/>
      <c r="K17" s="203"/>
      <c r="L17" s="203"/>
      <c r="M17" s="203"/>
    </row>
    <row r="18" spans="1:14" hidden="1" x14ac:dyDescent="0.25">
      <c r="A18" s="202" t="s">
        <v>1938</v>
      </c>
      <c r="B18" s="202" t="s">
        <v>1939</v>
      </c>
      <c r="C18" s="202" t="s">
        <v>1948</v>
      </c>
      <c r="D18" s="202"/>
      <c r="E18" s="202" t="s">
        <v>758</v>
      </c>
      <c r="F18" s="202" t="str">
        <f t="shared" si="0"/>
        <v>&lt;MiddleNameTC&gt; &lt;/MiddleNameTC&gt;</v>
      </c>
      <c r="G18" s="202" t="s">
        <v>1836</v>
      </c>
      <c r="H18" s="202"/>
      <c r="I18" s="202"/>
      <c r="J18" s="202"/>
      <c r="K18" s="202"/>
      <c r="L18" s="202"/>
      <c r="M18" s="202"/>
    </row>
    <row r="19" spans="1:14" hidden="1" x14ac:dyDescent="0.25">
      <c r="A19" s="203" t="s">
        <v>1938</v>
      </c>
      <c r="B19" s="203" t="s">
        <v>1941</v>
      </c>
      <c r="C19" s="203" t="s">
        <v>1949</v>
      </c>
      <c r="D19" s="203"/>
      <c r="E19" s="203" t="s">
        <v>758</v>
      </c>
      <c r="F19" s="203" t="str">
        <f t="shared" si="0"/>
        <v>&lt;MiddleNameTL&gt; &lt;/MiddleNameTL&gt;</v>
      </c>
      <c r="G19" s="203" t="s">
        <v>1836</v>
      </c>
      <c r="H19" s="203"/>
      <c r="I19" s="203"/>
      <c r="J19" s="203"/>
      <c r="K19" s="203"/>
      <c r="L19" s="203"/>
      <c r="M19" s="203"/>
    </row>
    <row r="20" spans="1:14" hidden="1" x14ac:dyDescent="0.25">
      <c r="A20" s="202" t="s">
        <v>1938</v>
      </c>
      <c r="B20" s="202" t="s">
        <v>1950</v>
      </c>
      <c r="C20" s="202" t="s">
        <v>1951</v>
      </c>
      <c r="D20" s="202"/>
      <c r="E20" s="202" t="s">
        <v>758</v>
      </c>
      <c r="F20" s="202" t="str">
        <f t="shared" si="0"/>
        <v>&lt;DirverLicenseSuffix&gt; &lt;/DirverLicenseSuffix&gt;</v>
      </c>
      <c r="G20" s="203" t="s">
        <v>2704</v>
      </c>
      <c r="H20" s="202" t="s">
        <v>2778</v>
      </c>
      <c r="I20" s="202"/>
      <c r="J20" s="202"/>
      <c r="K20" s="202"/>
      <c r="L20" s="202"/>
      <c r="M20" s="202"/>
    </row>
    <row r="21" spans="1:14" hidden="1" x14ac:dyDescent="0.25">
      <c r="A21" s="203" t="s">
        <v>1927</v>
      </c>
      <c r="B21" s="203" t="s">
        <v>2636</v>
      </c>
      <c r="C21" s="203" t="s">
        <v>2642</v>
      </c>
      <c r="D21" s="203"/>
      <c r="E21" s="203" t="s">
        <v>1961</v>
      </c>
      <c r="F21" s="203" t="str">
        <f t="shared" si="0"/>
        <v>&lt;Restrictions-1&gt; &lt;/Restrictions-1&gt;</v>
      </c>
      <c r="G21" s="203" t="s">
        <v>2695</v>
      </c>
      <c r="H21" s="203" t="s">
        <v>2759</v>
      </c>
      <c r="I21" s="203" t="s">
        <v>1890</v>
      </c>
      <c r="J21" s="203"/>
      <c r="K21" s="203"/>
      <c r="L21" s="203"/>
      <c r="M21" s="203"/>
      <c r="N21" s="203"/>
    </row>
    <row r="22" spans="1:14" hidden="1" x14ac:dyDescent="0.25">
      <c r="A22" s="202" t="s">
        <v>1927</v>
      </c>
      <c r="B22" s="202" t="s">
        <v>2637</v>
      </c>
      <c r="C22" s="202" t="s">
        <v>2643</v>
      </c>
      <c r="D22" s="202"/>
      <c r="E22" s="202" t="s">
        <v>1961</v>
      </c>
      <c r="F22" s="202" t="str">
        <f t="shared" si="0"/>
        <v>&lt;Restrictions-2&gt; &lt;/Restrictions-2&gt;</v>
      </c>
      <c r="G22" s="203" t="s">
        <v>2695</v>
      </c>
      <c r="H22" s="203" t="s">
        <v>2759</v>
      </c>
      <c r="I22" s="202"/>
      <c r="J22" s="202"/>
      <c r="K22" s="202"/>
      <c r="L22" s="202"/>
      <c r="M22" s="202"/>
      <c r="N22" s="203"/>
    </row>
    <row r="23" spans="1:14" hidden="1" x14ac:dyDescent="0.25">
      <c r="A23" s="203" t="s">
        <v>1927</v>
      </c>
      <c r="B23" s="203" t="s">
        <v>2638</v>
      </c>
      <c r="C23" s="203" t="s">
        <v>2644</v>
      </c>
      <c r="D23" s="203"/>
      <c r="E23" s="203" t="s">
        <v>1961</v>
      </c>
      <c r="F23" s="203" t="str">
        <f t="shared" si="0"/>
        <v>&lt;Restrictions-3&gt; &lt;/Restrictions-3&gt;</v>
      </c>
      <c r="G23" s="203" t="s">
        <v>2695</v>
      </c>
      <c r="H23" s="203" t="s">
        <v>2759</v>
      </c>
      <c r="I23" s="203"/>
      <c r="J23" s="203"/>
      <c r="K23" s="203"/>
      <c r="L23" s="203"/>
      <c r="M23" s="203"/>
      <c r="N23" s="203"/>
    </row>
    <row r="24" spans="1:14" hidden="1" x14ac:dyDescent="0.25">
      <c r="A24" s="202" t="s">
        <v>1927</v>
      </c>
      <c r="B24" s="202" t="s">
        <v>2639</v>
      </c>
      <c r="C24" s="202" t="s">
        <v>2645</v>
      </c>
      <c r="D24" s="202"/>
      <c r="E24" s="202" t="s">
        <v>1961</v>
      </c>
      <c r="F24" s="202" t="str">
        <f t="shared" si="0"/>
        <v>&lt;Restrictions-4&gt; &lt;/Restrictions-4&gt;</v>
      </c>
      <c r="G24" s="203" t="s">
        <v>2695</v>
      </c>
      <c r="H24" s="203" t="s">
        <v>2759</v>
      </c>
      <c r="I24" s="202"/>
      <c r="J24" s="202"/>
      <c r="K24" s="202"/>
      <c r="L24" s="202"/>
      <c r="M24" s="202"/>
      <c r="N24" s="203"/>
    </row>
    <row r="25" spans="1:14" hidden="1" x14ac:dyDescent="0.25">
      <c r="A25" s="203" t="s">
        <v>1927</v>
      </c>
      <c r="B25" s="203" t="s">
        <v>2640</v>
      </c>
      <c r="C25" s="203" t="s">
        <v>2646</v>
      </c>
      <c r="D25" s="203"/>
      <c r="E25" s="203" t="s">
        <v>1961</v>
      </c>
      <c r="F25" s="203" t="str">
        <f t="shared" si="0"/>
        <v>&lt;Restrictions-5&gt; &lt;/Restrictions-5&gt;</v>
      </c>
      <c r="G25" s="203" t="s">
        <v>2695</v>
      </c>
      <c r="H25" s="203" t="s">
        <v>2759</v>
      </c>
      <c r="I25" s="203"/>
      <c r="J25" s="203"/>
      <c r="K25" s="203"/>
      <c r="L25" s="203"/>
      <c r="M25" s="203"/>
      <c r="N25" s="203"/>
    </row>
    <row r="26" spans="1:14" hidden="1" x14ac:dyDescent="0.25">
      <c r="A26" s="202" t="s">
        <v>1927</v>
      </c>
      <c r="B26" s="202" t="s">
        <v>2641</v>
      </c>
      <c r="C26" s="202" t="s">
        <v>2647</v>
      </c>
      <c r="D26" s="202"/>
      <c r="E26" s="202" t="s">
        <v>1961</v>
      </c>
      <c r="F26" s="202" t="str">
        <f t="shared" si="0"/>
        <v>&lt;Restrictions-6&gt; &lt;/Restrictions-6&gt;</v>
      </c>
      <c r="G26" s="203" t="s">
        <v>2695</v>
      </c>
      <c r="H26" s="203" t="s">
        <v>2759</v>
      </c>
      <c r="I26" s="202"/>
      <c r="J26" s="202"/>
      <c r="K26" s="202"/>
      <c r="L26" s="202"/>
      <c r="M26" s="202"/>
      <c r="N26" s="203"/>
    </row>
    <row r="27" spans="1:14" x14ac:dyDescent="0.25">
      <c r="A27" s="203" t="s">
        <v>2080</v>
      </c>
      <c r="B27" s="203" t="s">
        <v>1952</v>
      </c>
      <c r="C27" s="203" t="s">
        <v>1112</v>
      </c>
      <c r="D27" s="203"/>
      <c r="E27" s="203" t="s">
        <v>758</v>
      </c>
      <c r="F27" s="203" t="str">
        <f t="shared" si="0"/>
        <v>&lt;Endorsment&gt; &lt;/Endorsment&gt;</v>
      </c>
      <c r="G27" s="203" t="s">
        <v>2751</v>
      </c>
      <c r="H27" s="203" t="s">
        <v>2760</v>
      </c>
      <c r="I27" s="203" t="s">
        <v>1461</v>
      </c>
      <c r="J27" s="203"/>
      <c r="K27" s="203"/>
      <c r="L27" s="203"/>
      <c r="M27" s="203"/>
    </row>
    <row r="28" spans="1:14" x14ac:dyDescent="0.25">
      <c r="A28" s="202" t="s">
        <v>2083</v>
      </c>
      <c r="B28" s="202" t="s">
        <v>1114</v>
      </c>
      <c r="C28" s="202" t="s">
        <v>1115</v>
      </c>
      <c r="D28" s="202"/>
      <c r="E28" s="202" t="s">
        <v>758</v>
      </c>
      <c r="F28" s="202" t="str">
        <f t="shared" si="0"/>
        <v>&lt;WildLifeAndFisheryLicenseStatus&gt; &lt;/WildLifeAndFisheryLicenseStatus&gt;</v>
      </c>
      <c r="G28" s="202" t="s">
        <v>2697</v>
      </c>
      <c r="H28" s="202" t="s">
        <v>2761</v>
      </c>
      <c r="I28" s="202" t="s">
        <v>1464</v>
      </c>
      <c r="J28" s="202"/>
      <c r="K28" s="202"/>
      <c r="L28" s="202"/>
      <c r="M28" s="202"/>
    </row>
    <row r="29" spans="1:14" hidden="1" x14ac:dyDescent="0.25">
      <c r="A29" s="203" t="s">
        <v>1927</v>
      </c>
      <c r="B29" s="203" t="s">
        <v>791</v>
      </c>
      <c r="C29" s="203" t="s">
        <v>1953</v>
      </c>
      <c r="D29" s="203"/>
      <c r="E29" s="203" t="s">
        <v>758</v>
      </c>
      <c r="F29" s="203" t="str">
        <f t="shared" si="0"/>
        <v>&lt;OutOfStateCode&gt; &lt;/OutOfStateCode&gt;</v>
      </c>
      <c r="G29" s="203" t="s">
        <v>2708</v>
      </c>
      <c r="H29" s="202" t="s">
        <v>2762</v>
      </c>
      <c r="I29" s="203"/>
      <c r="J29" s="203"/>
      <c r="K29" s="203"/>
      <c r="L29" s="203"/>
      <c r="M29" s="203"/>
    </row>
    <row r="30" spans="1:14" ht="30" hidden="1" x14ac:dyDescent="0.25">
      <c r="A30" s="202" t="s">
        <v>1927</v>
      </c>
      <c r="B30" s="202" t="s">
        <v>745</v>
      </c>
      <c r="C30" s="202" t="s">
        <v>1954</v>
      </c>
      <c r="D30" s="202" t="s">
        <v>1930</v>
      </c>
      <c r="E30" s="202" t="s">
        <v>758</v>
      </c>
      <c r="F30" s="202" t="str">
        <f t="shared" si="0"/>
        <v>&lt;OutOfStateDriverLicenseNo&gt; &lt;/OutOfStateDriverLicenseNo&gt;</v>
      </c>
      <c r="G30" s="202" t="s">
        <v>2710</v>
      </c>
      <c r="H30" s="207" t="s">
        <v>2757</v>
      </c>
      <c r="I30" s="202" t="s">
        <v>959</v>
      </c>
      <c r="J30" s="202"/>
      <c r="K30" s="202"/>
      <c r="L30" s="202"/>
      <c r="M30" s="202"/>
    </row>
    <row r="31" spans="1:14" x14ac:dyDescent="0.25">
      <c r="A31" s="203" t="s">
        <v>2080</v>
      </c>
      <c r="B31" s="203" t="s">
        <v>1955</v>
      </c>
      <c r="C31" s="203" t="s">
        <v>2308</v>
      </c>
      <c r="D31" s="203"/>
      <c r="E31" s="203" t="s">
        <v>758</v>
      </c>
      <c r="F31" s="203" t="str">
        <f t="shared" si="0"/>
        <v>&lt;CustomerApplyToDriverLicenseCount&gt; &lt;/CustomerApplyToDriverLicenseCount&gt;</v>
      </c>
      <c r="G31" s="203" t="s">
        <v>2764</v>
      </c>
      <c r="H31" s="207" t="s">
        <v>2763</v>
      </c>
      <c r="I31" s="203"/>
      <c r="J31" s="203"/>
      <c r="K31" s="203"/>
      <c r="L31" s="203"/>
      <c r="M31" s="203"/>
    </row>
    <row r="32" spans="1:14" hidden="1" x14ac:dyDescent="0.25">
      <c r="A32" s="202" t="s">
        <v>1927</v>
      </c>
      <c r="B32" s="202" t="s">
        <v>1956</v>
      </c>
      <c r="C32" s="202" t="s">
        <v>2309</v>
      </c>
      <c r="D32" s="202"/>
      <c r="E32" s="202" t="s">
        <v>758</v>
      </c>
      <c r="F32" s="202" t="str">
        <f t="shared" si="0"/>
        <v>&lt;IsCommercialDriverLicense&gt; &lt;/IsCommercialDriverLicense&gt;</v>
      </c>
      <c r="G32" s="223" t="s">
        <v>2719</v>
      </c>
      <c r="H32" s="202" t="s">
        <v>2765</v>
      </c>
      <c r="I32" s="202"/>
      <c r="J32" s="202"/>
      <c r="K32" s="202"/>
      <c r="L32" s="202"/>
      <c r="M32" s="202"/>
    </row>
    <row r="33" spans="1:13" hidden="1" x14ac:dyDescent="0.25">
      <c r="A33" s="203" t="s">
        <v>1938</v>
      </c>
      <c r="B33" s="203" t="s">
        <v>1957</v>
      </c>
      <c r="C33" s="203" t="s">
        <v>2396</v>
      </c>
      <c r="D33" s="203"/>
      <c r="E33" s="203" t="s">
        <v>758</v>
      </c>
      <c r="F33" s="203" t="str">
        <f t="shared" si="0"/>
        <v>&lt;isDLComplainceWithFederalGovernment&gt; &lt;/isDLComplainceWithFederalGovernment&gt;</v>
      </c>
      <c r="G33" s="223" t="s">
        <v>2753</v>
      </c>
      <c r="H33" s="203" t="s">
        <v>2766</v>
      </c>
      <c r="I33" s="203"/>
      <c r="J33" s="203"/>
      <c r="K33" s="203"/>
      <c r="L33" s="203"/>
      <c r="M33" s="203"/>
    </row>
    <row r="34" spans="1:13" hidden="1" x14ac:dyDescent="0.25">
      <c r="A34" s="202" t="s">
        <v>1927</v>
      </c>
      <c r="B34" s="202" t="s">
        <v>1958</v>
      </c>
      <c r="C34" s="202" t="s">
        <v>2310</v>
      </c>
      <c r="D34" s="202"/>
      <c r="E34" s="202" t="s">
        <v>758</v>
      </c>
      <c r="F34" s="202" t="str">
        <f t="shared" si="0"/>
        <v>&lt;OutofStateCommercialDriverLicnese&gt; &lt;/OutofStateCommercialDriverLicnese&gt;</v>
      </c>
      <c r="G34" s="223" t="s">
        <v>2752</v>
      </c>
      <c r="H34" s="202" t="s">
        <v>2765</v>
      </c>
      <c r="I34" s="202"/>
      <c r="J34" s="202"/>
      <c r="K34" s="202"/>
      <c r="L34" s="202"/>
      <c r="M34" s="202"/>
    </row>
    <row r="35" spans="1:13" hidden="1" x14ac:dyDescent="0.25">
      <c r="A35" s="203" t="s">
        <v>1938</v>
      </c>
      <c r="B35" s="203" t="s">
        <v>1959</v>
      </c>
      <c r="C35" s="203" t="s">
        <v>1960</v>
      </c>
      <c r="D35" s="203"/>
      <c r="E35" s="203" t="s">
        <v>1961</v>
      </c>
      <c r="F35" s="203" t="str">
        <f t="shared" si="0"/>
        <v>&lt;visitQueueNumber&gt; &lt;/visitQueueNumber&gt;</v>
      </c>
      <c r="G35" s="223" t="s">
        <v>2720</v>
      </c>
      <c r="H35" s="203" t="s">
        <v>2767</v>
      </c>
      <c r="I35" s="203"/>
      <c r="J35" s="203"/>
      <c r="K35" s="203"/>
      <c r="L35" s="203"/>
      <c r="M35" s="203"/>
    </row>
    <row r="36" spans="1:13" hidden="1" x14ac:dyDescent="0.25">
      <c r="A36" s="202" t="s">
        <v>1962</v>
      </c>
      <c r="B36" s="202" t="s">
        <v>1963</v>
      </c>
      <c r="C36" s="202" t="s">
        <v>1964</v>
      </c>
      <c r="D36" s="202"/>
      <c r="E36" s="202" t="s">
        <v>758</v>
      </c>
      <c r="F36" s="202" t="str">
        <f t="shared" si="0"/>
        <v>&lt;MedicalQuestionOk&gt; &lt;/MedicalQuestionOk&gt;</v>
      </c>
      <c r="G36" s="202" t="s">
        <v>2721</v>
      </c>
      <c r="H36" s="202" t="s">
        <v>2768</v>
      </c>
      <c r="I36" s="202"/>
      <c r="J36" s="202"/>
      <c r="K36" s="202"/>
      <c r="L36" s="202"/>
      <c r="M36" s="202"/>
    </row>
    <row r="37" spans="1:13" hidden="1" x14ac:dyDescent="0.25">
      <c r="A37" s="203" t="s">
        <v>1962</v>
      </c>
      <c r="B37" s="203" t="s">
        <v>1965</v>
      </c>
      <c r="C37" s="203" t="s">
        <v>2610</v>
      </c>
      <c r="D37" s="203"/>
      <c r="E37" s="203" t="s">
        <v>716</v>
      </c>
      <c r="F37" s="203" t="str">
        <f t="shared" si="0"/>
        <v>&lt;MedicalQuestionOne&gt; &lt;/MedicalQuestionOne&gt;</v>
      </c>
      <c r="G37" s="202" t="s">
        <v>2721</v>
      </c>
      <c r="H37" s="202" t="s">
        <v>2768</v>
      </c>
      <c r="I37" s="203"/>
      <c r="J37" s="203"/>
      <c r="K37" s="203"/>
      <c r="L37" s="203"/>
      <c r="M37" s="203"/>
    </row>
    <row r="38" spans="1:13" hidden="1" x14ac:dyDescent="0.25">
      <c r="A38" s="202" t="s">
        <v>1962</v>
      </c>
      <c r="B38" s="202" t="s">
        <v>1966</v>
      </c>
      <c r="C38" s="202" t="s">
        <v>2611</v>
      </c>
      <c r="D38" s="202"/>
      <c r="E38" s="202" t="s">
        <v>716</v>
      </c>
      <c r="F38" s="202" t="str">
        <f t="shared" si="0"/>
        <v>&lt;MedicalQuestionTwo&gt; &lt;/MedicalQuestionTwo&gt;</v>
      </c>
      <c r="G38" s="202" t="s">
        <v>2721</v>
      </c>
      <c r="H38" s="202" t="s">
        <v>2768</v>
      </c>
      <c r="I38" s="202"/>
      <c r="J38" s="202"/>
      <c r="K38" s="202"/>
      <c r="L38" s="202"/>
      <c r="M38" s="202"/>
    </row>
    <row r="39" spans="1:13" hidden="1" x14ac:dyDescent="0.25">
      <c r="A39" s="203" t="s">
        <v>1962</v>
      </c>
      <c r="B39" s="203" t="s">
        <v>107</v>
      </c>
      <c r="C39" s="203" t="s">
        <v>2607</v>
      </c>
      <c r="D39" s="203"/>
      <c r="E39" s="203" t="s">
        <v>716</v>
      </c>
      <c r="F39" s="203" t="str">
        <f t="shared" si="0"/>
        <v>&lt;EyeVisionLeft&gt; &lt;/EyeVisionLeft&gt;</v>
      </c>
      <c r="G39" s="203" t="s">
        <v>2727</v>
      </c>
      <c r="H39" s="203" t="s">
        <v>2770</v>
      </c>
      <c r="I39" s="203"/>
      <c r="J39" s="203"/>
      <c r="K39" s="203"/>
      <c r="L39" s="203"/>
      <c r="M39" s="203"/>
    </row>
    <row r="40" spans="1:13" hidden="1" x14ac:dyDescent="0.25">
      <c r="A40" s="202" t="s">
        <v>1962</v>
      </c>
      <c r="B40" s="202" t="s">
        <v>2613</v>
      </c>
      <c r="C40" s="202" t="s">
        <v>2608</v>
      </c>
      <c r="D40" s="202"/>
      <c r="E40" s="202" t="s">
        <v>758</v>
      </c>
      <c r="F40" s="202" t="str">
        <f t="shared" si="0"/>
        <v>&lt;EyeVisionRight&gt; &lt;/EyeVisionRight&gt;</v>
      </c>
      <c r="G40" s="203" t="s">
        <v>2723</v>
      </c>
      <c r="H40" s="203" t="s">
        <v>2770</v>
      </c>
      <c r="I40" s="202"/>
      <c r="J40" s="202"/>
      <c r="K40" s="202"/>
      <c r="L40" s="202"/>
      <c r="M40" s="202"/>
    </row>
    <row r="41" spans="1:13" hidden="1" x14ac:dyDescent="0.25">
      <c r="A41" s="203" t="s">
        <v>1962</v>
      </c>
      <c r="B41" s="203" t="s">
        <v>2614</v>
      </c>
      <c r="C41" s="203" t="s">
        <v>2609</v>
      </c>
      <c r="D41" s="203"/>
      <c r="E41" s="203" t="s">
        <v>758</v>
      </c>
      <c r="F41" s="203" t="str">
        <f t="shared" si="0"/>
        <v>&lt;EyeVisionBoth&gt; &lt;/EyeVisionBoth&gt;</v>
      </c>
      <c r="G41" s="203" t="s">
        <v>2724</v>
      </c>
      <c r="H41" s="203" t="s">
        <v>2770</v>
      </c>
      <c r="I41" s="203"/>
      <c r="J41" s="203"/>
      <c r="K41" s="203"/>
      <c r="L41" s="203"/>
      <c r="M41" s="203"/>
    </row>
    <row r="42" spans="1:13" hidden="1" x14ac:dyDescent="0.25">
      <c r="A42" s="202" t="s">
        <v>1962</v>
      </c>
      <c r="B42" s="202" t="s">
        <v>107</v>
      </c>
      <c r="C42" s="202" t="s">
        <v>2615</v>
      </c>
      <c r="D42" s="202"/>
      <c r="E42" s="202" t="s">
        <v>758</v>
      </c>
      <c r="F42" s="202" t="str">
        <f t="shared" si="0"/>
        <v>&lt;LensLeft&gt; &lt;/LensLeft&gt;</v>
      </c>
      <c r="G42" s="203" t="s">
        <v>2722</v>
      </c>
      <c r="H42" s="203" t="s">
        <v>2769</v>
      </c>
      <c r="I42" s="202"/>
      <c r="J42" s="202"/>
      <c r="K42" s="202"/>
      <c r="L42" s="202"/>
      <c r="M42" s="202"/>
    </row>
    <row r="43" spans="1:13" hidden="1" x14ac:dyDescent="0.25">
      <c r="A43" s="203" t="s">
        <v>1962</v>
      </c>
      <c r="B43" s="203" t="s">
        <v>2613</v>
      </c>
      <c r="C43" s="203" t="s">
        <v>2616</v>
      </c>
      <c r="D43" s="203"/>
      <c r="E43" s="203" t="s">
        <v>758</v>
      </c>
      <c r="F43" s="203" t="str">
        <f t="shared" si="0"/>
        <v>&lt;LensRight&gt; &lt;/LensRight&gt;</v>
      </c>
      <c r="G43" s="203" t="s">
        <v>2725</v>
      </c>
      <c r="H43" s="203" t="s">
        <v>2769</v>
      </c>
      <c r="I43" s="203"/>
      <c r="J43" s="203"/>
      <c r="K43" s="203"/>
      <c r="L43" s="203"/>
      <c r="M43" s="203"/>
    </row>
    <row r="44" spans="1:13" hidden="1" x14ac:dyDescent="0.25">
      <c r="A44" s="202" t="s">
        <v>1962</v>
      </c>
      <c r="B44" s="202" t="s">
        <v>2614</v>
      </c>
      <c r="C44" s="202" t="s">
        <v>2617</v>
      </c>
      <c r="D44" s="202"/>
      <c r="E44" s="202" t="s">
        <v>758</v>
      </c>
      <c r="F44" s="202" t="str">
        <f t="shared" si="0"/>
        <v>&lt;LensBoth&gt; &lt;/LensBoth&gt;</v>
      </c>
      <c r="G44" s="203" t="s">
        <v>2726</v>
      </c>
      <c r="H44" s="203" t="s">
        <v>2769</v>
      </c>
      <c r="I44" s="202"/>
      <c r="J44" s="202"/>
      <c r="K44" s="202"/>
      <c r="L44" s="202"/>
      <c r="M44" s="202"/>
    </row>
    <row r="45" spans="1:13" hidden="1" x14ac:dyDescent="0.25">
      <c r="A45" s="203" t="s">
        <v>1962</v>
      </c>
      <c r="B45" s="203" t="s">
        <v>1967</v>
      </c>
      <c r="C45" s="203" t="s">
        <v>1967</v>
      </c>
      <c r="D45" s="203"/>
      <c r="E45" s="203" t="s">
        <v>758</v>
      </c>
      <c r="F45" s="203" t="str">
        <f t="shared" si="0"/>
        <v>&lt;MC&gt; &lt;/MC&gt;</v>
      </c>
      <c r="G45" s="203" t="s">
        <v>2696</v>
      </c>
      <c r="H45" s="203" t="s">
        <v>2760</v>
      </c>
      <c r="I45" s="203"/>
      <c r="J45" s="203"/>
      <c r="K45" s="203"/>
      <c r="L45" s="203"/>
      <c r="M45" s="203"/>
    </row>
    <row r="46" spans="1:13" hidden="1" x14ac:dyDescent="0.25">
      <c r="A46" s="202" t="s">
        <v>1962</v>
      </c>
      <c r="B46" s="202" t="s">
        <v>1968</v>
      </c>
      <c r="C46" s="202" t="s">
        <v>2618</v>
      </c>
      <c r="D46" s="202"/>
      <c r="E46" s="202" t="s">
        <v>758</v>
      </c>
      <c r="F46" s="202" t="str">
        <f t="shared" si="0"/>
        <v>&lt;DL-TL&gt; &lt;/DL-TL&gt;</v>
      </c>
      <c r="G46" s="203" t="s">
        <v>2696</v>
      </c>
      <c r="H46" s="203" t="s">
        <v>2760</v>
      </c>
      <c r="I46" s="202"/>
      <c r="J46" s="202"/>
      <c r="K46" s="202"/>
      <c r="L46" s="202"/>
      <c r="M46" s="202"/>
    </row>
    <row r="47" spans="1:13" hidden="1" x14ac:dyDescent="0.25">
      <c r="A47" s="203" t="s">
        <v>1962</v>
      </c>
      <c r="B47" s="203" t="s">
        <v>1969</v>
      </c>
      <c r="C47" s="203" t="s">
        <v>1969</v>
      </c>
      <c r="D47" s="203"/>
      <c r="E47" s="203" t="s">
        <v>758</v>
      </c>
      <c r="F47" s="203" t="str">
        <f t="shared" si="0"/>
        <v>&lt;TNK&gt; &lt;/TNK&gt;</v>
      </c>
      <c r="G47" s="203" t="s">
        <v>2696</v>
      </c>
      <c r="H47" s="203" t="s">
        <v>2760</v>
      </c>
      <c r="I47" s="203"/>
      <c r="J47" s="203"/>
      <c r="K47" s="203"/>
      <c r="L47" s="203"/>
      <c r="M47" s="203"/>
    </row>
    <row r="48" spans="1:13" hidden="1" x14ac:dyDescent="0.25">
      <c r="A48" s="202" t="s">
        <v>1962</v>
      </c>
      <c r="B48" s="202" t="s">
        <v>1970</v>
      </c>
      <c r="C48" s="202" t="s">
        <v>1970</v>
      </c>
      <c r="D48" s="202"/>
      <c r="E48" s="202" t="s">
        <v>758</v>
      </c>
      <c r="F48" s="202" t="str">
        <f t="shared" si="0"/>
        <v>&lt;HAZ&gt; &lt;/HAZ&gt;</v>
      </c>
      <c r="G48" s="203" t="s">
        <v>2696</v>
      </c>
      <c r="H48" s="203" t="s">
        <v>2760</v>
      </c>
      <c r="I48" s="202"/>
      <c r="J48" s="202"/>
      <c r="K48" s="202"/>
      <c r="L48" s="202"/>
      <c r="M48" s="202"/>
    </row>
    <row r="49" spans="1:13" hidden="1" x14ac:dyDescent="0.25">
      <c r="A49" s="203" t="s">
        <v>1962</v>
      </c>
      <c r="B49" s="203" t="s">
        <v>615</v>
      </c>
      <c r="C49" s="203" t="s">
        <v>2619</v>
      </c>
      <c r="D49" s="203"/>
      <c r="E49" s="203" t="s">
        <v>758</v>
      </c>
      <c r="F49" s="203" t="str">
        <f t="shared" si="0"/>
        <v>&lt;Passenger&gt; &lt;/Passenger&gt;</v>
      </c>
      <c r="G49" s="203" t="s">
        <v>2696</v>
      </c>
      <c r="H49" s="203" t="s">
        <v>2760</v>
      </c>
      <c r="I49" s="203"/>
      <c r="J49" s="203"/>
      <c r="K49" s="203"/>
      <c r="L49" s="203"/>
      <c r="M49" s="203"/>
    </row>
    <row r="50" spans="1:13" hidden="1" x14ac:dyDescent="0.25">
      <c r="A50" s="202" t="s">
        <v>1962</v>
      </c>
      <c r="B50" s="202" t="s">
        <v>1971</v>
      </c>
      <c r="C50" s="202" t="s">
        <v>1971</v>
      </c>
      <c r="D50" s="202"/>
      <c r="E50" s="202" t="s">
        <v>758</v>
      </c>
      <c r="F50" s="202" t="str">
        <f t="shared" si="0"/>
        <v>&lt;SB&gt; &lt;/SB&gt;</v>
      </c>
      <c r="G50" s="203" t="s">
        <v>2696</v>
      </c>
      <c r="H50" s="203" t="s">
        <v>2760</v>
      </c>
      <c r="I50" s="202"/>
      <c r="J50" s="202"/>
      <c r="K50" s="202"/>
      <c r="L50" s="202"/>
      <c r="M50" s="202"/>
    </row>
    <row r="51" spans="1:13" hidden="1" x14ac:dyDescent="0.25">
      <c r="A51" s="203" t="s">
        <v>1962</v>
      </c>
      <c r="B51" s="203" t="s">
        <v>1972</v>
      </c>
      <c r="C51" s="203" t="s">
        <v>1972</v>
      </c>
      <c r="D51" s="203"/>
      <c r="E51" s="203" t="s">
        <v>758</v>
      </c>
      <c r="F51" s="203" t="str">
        <f t="shared" si="0"/>
        <v>&lt;EMR&gt; &lt;/EMR&gt;</v>
      </c>
      <c r="G51" s="203" t="s">
        <v>2696</v>
      </c>
      <c r="H51" s="203" t="s">
        <v>2760</v>
      </c>
      <c r="I51" s="203"/>
      <c r="J51" s="203"/>
      <c r="K51" s="203"/>
      <c r="L51" s="203"/>
      <c r="M51" s="203"/>
    </row>
    <row r="52" spans="1:13" hidden="1" x14ac:dyDescent="0.25">
      <c r="A52" s="202" t="s">
        <v>1962</v>
      </c>
      <c r="B52" s="202" t="s">
        <v>1973</v>
      </c>
      <c r="C52" s="202" t="s">
        <v>1974</v>
      </c>
      <c r="D52" s="202"/>
      <c r="E52" s="202" t="s">
        <v>758</v>
      </c>
      <c r="F52" s="202" t="str">
        <f t="shared" si="0"/>
        <v>&lt;LifeTimeHunting&gt; &lt;/LifeTimeHunting&gt;</v>
      </c>
      <c r="G52" s="203" t="s">
        <v>2696</v>
      </c>
      <c r="H52" s="203" t="s">
        <v>2760</v>
      </c>
      <c r="I52" s="202"/>
      <c r="J52" s="202"/>
      <c r="K52" s="202"/>
      <c r="L52" s="202"/>
      <c r="M52" s="202"/>
    </row>
    <row r="53" spans="1:13" hidden="1" x14ac:dyDescent="0.25">
      <c r="A53" s="203" t="s">
        <v>1962</v>
      </c>
      <c r="B53" s="203" t="s">
        <v>1975</v>
      </c>
      <c r="C53" s="203" t="s">
        <v>1976</v>
      </c>
      <c r="D53" s="203"/>
      <c r="E53" s="203" t="s">
        <v>758</v>
      </c>
      <c r="F53" s="203" t="str">
        <f t="shared" si="0"/>
        <v>&lt;LifeTimeFishing&gt; &lt;/LifeTimeFishing&gt;</v>
      </c>
      <c r="G53" s="203" t="s">
        <v>2696</v>
      </c>
      <c r="H53" s="203" t="s">
        <v>2760</v>
      </c>
      <c r="I53" s="203"/>
      <c r="J53" s="203"/>
      <c r="K53" s="203"/>
      <c r="L53" s="203"/>
      <c r="M53" s="203"/>
    </row>
    <row r="54" spans="1:13" hidden="1" x14ac:dyDescent="0.25">
      <c r="A54" s="202" t="s">
        <v>1962</v>
      </c>
      <c r="B54" s="202" t="s">
        <v>1977</v>
      </c>
      <c r="C54" s="202" t="s">
        <v>1978</v>
      </c>
      <c r="D54" s="202"/>
      <c r="E54" s="202" t="s">
        <v>758</v>
      </c>
      <c r="F54" s="202" t="str">
        <f t="shared" si="0"/>
        <v>&lt;HuntersEducation&gt; &lt;/HuntersEducation&gt;</v>
      </c>
      <c r="G54" s="203" t="s">
        <v>2696</v>
      </c>
      <c r="H54" s="203" t="s">
        <v>2760</v>
      </c>
      <c r="I54" s="202"/>
      <c r="J54" s="202"/>
      <c r="K54" s="202"/>
      <c r="L54" s="202"/>
      <c r="M54" s="202"/>
    </row>
    <row r="55" spans="1:13" hidden="1" x14ac:dyDescent="0.25">
      <c r="A55" s="203" t="s">
        <v>1962</v>
      </c>
      <c r="B55" s="203" t="s">
        <v>1979</v>
      </c>
      <c r="C55" s="203" t="s">
        <v>1980</v>
      </c>
      <c r="D55" s="203"/>
      <c r="E55" s="203" t="s">
        <v>758</v>
      </c>
      <c r="F55" s="203" t="str">
        <f t="shared" ref="F55:F97" si="1">CONCATENATE("&lt;",TRIM(C55),"&gt; &lt;/",TRIM(C55),"&gt;")</f>
        <v>&lt;BoatersEducation&gt; &lt;/BoatersEducation&gt;</v>
      </c>
      <c r="G55" s="203" t="s">
        <v>2696</v>
      </c>
      <c r="H55" s="203" t="s">
        <v>2760</v>
      </c>
      <c r="I55" s="203"/>
      <c r="J55" s="203"/>
      <c r="K55" s="203"/>
      <c r="L55" s="203"/>
      <c r="M55" s="203"/>
    </row>
    <row r="56" spans="1:13" hidden="1" x14ac:dyDescent="0.25">
      <c r="A56" s="202" t="s">
        <v>1962</v>
      </c>
      <c r="B56" s="202" t="s">
        <v>1981</v>
      </c>
      <c r="C56" s="202" t="s">
        <v>1982</v>
      </c>
      <c r="D56" s="202"/>
      <c r="E56" s="202" t="s">
        <v>758</v>
      </c>
      <c r="F56" s="202" t="str">
        <f t="shared" si="1"/>
        <v>&lt;MedicalSelfCertificateNonInter&gt; &lt;/MedicalSelfCertificateNonInter&gt;</v>
      </c>
      <c r="G56" s="202" t="s">
        <v>2721</v>
      </c>
      <c r="H56" s="202" t="s">
        <v>2768</v>
      </c>
      <c r="I56" s="202"/>
      <c r="J56" s="202"/>
      <c r="K56" s="202"/>
      <c r="L56" s="202"/>
      <c r="M56" s="202"/>
    </row>
    <row r="57" spans="1:13" hidden="1" x14ac:dyDescent="0.25">
      <c r="A57" s="203" t="s">
        <v>1962</v>
      </c>
      <c r="B57" s="203" t="s">
        <v>1983</v>
      </c>
      <c r="C57" s="203" t="s">
        <v>1984</v>
      </c>
      <c r="D57" s="203"/>
      <c r="E57" s="203" t="s">
        <v>758</v>
      </c>
      <c r="F57" s="203" t="str">
        <f t="shared" si="1"/>
        <v>&lt;MedicalSelfCertificateExcInter&gt; &lt;/MedicalSelfCertificateExcInter&gt;</v>
      </c>
      <c r="G57" s="202" t="s">
        <v>2721</v>
      </c>
      <c r="H57" s="202" t="s">
        <v>2768</v>
      </c>
      <c r="I57" s="203"/>
      <c r="J57" s="203"/>
      <c r="K57" s="203"/>
      <c r="L57" s="203"/>
      <c r="M57" s="203"/>
    </row>
    <row r="58" spans="1:13" hidden="1" x14ac:dyDescent="0.25">
      <c r="A58" s="202" t="s">
        <v>1962</v>
      </c>
      <c r="B58" s="202" t="s">
        <v>1985</v>
      </c>
      <c r="C58" s="202" t="s">
        <v>1986</v>
      </c>
      <c r="D58" s="202"/>
      <c r="E58" s="202" t="s">
        <v>758</v>
      </c>
      <c r="F58" s="202" t="str">
        <f t="shared" si="1"/>
        <v>&lt;MedicalSelfCertificateNonIntra&gt; &lt;/MedicalSelfCertificateNonIntra&gt;</v>
      </c>
      <c r="G58" s="202" t="s">
        <v>2721</v>
      </c>
      <c r="H58" s="202" t="s">
        <v>2768</v>
      </c>
      <c r="I58" s="202"/>
      <c r="J58" s="202"/>
      <c r="K58" s="202"/>
      <c r="L58" s="202"/>
      <c r="M58" s="202"/>
    </row>
    <row r="59" spans="1:13" hidden="1" x14ac:dyDescent="0.25">
      <c r="A59" s="203" t="s">
        <v>1962</v>
      </c>
      <c r="B59" s="203" t="s">
        <v>1987</v>
      </c>
      <c r="C59" s="203" t="s">
        <v>1988</v>
      </c>
      <c r="D59" s="203"/>
      <c r="E59" s="203" t="s">
        <v>758</v>
      </c>
      <c r="F59" s="203" t="str">
        <f t="shared" si="1"/>
        <v>&lt;MedicalSelfCertificateExcIntra&gt; &lt;/MedicalSelfCertificateExcIntra&gt;</v>
      </c>
      <c r="G59" s="202" t="s">
        <v>2721</v>
      </c>
      <c r="H59" s="202" t="s">
        <v>2768</v>
      </c>
      <c r="I59" s="203"/>
      <c r="J59" s="203"/>
      <c r="K59" s="203"/>
      <c r="L59" s="203"/>
      <c r="M59" s="203"/>
    </row>
    <row r="60" spans="1:13" hidden="1" x14ac:dyDescent="0.25">
      <c r="A60" s="202" t="s">
        <v>1962</v>
      </c>
      <c r="B60" s="202" t="s">
        <v>1989</v>
      </c>
      <c r="C60" s="202" t="s">
        <v>1990</v>
      </c>
      <c r="D60" s="202"/>
      <c r="E60" s="202" t="s">
        <v>758</v>
      </c>
      <c r="F60" s="202" t="str">
        <f t="shared" si="1"/>
        <v>&lt;veteran&gt; &lt;/veteran&gt;</v>
      </c>
      <c r="G60" s="202" t="s">
        <v>2721</v>
      </c>
      <c r="H60" s="202" t="s">
        <v>2768</v>
      </c>
      <c r="I60" s="202"/>
      <c r="J60" s="202"/>
      <c r="K60" s="202"/>
      <c r="L60" s="202"/>
      <c r="M60" s="202"/>
    </row>
    <row r="61" spans="1:13" hidden="1" x14ac:dyDescent="0.25">
      <c r="A61" s="203" t="s">
        <v>1962</v>
      </c>
      <c r="B61" s="203" t="s">
        <v>1991</v>
      </c>
      <c r="C61" s="203" t="s">
        <v>1992</v>
      </c>
      <c r="D61" s="203"/>
      <c r="E61" s="203" t="s">
        <v>758</v>
      </c>
      <c r="F61" s="203" t="str">
        <f t="shared" si="1"/>
        <v>&lt;cajun&gt; &lt;/cajun&gt;</v>
      </c>
      <c r="G61" s="202" t="s">
        <v>2721</v>
      </c>
      <c r="H61" s="202" t="s">
        <v>2768</v>
      </c>
      <c r="I61" s="203"/>
      <c r="J61" s="203"/>
      <c r="K61" s="203"/>
      <c r="L61" s="203"/>
      <c r="M61" s="203"/>
    </row>
    <row r="62" spans="1:13" hidden="1" x14ac:dyDescent="0.25">
      <c r="A62" s="202" t="s">
        <v>1962</v>
      </c>
      <c r="B62" s="202" t="s">
        <v>1993</v>
      </c>
      <c r="C62" s="202" t="s">
        <v>2620</v>
      </c>
      <c r="D62" s="202"/>
      <c r="E62" s="202" t="s">
        <v>758</v>
      </c>
      <c r="F62" s="202" t="str">
        <f t="shared" si="1"/>
        <v>&lt;FreeDocumentCredit&gt; &lt;/FreeDocumentCredit&gt;</v>
      </c>
      <c r="G62" s="202" t="s">
        <v>2721</v>
      </c>
      <c r="H62" s="202" t="s">
        <v>2768</v>
      </c>
      <c r="I62" s="202"/>
      <c r="J62" s="202"/>
      <c r="K62" s="202"/>
      <c r="L62" s="202"/>
      <c r="M62" s="202"/>
    </row>
    <row r="63" spans="1:13" hidden="1" x14ac:dyDescent="0.25">
      <c r="A63" s="203" t="s">
        <v>1962</v>
      </c>
      <c r="B63" s="203" t="s">
        <v>2622</v>
      </c>
      <c r="C63" s="203" t="s">
        <v>2621</v>
      </c>
      <c r="D63" s="203"/>
      <c r="E63" s="203" t="s">
        <v>758</v>
      </c>
      <c r="F63" s="203" t="str">
        <f t="shared" si="1"/>
        <v>&lt;FosterChild&gt; &lt;/FosterChild&gt;</v>
      </c>
      <c r="G63" s="202" t="s">
        <v>2721</v>
      </c>
      <c r="H63" s="202" t="s">
        <v>2768</v>
      </c>
      <c r="I63" s="203"/>
      <c r="J63" s="203"/>
      <c r="K63" s="203"/>
      <c r="L63" s="203"/>
      <c r="M63" s="203"/>
    </row>
    <row r="64" spans="1:13" hidden="1" x14ac:dyDescent="0.25">
      <c r="A64" s="202" t="s">
        <v>1962</v>
      </c>
      <c r="B64" s="202" t="s">
        <v>1994</v>
      </c>
      <c r="C64" s="202" t="s">
        <v>1995</v>
      </c>
      <c r="D64" s="202"/>
      <c r="E64" s="202" t="s">
        <v>758</v>
      </c>
      <c r="F64" s="202" t="str">
        <f t="shared" si="1"/>
        <v>&lt;OrleansPar&gt; &lt;/OrleansPar&gt;</v>
      </c>
      <c r="G64" s="202" t="s">
        <v>2721</v>
      </c>
      <c r="H64" s="202" t="s">
        <v>2768</v>
      </c>
      <c r="I64" s="202"/>
      <c r="J64" s="202"/>
      <c r="K64" s="202"/>
      <c r="L64" s="202"/>
      <c r="M64" s="202"/>
    </row>
    <row r="65" spans="1:13" hidden="1" x14ac:dyDescent="0.25">
      <c r="A65" s="203" t="s">
        <v>1962</v>
      </c>
      <c r="B65" s="203" t="s">
        <v>1996</v>
      </c>
      <c r="C65" s="203" t="s">
        <v>2623</v>
      </c>
      <c r="D65" s="203"/>
      <c r="E65" s="203" t="s">
        <v>758</v>
      </c>
      <c r="F65" s="203" t="str">
        <f t="shared" si="1"/>
        <v>&lt;NonPermanentAlien&gt; &lt;/NonPermanentAlien&gt;</v>
      </c>
      <c r="G65" s="202" t="s">
        <v>2721</v>
      </c>
      <c r="H65" s="202" t="s">
        <v>2768</v>
      </c>
      <c r="I65" s="203"/>
      <c r="J65" s="203"/>
      <c r="K65" s="203"/>
      <c r="L65" s="203"/>
      <c r="M65" s="203"/>
    </row>
    <row r="66" spans="1:13" hidden="1" x14ac:dyDescent="0.25">
      <c r="A66" s="202" t="s">
        <v>1962</v>
      </c>
      <c r="B66" s="202" t="s">
        <v>1997</v>
      </c>
      <c r="C66" s="202" t="s">
        <v>1998</v>
      </c>
      <c r="D66" s="202"/>
      <c r="E66" s="202" t="s">
        <v>758</v>
      </c>
      <c r="F66" s="202" t="str">
        <f t="shared" si="1"/>
        <v>&lt;Duplicate&gt; &lt;/Duplicate&gt;</v>
      </c>
      <c r="G66" s="202" t="s">
        <v>2721</v>
      </c>
      <c r="H66" s="202" t="s">
        <v>2768</v>
      </c>
      <c r="I66" s="202"/>
      <c r="J66" s="202"/>
      <c r="K66" s="202"/>
      <c r="L66" s="202"/>
      <c r="M66" s="202"/>
    </row>
    <row r="67" spans="1:13" hidden="1" x14ac:dyDescent="0.25">
      <c r="A67" s="203" t="s">
        <v>1962</v>
      </c>
      <c r="B67" s="203" t="s">
        <v>1999</v>
      </c>
      <c r="C67" s="203" t="s">
        <v>2624</v>
      </c>
      <c r="D67" s="203"/>
      <c r="E67" s="203" t="s">
        <v>758</v>
      </c>
      <c r="F67" s="203" t="str">
        <f t="shared" si="1"/>
        <v>&lt;PhotoRetake&gt; &lt;/PhotoRetake&gt;</v>
      </c>
      <c r="G67" s="202" t="s">
        <v>2721</v>
      </c>
      <c r="H67" s="202" t="s">
        <v>2768</v>
      </c>
      <c r="I67" s="203"/>
      <c r="J67" s="203"/>
      <c r="K67" s="203"/>
      <c r="L67" s="203"/>
      <c r="M67" s="203"/>
    </row>
    <row r="68" spans="1:13" hidden="1" x14ac:dyDescent="0.25">
      <c r="A68" s="202" t="s">
        <v>1962</v>
      </c>
      <c r="B68" s="202" t="s">
        <v>2000</v>
      </c>
      <c r="C68" s="202" t="s">
        <v>2001</v>
      </c>
      <c r="D68" s="202"/>
      <c r="E68" s="202" t="s">
        <v>758</v>
      </c>
      <c r="F68" s="202" t="str">
        <f t="shared" si="1"/>
        <v>&lt;ChangeData&gt; &lt;/ChangeData&gt;</v>
      </c>
      <c r="G68" s="202" t="s">
        <v>2721</v>
      </c>
      <c r="H68" s="202" t="s">
        <v>2768</v>
      </c>
      <c r="I68" s="202"/>
      <c r="J68" s="202"/>
      <c r="K68" s="202"/>
      <c r="L68" s="202"/>
      <c r="M68" s="202"/>
    </row>
    <row r="69" spans="1:13" hidden="1" x14ac:dyDescent="0.25">
      <c r="A69" s="203" t="s">
        <v>1962</v>
      </c>
      <c r="B69" s="203" t="s">
        <v>2625</v>
      </c>
      <c r="C69" s="203" t="s">
        <v>2626</v>
      </c>
      <c r="D69" s="203"/>
      <c r="E69" s="203" t="s">
        <v>758</v>
      </c>
      <c r="F69" s="203" t="str">
        <f t="shared" si="1"/>
        <v>&lt;ChangeRest&gt; &lt;/ChangeRest&gt;</v>
      </c>
      <c r="G69" s="202" t="s">
        <v>2721</v>
      </c>
      <c r="H69" s="202" t="s">
        <v>2768</v>
      </c>
      <c r="I69" s="203"/>
      <c r="J69" s="203"/>
      <c r="K69" s="203"/>
      <c r="L69" s="203"/>
      <c r="M69" s="203"/>
    </row>
    <row r="70" spans="1:13" hidden="1" x14ac:dyDescent="0.25">
      <c r="A70" s="202" t="s">
        <v>1962</v>
      </c>
      <c r="B70" s="202" t="s">
        <v>2002</v>
      </c>
      <c r="C70" s="202" t="s">
        <v>2003</v>
      </c>
      <c r="D70" s="202"/>
      <c r="E70" s="202" t="s">
        <v>758</v>
      </c>
      <c r="F70" s="202" t="str">
        <f t="shared" si="1"/>
        <v>&lt;Correction&gt; &lt;/Correction&gt;</v>
      </c>
      <c r="G70" s="202" t="s">
        <v>2721</v>
      </c>
      <c r="H70" s="202" t="s">
        <v>2768</v>
      </c>
      <c r="I70" s="202"/>
      <c r="J70" s="202"/>
      <c r="K70" s="202"/>
      <c r="L70" s="202"/>
      <c r="M70" s="202"/>
    </row>
    <row r="71" spans="1:13" hidden="1" x14ac:dyDescent="0.25">
      <c r="A71" s="203" t="s">
        <v>1962</v>
      </c>
      <c r="B71" s="203" t="s">
        <v>2004</v>
      </c>
      <c r="C71" s="203" t="s">
        <v>2627</v>
      </c>
      <c r="D71" s="203"/>
      <c r="E71" s="203" t="s">
        <v>758</v>
      </c>
      <c r="F71" s="203" t="str">
        <f t="shared" si="1"/>
        <v>&lt;DelinqueCredit&gt; &lt;/DelinqueCredit&gt;</v>
      </c>
      <c r="G71" s="202" t="s">
        <v>2721</v>
      </c>
      <c r="H71" s="202" t="s">
        <v>2768</v>
      </c>
      <c r="I71" s="203"/>
      <c r="J71" s="203"/>
      <c r="K71" s="203"/>
      <c r="L71" s="203"/>
      <c r="M71" s="203"/>
    </row>
    <row r="72" spans="1:13" hidden="1" x14ac:dyDescent="0.25">
      <c r="A72" s="202" t="s">
        <v>1962</v>
      </c>
      <c r="B72" s="202" t="s">
        <v>2005</v>
      </c>
      <c r="C72" s="202" t="s">
        <v>2628</v>
      </c>
      <c r="D72" s="202"/>
      <c r="E72" s="202" t="s">
        <v>758</v>
      </c>
      <c r="F72" s="202" t="str">
        <f t="shared" si="1"/>
        <v>&lt;ComercialLicensePermit&gt; &lt;/ComercialLicensePermit&gt;</v>
      </c>
      <c r="G72" s="202" t="s">
        <v>2721</v>
      </c>
      <c r="H72" s="202" t="s">
        <v>2768</v>
      </c>
      <c r="I72" s="202"/>
      <c r="J72" s="202"/>
      <c r="K72" s="202"/>
      <c r="L72" s="202"/>
      <c r="M72" s="202"/>
    </row>
    <row r="73" spans="1:13" hidden="1" x14ac:dyDescent="0.25">
      <c r="A73" s="203" t="s">
        <v>1962</v>
      </c>
      <c r="B73" s="203" t="s">
        <v>2006</v>
      </c>
      <c r="C73" s="203" t="s">
        <v>2007</v>
      </c>
      <c r="D73" s="203"/>
      <c r="E73" s="203" t="s">
        <v>758</v>
      </c>
      <c r="F73" s="203" t="str">
        <f t="shared" si="1"/>
        <v>&lt;AssignDriverLicenseNumber&gt; &lt;/AssignDriverLicenseNumber&gt;</v>
      </c>
      <c r="G73" s="202" t="s">
        <v>2721</v>
      </c>
      <c r="H73" s="202" t="s">
        <v>2768</v>
      </c>
      <c r="I73" s="203"/>
      <c r="J73" s="203"/>
      <c r="K73" s="203"/>
      <c r="L73" s="203"/>
      <c r="M73" s="203"/>
    </row>
    <row r="74" spans="1:13" hidden="1" x14ac:dyDescent="0.25">
      <c r="A74" s="202" t="s">
        <v>1962</v>
      </c>
      <c r="B74" s="202" t="s">
        <v>2008</v>
      </c>
      <c r="C74" s="202" t="s">
        <v>2009</v>
      </c>
      <c r="D74" s="202"/>
      <c r="E74" s="202" t="s">
        <v>758</v>
      </c>
      <c r="F74" s="202" t="str">
        <f t="shared" si="1"/>
        <v>&lt;ApplicationFeeCredit&gt; &lt;/ApplicationFeeCredit&gt;</v>
      </c>
      <c r="G74" s="202" t="s">
        <v>2721</v>
      </c>
      <c r="H74" s="202" t="s">
        <v>2768</v>
      </c>
      <c r="I74" s="202"/>
      <c r="J74" s="202"/>
      <c r="K74" s="202"/>
      <c r="L74" s="202"/>
      <c r="M74" s="202"/>
    </row>
    <row r="75" spans="1:13" hidden="1" x14ac:dyDescent="0.25">
      <c r="A75" s="203" t="s">
        <v>1962</v>
      </c>
      <c r="B75" s="203" t="s">
        <v>2010</v>
      </c>
      <c r="C75" s="203" t="s">
        <v>2011</v>
      </c>
      <c r="D75" s="203"/>
      <c r="E75" s="203" t="s">
        <v>758</v>
      </c>
      <c r="F75" s="203" t="str">
        <f t="shared" si="1"/>
        <v>&lt;VoterId&gt; &lt;/VoterId&gt;</v>
      </c>
      <c r="G75" s="202" t="s">
        <v>2721</v>
      </c>
      <c r="H75" s="202" t="s">
        <v>2768</v>
      </c>
      <c r="I75" s="203"/>
      <c r="J75" s="203"/>
      <c r="K75" s="203"/>
      <c r="L75" s="203"/>
      <c r="M75" s="203"/>
    </row>
    <row r="76" spans="1:13" hidden="1" x14ac:dyDescent="0.25">
      <c r="A76" s="202" t="s">
        <v>1962</v>
      </c>
      <c r="B76" s="202" t="s">
        <v>2012</v>
      </c>
      <c r="C76" s="202" t="s">
        <v>2629</v>
      </c>
      <c r="D76" s="202"/>
      <c r="E76" s="202" t="s">
        <v>758</v>
      </c>
      <c r="F76" s="202" t="str">
        <f t="shared" si="1"/>
        <v>&lt;ReferToHazardLicense&gt; &lt;/ReferToHazardLicense&gt;</v>
      </c>
      <c r="G76" s="202" t="s">
        <v>2721</v>
      </c>
      <c r="H76" s="202" t="s">
        <v>2768</v>
      </c>
      <c r="I76" s="202"/>
      <c r="J76" s="202"/>
      <c r="K76" s="202"/>
      <c r="L76" s="202"/>
      <c r="M76" s="202"/>
    </row>
    <row r="77" spans="1:13" hidden="1" x14ac:dyDescent="0.25">
      <c r="A77" s="203" t="s">
        <v>1962</v>
      </c>
      <c r="B77" s="203" t="s">
        <v>2013</v>
      </c>
      <c r="C77" s="203" t="s">
        <v>2630</v>
      </c>
      <c r="D77" s="203"/>
      <c r="E77" s="203" t="s">
        <v>758</v>
      </c>
      <c r="F77" s="203" t="str">
        <f t="shared" si="1"/>
        <v>&lt;Interlock-Breathlizer&gt; &lt;/Interlock-Breathlizer&gt;</v>
      </c>
      <c r="G77" s="202" t="s">
        <v>2721</v>
      </c>
      <c r="H77" s="202" t="s">
        <v>2768</v>
      </c>
      <c r="I77" s="203"/>
      <c r="J77" s="203"/>
      <c r="K77" s="203"/>
      <c r="L77" s="203"/>
      <c r="M77" s="203"/>
    </row>
    <row r="78" spans="1:13" hidden="1" x14ac:dyDescent="0.25">
      <c r="A78" s="202" t="s">
        <v>1962</v>
      </c>
      <c r="B78" s="202" t="s">
        <v>2014</v>
      </c>
      <c r="C78" s="202" t="s">
        <v>2631</v>
      </c>
      <c r="D78" s="202"/>
      <c r="E78" s="202" t="s">
        <v>758</v>
      </c>
      <c r="F78" s="202" t="str">
        <f t="shared" si="1"/>
        <v>&lt;DisabledVeteran&gt; &lt;/DisabledVeteran&gt;</v>
      </c>
      <c r="G78" s="202" t="s">
        <v>2721</v>
      </c>
      <c r="H78" s="202" t="s">
        <v>2768</v>
      </c>
      <c r="I78" s="202"/>
      <c r="J78" s="202"/>
      <c r="K78" s="202"/>
      <c r="L78" s="202"/>
      <c r="M78" s="202"/>
    </row>
    <row r="79" spans="1:13" hidden="1" x14ac:dyDescent="0.25">
      <c r="A79" s="203" t="s">
        <v>1962</v>
      </c>
      <c r="B79" s="203" t="s">
        <v>2015</v>
      </c>
      <c r="C79" s="203" t="s">
        <v>2632</v>
      </c>
      <c r="D79" s="203"/>
      <c r="E79" s="203" t="s">
        <v>758</v>
      </c>
      <c r="F79" s="203" t="str">
        <f t="shared" si="1"/>
        <v>&lt;ChildID&gt; &lt;/ChildID&gt;</v>
      </c>
      <c r="G79" s="202" t="s">
        <v>2721</v>
      </c>
      <c r="H79" s="202" t="s">
        <v>2768</v>
      </c>
      <c r="I79" s="203"/>
      <c r="J79" s="203"/>
      <c r="K79" s="203"/>
      <c r="L79" s="203"/>
      <c r="M79" s="203"/>
    </row>
    <row r="80" spans="1:13" hidden="1" x14ac:dyDescent="0.25">
      <c r="A80" s="202" t="s">
        <v>1962</v>
      </c>
      <c r="B80" s="202" t="s">
        <v>2016</v>
      </c>
      <c r="C80" s="202" t="s">
        <v>2633</v>
      </c>
      <c r="D80" s="202"/>
      <c r="E80" s="202" t="s">
        <v>758</v>
      </c>
      <c r="F80" s="202" t="str">
        <f t="shared" si="1"/>
        <v>&lt;UndocumentAliens&gt; &lt;/UndocumentAliens&gt;</v>
      </c>
      <c r="G80" s="202" t="s">
        <v>2721</v>
      </c>
      <c r="H80" s="202" t="s">
        <v>2768</v>
      </c>
      <c r="I80" s="202"/>
      <c r="J80" s="202"/>
      <c r="K80" s="202"/>
      <c r="L80" s="202"/>
      <c r="M80" s="202"/>
    </row>
    <row r="81" spans="1:13" hidden="1" x14ac:dyDescent="0.25">
      <c r="A81" s="203" t="s">
        <v>1962</v>
      </c>
      <c r="B81" s="203" t="s">
        <v>2017</v>
      </c>
      <c r="C81" s="203" t="s">
        <v>2634</v>
      </c>
      <c r="D81" s="203"/>
      <c r="E81" s="203" t="s">
        <v>758</v>
      </c>
      <c r="F81" s="203" t="str">
        <f t="shared" si="1"/>
        <v>&lt;DrivingWhileIntoxicated1-2-3-Offense&gt; &lt;/DrivingWhileIntoxicated1-2-3-Offense&gt;</v>
      </c>
      <c r="G81" s="202" t="s">
        <v>2721</v>
      </c>
      <c r="H81" s="202" t="s">
        <v>2768</v>
      </c>
      <c r="I81" s="203"/>
      <c r="J81" s="203"/>
      <c r="K81" s="203"/>
      <c r="L81" s="203"/>
      <c r="M81" s="203"/>
    </row>
    <row r="82" spans="1:13" x14ac:dyDescent="0.25">
      <c r="A82" s="202" t="s">
        <v>2082</v>
      </c>
      <c r="B82" s="202" t="s">
        <v>2018</v>
      </c>
      <c r="C82" s="202" t="s">
        <v>2635</v>
      </c>
      <c r="D82" s="202"/>
      <c r="E82" s="202" t="s">
        <v>764</v>
      </c>
      <c r="F82" s="202" t="str">
        <f t="shared" si="1"/>
        <v>&lt;GenderOffender&gt; &lt;/GenderOffender&gt;</v>
      </c>
      <c r="G82" s="202" t="s">
        <v>2721</v>
      </c>
      <c r="H82" s="202" t="s">
        <v>2768</v>
      </c>
      <c r="I82" s="202" t="s">
        <v>1527</v>
      </c>
      <c r="J82" s="202"/>
      <c r="K82" s="202"/>
      <c r="L82" s="202"/>
      <c r="M82" s="202"/>
    </row>
    <row r="83" spans="1:13" x14ac:dyDescent="0.25">
      <c r="A83" s="203" t="s">
        <v>2082</v>
      </c>
      <c r="B83" s="203" t="s">
        <v>1494</v>
      </c>
      <c r="C83" s="203" t="s">
        <v>108</v>
      </c>
      <c r="D83" s="203"/>
      <c r="E83" s="203" t="s">
        <v>764</v>
      </c>
      <c r="F83" s="203" t="str">
        <f t="shared" si="1"/>
        <v>&lt;Weight&gt; &lt;/Weight&gt;</v>
      </c>
      <c r="G83" s="203" t="s">
        <v>2729</v>
      </c>
      <c r="H83" s="203" t="s">
        <v>1524</v>
      </c>
      <c r="I83" s="203" t="s">
        <v>1526</v>
      </c>
      <c r="J83" s="203"/>
      <c r="K83" s="203"/>
      <c r="L83" s="203"/>
      <c r="M83" s="203"/>
    </row>
    <row r="84" spans="1:13" x14ac:dyDescent="0.25">
      <c r="A84" s="202" t="s">
        <v>2076</v>
      </c>
      <c r="B84" s="202" t="s">
        <v>1241</v>
      </c>
      <c r="C84" s="202" t="s">
        <v>1242</v>
      </c>
      <c r="D84" s="202"/>
      <c r="E84" s="202" t="s">
        <v>758</v>
      </c>
      <c r="F84" s="202" t="str">
        <f t="shared" si="1"/>
        <v>&lt;EyeColor&gt; &lt;/EyeColor&gt;</v>
      </c>
      <c r="G84" s="202" t="s">
        <v>2730</v>
      </c>
      <c r="H84" s="202" t="s">
        <v>1492</v>
      </c>
      <c r="I84" s="202" t="s">
        <v>1493</v>
      </c>
      <c r="J84" s="202"/>
      <c r="K84" s="202"/>
      <c r="L84" s="202"/>
      <c r="M84" s="202"/>
    </row>
    <row r="85" spans="1:13" hidden="1" x14ac:dyDescent="0.25">
      <c r="A85" s="203" t="s">
        <v>2019</v>
      </c>
      <c r="B85" s="203" t="s">
        <v>2020</v>
      </c>
      <c r="C85" s="203" t="s">
        <v>2021</v>
      </c>
      <c r="D85" s="203" t="s">
        <v>2022</v>
      </c>
      <c r="E85" s="203" t="s">
        <v>758</v>
      </c>
      <c r="F85" s="203" t="str">
        <f t="shared" si="1"/>
        <v>&lt;LicenseAddressStreetA&gt; &lt;/LicenseAddressStreetA&gt;</v>
      </c>
      <c r="G85" s="203" t="s">
        <v>2731</v>
      </c>
      <c r="H85" s="203" t="s">
        <v>365</v>
      </c>
      <c r="I85" s="203" t="s">
        <v>1198</v>
      </c>
      <c r="J85" s="203"/>
      <c r="K85" s="203"/>
      <c r="L85" s="203"/>
      <c r="M85" s="203"/>
    </row>
    <row r="86" spans="1:13" hidden="1" x14ac:dyDescent="0.25">
      <c r="A86" s="202" t="s">
        <v>2019</v>
      </c>
      <c r="B86" s="202" t="s">
        <v>2023</v>
      </c>
      <c r="C86" s="202" t="s">
        <v>2024</v>
      </c>
      <c r="D86" s="202" t="s">
        <v>2025</v>
      </c>
      <c r="E86" s="202" t="s">
        <v>758</v>
      </c>
      <c r="F86" s="202" t="str">
        <f t="shared" si="1"/>
        <v>&lt;LicenseAddressStrretB&gt; &lt;/LicenseAddressStrretB&gt;</v>
      </c>
      <c r="G86" s="202" t="s">
        <v>2732</v>
      </c>
      <c r="H86" s="202" t="s">
        <v>2034</v>
      </c>
      <c r="I86" s="202" t="s">
        <v>2285</v>
      </c>
      <c r="J86" s="202"/>
      <c r="K86" s="202"/>
      <c r="L86" s="202"/>
      <c r="M86" s="202"/>
    </row>
    <row r="87" spans="1:13" hidden="1" x14ac:dyDescent="0.25">
      <c r="A87" s="203" t="s">
        <v>2019</v>
      </c>
      <c r="B87" s="203" t="s">
        <v>809</v>
      </c>
      <c r="C87" s="203" t="s">
        <v>2026</v>
      </c>
      <c r="D87" s="203" t="s">
        <v>2027</v>
      </c>
      <c r="E87" s="203" t="s">
        <v>758</v>
      </c>
      <c r="F87" s="203" t="str">
        <f t="shared" si="1"/>
        <v>&lt;LicenseAddressCity&gt; &lt;/LicenseAddressCity&gt;</v>
      </c>
      <c r="G87" s="203" t="s">
        <v>2733</v>
      </c>
      <c r="H87" s="203" t="s">
        <v>367</v>
      </c>
      <c r="I87" s="203" t="s">
        <v>1199</v>
      </c>
      <c r="J87" s="203"/>
      <c r="K87" s="203"/>
      <c r="L87" s="203"/>
      <c r="M87" s="203"/>
    </row>
    <row r="88" spans="1:13" hidden="1" x14ac:dyDescent="0.25">
      <c r="A88" s="202" t="s">
        <v>2058</v>
      </c>
      <c r="B88" s="202" t="s">
        <v>810</v>
      </c>
      <c r="C88" s="202" t="s">
        <v>2028</v>
      </c>
      <c r="D88" s="202" t="s">
        <v>2029</v>
      </c>
      <c r="E88" s="202" t="s">
        <v>758</v>
      </c>
      <c r="F88" s="202" t="str">
        <f t="shared" si="1"/>
        <v>&lt;LicenseAddressState&gt; &lt;/LicenseAddressState&gt;</v>
      </c>
      <c r="G88" s="202" t="s">
        <v>2734</v>
      </c>
      <c r="H88" s="202" t="s">
        <v>368</v>
      </c>
      <c r="I88" s="202" t="s">
        <v>2286</v>
      </c>
      <c r="J88" s="202"/>
      <c r="K88" s="202"/>
      <c r="L88" s="202"/>
      <c r="M88" s="202"/>
    </row>
    <row r="89" spans="1:13" hidden="1" x14ac:dyDescent="0.25">
      <c r="A89" s="203" t="s">
        <v>2019</v>
      </c>
      <c r="B89" s="203" t="s">
        <v>126</v>
      </c>
      <c r="C89" s="203" t="s">
        <v>2030</v>
      </c>
      <c r="D89" s="203" t="s">
        <v>1657</v>
      </c>
      <c r="E89" s="203" t="s">
        <v>758</v>
      </c>
      <c r="F89" s="203" t="str">
        <f t="shared" si="1"/>
        <v>&lt;LicenseAddressZip&gt; &lt;/LicenseAddressZip&gt;</v>
      </c>
      <c r="G89" s="203" t="s">
        <v>2735</v>
      </c>
      <c r="H89" s="203" t="s">
        <v>366</v>
      </c>
      <c r="I89" s="203" t="s">
        <v>1201</v>
      </c>
      <c r="J89" s="203"/>
      <c r="K89" s="203"/>
      <c r="L89" s="203"/>
      <c r="M89" s="203"/>
    </row>
    <row r="90" spans="1:13" hidden="1" x14ac:dyDescent="0.25">
      <c r="A90" s="202" t="s">
        <v>2019</v>
      </c>
      <c r="B90" s="202" t="s">
        <v>2020</v>
      </c>
      <c r="C90" s="202" t="s">
        <v>2031</v>
      </c>
      <c r="D90" s="202" t="s">
        <v>1654</v>
      </c>
      <c r="E90" s="202" t="s">
        <v>758</v>
      </c>
      <c r="F90" s="202" t="str">
        <f t="shared" si="1"/>
        <v>&lt;MailingAddressStreetA&gt; &lt;/MailingAddressStreetA&gt;</v>
      </c>
      <c r="G90" s="202" t="s">
        <v>2736</v>
      </c>
      <c r="H90" s="202" t="s">
        <v>365</v>
      </c>
      <c r="I90" s="202" t="s">
        <v>239</v>
      </c>
      <c r="J90" s="202"/>
      <c r="K90" s="202"/>
      <c r="L90" s="202"/>
      <c r="M90" s="202"/>
    </row>
    <row r="91" spans="1:13" hidden="1" x14ac:dyDescent="0.25">
      <c r="A91" s="203" t="s">
        <v>2019</v>
      </c>
      <c r="B91" s="203" t="s">
        <v>2023</v>
      </c>
      <c r="C91" s="203" t="s">
        <v>2032</v>
      </c>
      <c r="D91" s="203" t="s">
        <v>2033</v>
      </c>
      <c r="E91" s="203" t="s">
        <v>758</v>
      </c>
      <c r="F91" s="203" t="str">
        <f t="shared" si="1"/>
        <v>&lt;MailingAddressStrretB&gt; &lt;/MailingAddressStrretB&gt;</v>
      </c>
      <c r="G91" s="203" t="s">
        <v>2737</v>
      </c>
      <c r="H91" s="203" t="s">
        <v>2034</v>
      </c>
      <c r="I91" s="203" t="s">
        <v>2035</v>
      </c>
      <c r="J91" s="203"/>
      <c r="K91" s="203"/>
      <c r="L91" s="203"/>
      <c r="M91" s="203"/>
    </row>
    <row r="92" spans="1:13" hidden="1" x14ac:dyDescent="0.25">
      <c r="A92" s="202" t="s">
        <v>2019</v>
      </c>
      <c r="B92" s="202" t="s">
        <v>809</v>
      </c>
      <c r="C92" s="202" t="s">
        <v>2036</v>
      </c>
      <c r="D92" s="202" t="s">
        <v>1655</v>
      </c>
      <c r="E92" s="202" t="s">
        <v>758</v>
      </c>
      <c r="F92" s="202" t="str">
        <f t="shared" si="1"/>
        <v>&lt;MailingAddressCity&gt; &lt;/MailingAddressCity&gt;</v>
      </c>
      <c r="G92" s="202" t="s">
        <v>2738</v>
      </c>
      <c r="H92" s="202" t="s">
        <v>367</v>
      </c>
      <c r="I92" s="202" t="s">
        <v>241</v>
      </c>
      <c r="J92" s="202"/>
      <c r="K92" s="202"/>
      <c r="L92" s="202"/>
      <c r="M92" s="202"/>
    </row>
    <row r="93" spans="1:13" hidden="1" x14ac:dyDescent="0.25">
      <c r="A93" s="203" t="s">
        <v>2019</v>
      </c>
      <c r="B93" s="203" t="s">
        <v>810</v>
      </c>
      <c r="C93" s="203" t="s">
        <v>2037</v>
      </c>
      <c r="D93" s="203" t="s">
        <v>1656</v>
      </c>
      <c r="E93" s="203" t="s">
        <v>758</v>
      </c>
      <c r="F93" s="203" t="str">
        <f t="shared" si="1"/>
        <v>&lt;MailingAddressState&gt; &lt;/MailingAddressState&gt;</v>
      </c>
      <c r="G93" s="203" t="s">
        <v>2739</v>
      </c>
      <c r="H93" s="203" t="s">
        <v>368</v>
      </c>
      <c r="I93" s="203" t="s">
        <v>242</v>
      </c>
      <c r="J93" s="203"/>
      <c r="K93" s="203"/>
      <c r="L93" s="203"/>
      <c r="M93" s="203"/>
    </row>
    <row r="94" spans="1:13" hidden="1" x14ac:dyDescent="0.25">
      <c r="A94" s="202" t="s">
        <v>2019</v>
      </c>
      <c r="B94" s="202" t="s">
        <v>126</v>
      </c>
      <c r="C94" s="202" t="s">
        <v>2038</v>
      </c>
      <c r="D94" s="202" t="s">
        <v>1657</v>
      </c>
      <c r="E94" s="202" t="s">
        <v>758</v>
      </c>
      <c r="F94" s="202" t="str">
        <f t="shared" si="1"/>
        <v>&lt;MailingAddressZip&gt; &lt;/MailingAddressZip&gt;</v>
      </c>
      <c r="G94" s="202" t="s">
        <v>2740</v>
      </c>
      <c r="H94" s="202" t="s">
        <v>366</v>
      </c>
      <c r="I94" s="202" t="s">
        <v>240</v>
      </c>
      <c r="J94" s="202"/>
      <c r="K94" s="202"/>
      <c r="L94" s="202"/>
      <c r="M94" s="202"/>
    </row>
    <row r="95" spans="1:13" hidden="1" x14ac:dyDescent="0.25">
      <c r="A95" s="203" t="s">
        <v>2019</v>
      </c>
      <c r="B95" s="203" t="s">
        <v>571</v>
      </c>
      <c r="C95" s="203" t="s">
        <v>2039</v>
      </c>
      <c r="D95" s="203" t="s">
        <v>1622</v>
      </c>
      <c r="E95" s="203" t="s">
        <v>758</v>
      </c>
      <c r="F95" s="203" t="str">
        <f t="shared" si="1"/>
        <v>&lt;DomicileCode&gt; &lt;/DomicileCode&gt;</v>
      </c>
      <c r="G95" s="203" t="s">
        <v>2741</v>
      </c>
      <c r="H95" s="202" t="s">
        <v>2780</v>
      </c>
      <c r="I95" s="203" t="s">
        <v>286</v>
      </c>
      <c r="J95" s="203"/>
      <c r="K95" s="203"/>
      <c r="L95" s="203"/>
      <c r="M95" s="203"/>
    </row>
    <row r="96" spans="1:13" x14ac:dyDescent="0.25">
      <c r="A96" s="202" t="s">
        <v>2082</v>
      </c>
      <c r="B96" s="202" t="s">
        <v>2040</v>
      </c>
      <c r="C96" s="202" t="s">
        <v>1836</v>
      </c>
      <c r="D96" s="202" t="s">
        <v>1836</v>
      </c>
      <c r="E96" s="202"/>
      <c r="F96" s="202" t="str">
        <f t="shared" si="1"/>
        <v>&lt;?&gt; &lt;/?&gt;</v>
      </c>
      <c r="G96" s="203" t="s">
        <v>2695</v>
      </c>
      <c r="H96" s="203" t="s">
        <v>2759</v>
      </c>
      <c r="I96" s="202"/>
      <c r="J96" s="202"/>
      <c r="K96" s="202"/>
      <c r="L96" s="202"/>
      <c r="M96" s="202"/>
    </row>
    <row r="97" spans="1:13" hidden="1" x14ac:dyDescent="0.25">
      <c r="A97" s="203" t="s">
        <v>2019</v>
      </c>
      <c r="B97" s="203" t="s">
        <v>2041</v>
      </c>
      <c r="C97" s="203" t="s">
        <v>2042</v>
      </c>
      <c r="D97" s="203"/>
      <c r="E97" s="203" t="s">
        <v>758</v>
      </c>
      <c r="F97" s="203" t="str">
        <f t="shared" si="1"/>
        <v>&lt;BloodType&gt; &lt;/BloodType&gt;</v>
      </c>
      <c r="G97" s="203" t="s">
        <v>2743</v>
      </c>
      <c r="H97" s="203" t="s">
        <v>2781</v>
      </c>
      <c r="I97" s="203"/>
      <c r="J97" s="203"/>
      <c r="K97" s="203"/>
      <c r="L97" s="203"/>
      <c r="M97" s="203"/>
    </row>
    <row r="98" spans="1:13" hidden="1" x14ac:dyDescent="0.25">
      <c r="A98" s="202" t="s">
        <v>2019</v>
      </c>
      <c r="B98" s="202" t="s">
        <v>2043</v>
      </c>
      <c r="C98" s="202" t="s">
        <v>2044</v>
      </c>
      <c r="D98" s="202"/>
      <c r="E98" s="202" t="s">
        <v>758</v>
      </c>
      <c r="F98" s="202" t="str">
        <f t="shared" ref="F98:F110" si="2">CONCATENATE("&lt;",TRIM(C98),"&gt; &lt;/",TRIM(C98),"&gt;")</f>
        <v>&lt;IsDonar&gt; &lt;/IsDonar&gt;</v>
      </c>
      <c r="G98" s="203" t="s">
        <v>2744</v>
      </c>
      <c r="H98" s="203" t="s">
        <v>2782</v>
      </c>
      <c r="I98" s="202"/>
      <c r="J98" s="202"/>
      <c r="K98" s="202"/>
      <c r="L98" s="202"/>
      <c r="M98" s="202"/>
    </row>
    <row r="99" spans="1:13" hidden="1" x14ac:dyDescent="0.25">
      <c r="A99" s="203" t="s">
        <v>2019</v>
      </c>
      <c r="B99" s="203" t="s">
        <v>2045</v>
      </c>
      <c r="C99" s="203" t="s">
        <v>2046</v>
      </c>
      <c r="D99" s="203"/>
      <c r="E99" s="203" t="s">
        <v>758</v>
      </c>
      <c r="F99" s="203" t="str">
        <f t="shared" si="2"/>
        <v>&lt;isMilitary&gt; &lt;/isMilitary&gt;</v>
      </c>
      <c r="G99" s="202" t="s">
        <v>2745</v>
      </c>
      <c r="H99" s="203" t="s">
        <v>2287</v>
      </c>
      <c r="I99" s="203" t="s">
        <v>2288</v>
      </c>
      <c r="J99" s="203"/>
      <c r="K99" s="203"/>
      <c r="L99" s="203"/>
      <c r="M99" s="203"/>
    </row>
    <row r="100" spans="1:13" hidden="1" x14ac:dyDescent="0.25">
      <c r="A100" s="202" t="s">
        <v>2019</v>
      </c>
      <c r="B100" s="202" t="s">
        <v>2047</v>
      </c>
      <c r="C100" s="202" t="s">
        <v>2048</v>
      </c>
      <c r="D100" s="202"/>
      <c r="E100" s="202" t="s">
        <v>758</v>
      </c>
      <c r="F100" s="202" t="str">
        <f t="shared" si="2"/>
        <v>&lt;isVote&gt; &lt;/isVote&gt;</v>
      </c>
      <c r="G100" s="203" t="s">
        <v>2742</v>
      </c>
      <c r="H100" s="202" t="s">
        <v>2783</v>
      </c>
      <c r="I100" s="202"/>
      <c r="J100" s="202"/>
      <c r="K100" s="202"/>
      <c r="L100" s="202"/>
      <c r="M100" s="202"/>
    </row>
    <row r="101" spans="1:13" hidden="1" x14ac:dyDescent="0.25">
      <c r="A101" s="203" t="s">
        <v>2019</v>
      </c>
      <c r="B101" s="203" t="s">
        <v>2049</v>
      </c>
      <c r="C101" s="203" t="s">
        <v>2050</v>
      </c>
      <c r="D101" s="203"/>
      <c r="E101" s="203" t="s">
        <v>758</v>
      </c>
      <c r="F101" s="203" t="str">
        <f t="shared" si="2"/>
        <v>&lt;HandicapType&gt; &lt;/HandicapType&gt;</v>
      </c>
      <c r="G101" s="203" t="s">
        <v>2746</v>
      </c>
      <c r="H101" s="203" t="s">
        <v>2771</v>
      </c>
      <c r="I101" s="203"/>
      <c r="J101" s="203"/>
      <c r="K101" s="203"/>
      <c r="L101" s="203"/>
      <c r="M101" s="203"/>
    </row>
    <row r="102" spans="1:13" hidden="1" x14ac:dyDescent="0.25">
      <c r="A102" s="202" t="s">
        <v>2019</v>
      </c>
      <c r="B102" s="202" t="s">
        <v>2051</v>
      </c>
      <c r="C102" s="202" t="s">
        <v>2052</v>
      </c>
      <c r="D102" s="202"/>
      <c r="E102" s="202" t="s">
        <v>1961</v>
      </c>
      <c r="F102" s="202" t="str">
        <f t="shared" si="2"/>
        <v>&lt;HandiCapControlNumber&gt; &lt;/HandiCapControlNumber&gt;</v>
      </c>
      <c r="G102" s="203" t="s">
        <v>2698</v>
      </c>
      <c r="H102" s="202" t="s">
        <v>2772</v>
      </c>
      <c r="I102" s="202"/>
      <c r="J102" s="202"/>
      <c r="K102" s="202"/>
      <c r="L102" s="202"/>
      <c r="M102" s="202"/>
    </row>
    <row r="103" spans="1:13" hidden="1" x14ac:dyDescent="0.25">
      <c r="A103" s="203" t="s">
        <v>2019</v>
      </c>
      <c r="B103" s="203" t="s">
        <v>2053</v>
      </c>
      <c r="C103" s="203" t="s">
        <v>2054</v>
      </c>
      <c r="D103" s="203"/>
      <c r="E103" s="203" t="s">
        <v>758</v>
      </c>
      <c r="F103" s="203" t="str">
        <f t="shared" si="2"/>
        <v>&lt;Remarks&gt; &lt;/Remarks&gt;</v>
      </c>
      <c r="G103" s="203" t="s">
        <v>2747</v>
      </c>
      <c r="H103" s="202" t="s">
        <v>2774</v>
      </c>
      <c r="I103" s="203"/>
      <c r="J103" s="203"/>
      <c r="K103" s="203"/>
      <c r="L103" s="203"/>
      <c r="M103" s="203"/>
    </row>
    <row r="104" spans="1:13" x14ac:dyDescent="0.25">
      <c r="A104" s="202" t="s">
        <v>2076</v>
      </c>
      <c r="B104" s="202" t="s">
        <v>2055</v>
      </c>
      <c r="C104" s="202" t="s">
        <v>1108</v>
      </c>
      <c r="D104" s="202"/>
      <c r="E104" s="202" t="s">
        <v>1961</v>
      </c>
      <c r="F104" s="202" t="str">
        <f t="shared" si="2"/>
        <v>&lt;AuditNumber&gt; &lt;/AuditNumber&gt;</v>
      </c>
      <c r="G104" s="203" t="s">
        <v>2748</v>
      </c>
      <c r="H104" s="202" t="s">
        <v>2776</v>
      </c>
      <c r="I104" s="202" t="s">
        <v>1455</v>
      </c>
      <c r="J104" s="202"/>
      <c r="K104" s="202"/>
      <c r="L104" s="202"/>
      <c r="M104" s="202"/>
    </row>
    <row r="105" spans="1:13" hidden="1" x14ac:dyDescent="0.25">
      <c r="A105" s="203" t="s">
        <v>2019</v>
      </c>
      <c r="B105" s="203" t="s">
        <v>2056</v>
      </c>
      <c r="C105" s="203" t="s">
        <v>2648</v>
      </c>
      <c r="D105" s="203"/>
      <c r="E105" s="203" t="s">
        <v>764</v>
      </c>
      <c r="F105" s="203" t="str">
        <f t="shared" si="2"/>
        <v>&lt;TotalDollar&gt; &lt;/TotalDollar&gt;</v>
      </c>
      <c r="G105" s="203" t="s">
        <v>2749</v>
      </c>
      <c r="H105" s="202" t="s">
        <v>2777</v>
      </c>
      <c r="I105" s="203"/>
      <c r="J105" s="203"/>
      <c r="K105" s="203"/>
      <c r="L105" s="203"/>
      <c r="M105" s="203"/>
    </row>
    <row r="106" spans="1:13" hidden="1" x14ac:dyDescent="0.25">
      <c r="A106" s="202" t="s">
        <v>2057</v>
      </c>
      <c r="B106" s="202" t="s">
        <v>1177</v>
      </c>
      <c r="C106" s="202" t="s">
        <v>900</v>
      </c>
      <c r="D106" s="202" t="s">
        <v>1599</v>
      </c>
      <c r="E106" s="202" t="s">
        <v>758</v>
      </c>
      <c r="F106" s="202" t="str">
        <f t="shared" si="2"/>
        <v>&lt;OfficeCode&gt; &lt;/OfficeCode&gt;</v>
      </c>
      <c r="G106" s="203" t="s">
        <v>2750</v>
      </c>
      <c r="H106" s="202" t="s">
        <v>2773</v>
      </c>
      <c r="I106" s="202" t="s">
        <v>1545</v>
      </c>
      <c r="J106" s="202"/>
      <c r="K106" s="202"/>
      <c r="L106" s="202"/>
      <c r="M106" s="202"/>
    </row>
    <row r="107" spans="1:13" hidden="1" x14ac:dyDescent="0.25">
      <c r="A107" s="203" t="s">
        <v>2057</v>
      </c>
      <c r="B107" s="203" t="s">
        <v>1041</v>
      </c>
      <c r="C107" s="203" t="s">
        <v>1043</v>
      </c>
      <c r="D107" s="203" t="s">
        <v>1704</v>
      </c>
      <c r="E107" s="203" t="s">
        <v>763</v>
      </c>
      <c r="F107" s="203" t="str">
        <f t="shared" si="2"/>
        <v>&lt;BeginDate&gt; &lt;/BeginDate&gt;</v>
      </c>
      <c r="G107" s="203" t="s">
        <v>2750</v>
      </c>
      <c r="H107" s="202" t="s">
        <v>2773</v>
      </c>
      <c r="I107" s="203" t="s">
        <v>1551</v>
      </c>
      <c r="J107" s="203"/>
      <c r="K107" s="203" t="s">
        <v>1045</v>
      </c>
      <c r="L107" s="203"/>
      <c r="M107" s="203"/>
    </row>
    <row r="108" spans="1:13" hidden="1" x14ac:dyDescent="0.25">
      <c r="A108" s="202" t="s">
        <v>2057</v>
      </c>
      <c r="B108" s="202" t="s">
        <v>2935</v>
      </c>
      <c r="C108" s="202" t="s">
        <v>2936</v>
      </c>
      <c r="D108" s="202" t="s">
        <v>2937</v>
      </c>
      <c r="E108" s="202" t="s">
        <v>763</v>
      </c>
      <c r="F108" s="202" t="str">
        <f t="shared" si="2"/>
        <v>&lt;BeginTime&gt; &lt;/BeginTime&gt;</v>
      </c>
      <c r="G108" s="202" t="s">
        <v>2750</v>
      </c>
      <c r="H108" s="202" t="s">
        <v>2773</v>
      </c>
      <c r="I108" s="202" t="s">
        <v>1552</v>
      </c>
      <c r="J108" s="202"/>
      <c r="K108" s="202" t="s">
        <v>1045</v>
      </c>
      <c r="L108" s="202"/>
      <c r="M108" s="202"/>
    </row>
    <row r="109" spans="1:13" hidden="1" x14ac:dyDescent="0.25">
      <c r="A109" s="203" t="s">
        <v>2057</v>
      </c>
      <c r="B109" s="203" t="s">
        <v>524</v>
      </c>
      <c r="C109" s="203" t="s">
        <v>717</v>
      </c>
      <c r="D109" s="203"/>
      <c r="E109" s="203" t="s">
        <v>763</v>
      </c>
      <c r="F109" s="203" t="str">
        <f t="shared" si="2"/>
        <v>&lt;Date&gt; &lt;/Date&gt;</v>
      </c>
      <c r="G109" s="203" t="s">
        <v>2750</v>
      </c>
      <c r="H109" s="203" t="s">
        <v>2773</v>
      </c>
      <c r="I109" s="203"/>
      <c r="J109" s="203"/>
      <c r="K109" s="203"/>
      <c r="L109" s="203"/>
      <c r="M109" s="203"/>
    </row>
    <row r="110" spans="1:13" hidden="1" x14ac:dyDescent="0.25">
      <c r="A110" s="202" t="s">
        <v>2057</v>
      </c>
      <c r="B110" s="202" t="s">
        <v>1051</v>
      </c>
      <c r="C110" s="202" t="s">
        <v>1052</v>
      </c>
      <c r="D110" s="202"/>
      <c r="E110" s="202" t="s">
        <v>758</v>
      </c>
      <c r="F110" s="202" t="str">
        <f t="shared" si="2"/>
        <v>&lt;Time&gt; &lt;/Time&gt;</v>
      </c>
      <c r="G110" s="202" t="s">
        <v>2750</v>
      </c>
      <c r="H110" s="202" t="s">
        <v>2773</v>
      </c>
      <c r="I110" s="202"/>
      <c r="J110" s="202"/>
      <c r="K110" s="202"/>
      <c r="L110" s="202"/>
      <c r="M110" s="202"/>
    </row>
    <row r="111" spans="1:13" hidden="1" x14ac:dyDescent="0.25">
      <c r="A111" s="203" t="s">
        <v>2057</v>
      </c>
      <c r="B111" s="203" t="s">
        <v>1123</v>
      </c>
      <c r="C111" s="203" t="s">
        <v>1123</v>
      </c>
      <c r="D111" s="203"/>
      <c r="E111" s="203" t="s">
        <v>758</v>
      </c>
      <c r="F111" s="203" t="str">
        <f>CONCATENATE("&lt;",TRIM(C111),"&gt; &lt;/",TRIM(C111),"&gt;")</f>
        <v>&lt;SSN&gt; &lt;/SSN&gt;</v>
      </c>
      <c r="G111" s="203" t="s">
        <v>2754</v>
      </c>
      <c r="H111" s="203" t="s">
        <v>2775</v>
      </c>
      <c r="I111" s="203"/>
      <c r="J111" s="203"/>
      <c r="K111" s="203"/>
      <c r="L111" s="203"/>
      <c r="M111" s="203"/>
    </row>
    <row r="112" spans="1:13" hidden="1" x14ac:dyDescent="0.25">
      <c r="A112" s="202" t="s">
        <v>2954</v>
      </c>
      <c r="B112" s="202" t="s">
        <v>2059</v>
      </c>
      <c r="C112" s="202" t="s">
        <v>2065</v>
      </c>
      <c r="D112" s="202"/>
      <c r="E112" s="202" t="s">
        <v>758</v>
      </c>
      <c r="F112" s="202" t="str">
        <f t="shared" ref="F112:F119" si="3">CONCATENATE("&lt;",TRIM(C112),"&gt; &lt;/",TRIM(C112),"&gt;")</f>
        <v>&lt;InititalInquiryStatus&gt; &lt;/InititalInquiryStatus&gt;</v>
      </c>
      <c r="G112" s="202" t="s">
        <v>2754</v>
      </c>
      <c r="H112" s="202" t="s">
        <v>2775</v>
      </c>
      <c r="I112" s="202"/>
      <c r="J112" s="202"/>
      <c r="K112" s="202"/>
      <c r="L112" s="202"/>
      <c r="M112" s="202"/>
    </row>
    <row r="113" spans="1:13" hidden="1" x14ac:dyDescent="0.25">
      <c r="A113" s="203" t="s">
        <v>2954</v>
      </c>
      <c r="B113" s="203" t="s">
        <v>2060</v>
      </c>
      <c r="C113" s="203" t="s">
        <v>2066</v>
      </c>
      <c r="D113" s="203"/>
      <c r="E113" s="203" t="s">
        <v>758</v>
      </c>
      <c r="F113" s="203" t="str">
        <f t="shared" si="3"/>
        <v>&lt;UpdateActivityStatus&gt; &lt;/UpdateActivityStatus&gt;</v>
      </c>
      <c r="G113" s="203" t="s">
        <v>2754</v>
      </c>
      <c r="H113" s="203" t="s">
        <v>2775</v>
      </c>
      <c r="I113" s="203"/>
      <c r="J113" s="203"/>
      <c r="K113" s="203"/>
      <c r="L113" s="203"/>
      <c r="M113" s="203"/>
    </row>
    <row r="114" spans="1:13" hidden="1" x14ac:dyDescent="0.25">
      <c r="A114" s="202" t="s">
        <v>2954</v>
      </c>
      <c r="B114" s="202" t="s">
        <v>2061</v>
      </c>
      <c r="C114" s="202" t="s">
        <v>2067</v>
      </c>
      <c r="D114" s="202"/>
      <c r="E114" s="202" t="s">
        <v>758</v>
      </c>
      <c r="F114" s="202" t="str">
        <f t="shared" si="3"/>
        <v>&lt;HistoryInquiryStatus&gt; &lt;/HistoryInquiryStatus&gt;</v>
      </c>
      <c r="G114" s="202" t="s">
        <v>2754</v>
      </c>
      <c r="H114" s="202" t="s">
        <v>2775</v>
      </c>
      <c r="I114" s="202"/>
      <c r="J114" s="202"/>
      <c r="K114" s="202"/>
      <c r="L114" s="202"/>
      <c r="M114" s="202"/>
    </row>
    <row r="115" spans="1:13" hidden="1" x14ac:dyDescent="0.25">
      <c r="A115" s="203" t="s">
        <v>2954</v>
      </c>
      <c r="B115" s="203" t="s">
        <v>2062</v>
      </c>
      <c r="C115" s="203" t="s">
        <v>2068</v>
      </c>
      <c r="D115" s="203"/>
      <c r="E115" s="203" t="s">
        <v>758</v>
      </c>
      <c r="F115" s="203" t="str">
        <f t="shared" si="3"/>
        <v>&lt;DuplicateRecordStatus&gt; &lt;/DuplicateRecordStatus&gt;</v>
      </c>
      <c r="G115" s="203" t="s">
        <v>2754</v>
      </c>
      <c r="H115" s="203" t="s">
        <v>2775</v>
      </c>
      <c r="I115" s="203"/>
      <c r="J115" s="203"/>
      <c r="K115" s="203"/>
      <c r="L115" s="203"/>
      <c r="M115" s="203"/>
    </row>
    <row r="116" spans="1:13" hidden="1" x14ac:dyDescent="0.25">
      <c r="A116" s="202" t="s">
        <v>2954</v>
      </c>
      <c r="B116" s="202" t="s">
        <v>2063</v>
      </c>
      <c r="C116" s="202" t="s">
        <v>2069</v>
      </c>
      <c r="D116" s="202"/>
      <c r="E116" s="202" t="s">
        <v>758</v>
      </c>
      <c r="F116" s="202" t="str">
        <f t="shared" si="3"/>
        <v>&lt;InquiryColumnStatus&gt; &lt;/InquiryColumnStatus&gt;</v>
      </c>
      <c r="G116" s="202" t="s">
        <v>2754</v>
      </c>
      <c r="H116" s="202" t="s">
        <v>2775</v>
      </c>
      <c r="I116" s="202"/>
      <c r="J116" s="202"/>
      <c r="K116" s="202"/>
      <c r="L116" s="202"/>
      <c r="M116" s="202"/>
    </row>
    <row r="117" spans="1:13" hidden="1" x14ac:dyDescent="0.25">
      <c r="A117" s="203" t="s">
        <v>2954</v>
      </c>
      <c r="B117" s="203" t="s">
        <v>2064</v>
      </c>
      <c r="C117" s="203" t="s">
        <v>2070</v>
      </c>
      <c r="D117" s="203"/>
      <c r="E117" s="203" t="s">
        <v>758</v>
      </c>
      <c r="F117" s="203" t="str">
        <f t="shared" si="3"/>
        <v>&lt;PassedOffToCamera&gt; &lt;/PassedOffToCamera&gt;</v>
      </c>
      <c r="G117" s="203" t="s">
        <v>2754</v>
      </c>
      <c r="H117" s="203" t="s">
        <v>2775</v>
      </c>
      <c r="I117" s="203"/>
      <c r="J117" s="203"/>
      <c r="K117" s="203"/>
      <c r="L117" s="203"/>
      <c r="M117" s="203"/>
    </row>
    <row r="118" spans="1:13" x14ac:dyDescent="0.25">
      <c r="A118" s="202" t="s">
        <v>2084</v>
      </c>
      <c r="B118" s="202" t="s">
        <v>2077</v>
      </c>
      <c r="C118" s="202" t="s">
        <v>2085</v>
      </c>
      <c r="D118" s="202"/>
      <c r="E118" s="202" t="s">
        <v>764</v>
      </c>
      <c r="F118" s="202" t="str">
        <f t="shared" si="3"/>
        <v>&lt;LicenseFee&gt; &lt;/LicenseFee&gt;</v>
      </c>
      <c r="G118" s="202" t="s">
        <v>2754</v>
      </c>
      <c r="H118" s="202" t="s">
        <v>2775</v>
      </c>
      <c r="I118" s="202"/>
      <c r="J118" s="202"/>
      <c r="K118" s="202"/>
      <c r="L118" s="202"/>
      <c r="M118" s="202"/>
    </row>
    <row r="119" spans="1:13" x14ac:dyDescent="0.25">
      <c r="A119" s="203" t="s">
        <v>2084</v>
      </c>
      <c r="B119" s="203" t="s">
        <v>2078</v>
      </c>
      <c r="C119" s="203" t="s">
        <v>2086</v>
      </c>
      <c r="D119" s="203"/>
      <c r="E119" s="203" t="s">
        <v>763</v>
      </c>
      <c r="F119" s="203" t="str">
        <f t="shared" si="3"/>
        <v>&lt;IssueDate&gt; &lt;/IssueDate&gt;</v>
      </c>
      <c r="G119" s="203" t="s">
        <v>2754</v>
      </c>
      <c r="H119" s="203" t="s">
        <v>2775</v>
      </c>
      <c r="I119" s="203"/>
      <c r="J119" s="203"/>
      <c r="K119" s="203"/>
      <c r="L119" s="203"/>
      <c r="M119" s="203"/>
    </row>
    <row r="120" spans="1:13" hidden="1" x14ac:dyDescent="0.25">
      <c r="A120" s="202" t="s">
        <v>2946</v>
      </c>
      <c r="B120" s="202" t="s">
        <v>2938</v>
      </c>
      <c r="C120" s="202" t="s">
        <v>2945</v>
      </c>
      <c r="D120" s="202"/>
      <c r="E120" s="202" t="s">
        <v>758</v>
      </c>
      <c r="F120" s="202" t="str">
        <f t="shared" ref="F120:F127" si="4">CONCATENATE("&lt;",TRIM(C120),"&gt; &lt;/",TRIM(C120),"&gt;")</f>
        <v>&lt;SearchValue&gt; &lt;/SearchValue&gt;</v>
      </c>
      <c r="G120" s="202"/>
      <c r="H120" s="202"/>
      <c r="I120" s="202"/>
      <c r="J120" s="202"/>
      <c r="K120" s="202"/>
      <c r="L120" s="202"/>
      <c r="M120" s="202"/>
    </row>
    <row r="121" spans="1:13" hidden="1" x14ac:dyDescent="0.25">
      <c r="A121" s="203" t="s">
        <v>2940</v>
      </c>
      <c r="B121" s="203" t="s">
        <v>2306</v>
      </c>
      <c r="C121" s="203" t="s">
        <v>2949</v>
      </c>
      <c r="D121" s="203"/>
      <c r="E121" s="203" t="s">
        <v>758</v>
      </c>
      <c r="F121" s="203" t="str">
        <f t="shared" si="4"/>
        <v>&lt;Skip&gt; &lt;/Skip&gt;</v>
      </c>
      <c r="G121" s="203"/>
      <c r="H121" s="203"/>
      <c r="I121" s="203"/>
      <c r="J121" s="203"/>
      <c r="K121" s="203"/>
      <c r="L121" s="203"/>
      <c r="M121" s="203"/>
    </row>
    <row r="122" spans="1:13" hidden="1" x14ac:dyDescent="0.25">
      <c r="A122" s="202" t="s">
        <v>2057</v>
      </c>
      <c r="B122" s="202" t="s">
        <v>2941</v>
      </c>
      <c r="C122" s="202" t="s">
        <v>2950</v>
      </c>
      <c r="D122" s="202"/>
      <c r="E122" s="202" t="s">
        <v>758</v>
      </c>
      <c r="F122" s="202" t="str">
        <f t="shared" si="4"/>
        <v>&lt;Appl&gt; &lt;/Appl&gt;</v>
      </c>
      <c r="G122" s="202"/>
      <c r="H122" s="202"/>
      <c r="I122" s="202"/>
      <c r="J122" s="202"/>
      <c r="K122" s="202"/>
      <c r="L122" s="202"/>
      <c r="M122" s="202"/>
    </row>
    <row r="123" spans="1:13" hidden="1" x14ac:dyDescent="0.25">
      <c r="A123" s="203" t="s">
        <v>2057</v>
      </c>
      <c r="B123" s="203" t="s">
        <v>2942</v>
      </c>
      <c r="C123" s="203" t="s">
        <v>2951</v>
      </c>
      <c r="D123" s="203"/>
      <c r="E123" s="203" t="s">
        <v>758</v>
      </c>
      <c r="F123" s="203" t="str">
        <f t="shared" si="4"/>
        <v>&lt;Func&gt; &lt;/Func&gt;</v>
      </c>
      <c r="G123" s="203"/>
      <c r="H123" s="203"/>
      <c r="I123" s="203"/>
      <c r="J123" s="203"/>
      <c r="K123" s="203"/>
      <c r="L123" s="203"/>
      <c r="M123" s="203"/>
    </row>
    <row r="124" spans="1:13" hidden="1" x14ac:dyDescent="0.25">
      <c r="A124" s="202" t="s">
        <v>2057</v>
      </c>
      <c r="B124" s="202" t="s">
        <v>2943</v>
      </c>
      <c r="C124" s="202" t="s">
        <v>2952</v>
      </c>
      <c r="D124" s="202"/>
      <c r="E124" s="202" t="s">
        <v>763</v>
      </c>
      <c r="F124" s="202" t="str">
        <f t="shared" si="4"/>
        <v>&lt;Expd&gt; &lt;/Expd&gt;</v>
      </c>
      <c r="G124" s="202"/>
      <c r="H124" s="202"/>
      <c r="I124" s="202"/>
      <c r="J124" s="202"/>
      <c r="K124" s="202"/>
      <c r="L124" s="202"/>
      <c r="M124" s="202"/>
    </row>
    <row r="125" spans="1:13" hidden="1" x14ac:dyDescent="0.25">
      <c r="A125" s="203" t="s">
        <v>2057</v>
      </c>
      <c r="B125" s="203" t="s">
        <v>2944</v>
      </c>
      <c r="C125" s="203" t="s">
        <v>2953</v>
      </c>
      <c r="D125" s="203"/>
      <c r="E125" s="203" t="s">
        <v>763</v>
      </c>
      <c r="F125" s="203" t="str">
        <f t="shared" si="4"/>
        <v>&lt;Recd&gt; &lt;/Recd&gt;</v>
      </c>
      <c r="G125" s="203"/>
      <c r="H125" s="203"/>
      <c r="I125" s="203"/>
      <c r="J125" s="203"/>
      <c r="K125" s="203"/>
      <c r="L125" s="203"/>
      <c r="M125" s="203"/>
    </row>
    <row r="126" spans="1:13" hidden="1" x14ac:dyDescent="0.25">
      <c r="A126" s="202" t="s">
        <v>2057</v>
      </c>
      <c r="B126" s="202" t="s">
        <v>2947</v>
      </c>
      <c r="C126" s="202" t="s">
        <v>2947</v>
      </c>
      <c r="D126" s="202"/>
      <c r="E126" s="202" t="s">
        <v>758</v>
      </c>
      <c r="F126" s="202" t="str">
        <f t="shared" si="4"/>
        <v>&lt;FC&gt; &lt;/FC&gt;</v>
      </c>
      <c r="G126" s="202"/>
      <c r="H126" s="202"/>
      <c r="I126" s="202"/>
      <c r="J126" s="202"/>
      <c r="K126" s="202"/>
      <c r="L126" s="202"/>
      <c r="M126" s="202"/>
    </row>
    <row r="127" spans="1:13" hidden="1" x14ac:dyDescent="0.25">
      <c r="A127" s="203" t="s">
        <v>2057</v>
      </c>
      <c r="B127" s="203" t="s">
        <v>791</v>
      </c>
      <c r="C127" s="203" t="s">
        <v>791</v>
      </c>
      <c r="D127" s="203"/>
      <c r="E127" s="203" t="s">
        <v>758</v>
      </c>
      <c r="F127" s="203" t="str">
        <f t="shared" si="4"/>
        <v>&lt;ST&gt; &lt;/ST&gt;</v>
      </c>
      <c r="G127" s="203"/>
      <c r="H127" s="203"/>
      <c r="I127" s="203"/>
      <c r="J127" s="203"/>
      <c r="K127" s="203"/>
      <c r="L127" s="203"/>
      <c r="M127" s="203"/>
    </row>
    <row r="128" spans="1:13" x14ac:dyDescent="0.25">
      <c r="A128" s="202"/>
      <c r="B128" s="202"/>
      <c r="C128" s="202"/>
      <c r="D128" s="202"/>
      <c r="E128" s="202"/>
      <c r="F128" s="202"/>
      <c r="G128" s="202"/>
      <c r="H128" s="202"/>
      <c r="I128" s="202"/>
      <c r="J128" s="202"/>
      <c r="K128" s="202"/>
      <c r="L128" s="202"/>
      <c r="M128" s="202"/>
    </row>
  </sheetData>
  <autoFilter ref="A1:M127">
    <filterColumn colId="0">
      <filters>
        <filter val="DLRU19, DLRU20,  DLRU22"/>
        <filter val="DLRU19, DLRU20,  DLRU22,"/>
        <filter val="DLRU19, DLRU20, DLRU21,  DLRU22"/>
        <filter val="DLRU19, DLRU20, DLRU21,  DLRU22,"/>
        <filter val="DLRU19, DLRU20, DLRU21,  DLRU22, DLRU50"/>
        <filter val="DLRU19, DLRU20, DLRU21, DLRU22, DLRU50"/>
        <filter val="DLRU21,  DLRU22"/>
        <filter val="DLRU21,  DLRU22,"/>
        <filter val="DLRU22"/>
      </filters>
    </filterColumn>
  </autoFilter>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9" workbookViewId="0">
      <selection activeCell="D3" sqref="D3:F9"/>
    </sheetView>
  </sheetViews>
  <sheetFormatPr defaultRowHeight="15" outlineLevelRow="1" x14ac:dyDescent="0.25"/>
  <cols>
    <col min="1" max="1" width="4.5703125" bestFit="1" customWidth="1"/>
    <col min="2" max="2" width="22" bestFit="1" customWidth="1"/>
    <col min="3" max="3" width="20" bestFit="1" customWidth="1"/>
    <col min="4" max="4" width="26.140625" bestFit="1" customWidth="1"/>
    <col min="5" max="5" width="22.5703125" bestFit="1" customWidth="1"/>
    <col min="6" max="6" width="20.85546875" bestFit="1" customWidth="1"/>
    <col min="7" max="7" width="13.7109375" bestFit="1" customWidth="1"/>
    <col min="8" max="8" width="11.7109375" bestFit="1" customWidth="1"/>
    <col min="9" max="9" width="17.85546875" bestFit="1" customWidth="1"/>
    <col min="10" max="10" width="21.5703125" bestFit="1" customWidth="1"/>
  </cols>
  <sheetData>
    <row r="1" spans="1:10" ht="26.25" x14ac:dyDescent="0.4">
      <c r="A1" s="240" t="s">
        <v>2094</v>
      </c>
      <c r="B1" s="240"/>
      <c r="C1" s="240"/>
      <c r="D1" s="240"/>
      <c r="E1" s="240"/>
      <c r="F1" s="240"/>
      <c r="G1" s="240"/>
      <c r="H1" s="240"/>
      <c r="I1" s="240"/>
      <c r="J1" s="240"/>
    </row>
    <row r="2" spans="1:10" s="126" customFormat="1" outlineLevel="1" x14ac:dyDescent="0.25">
      <c r="A2" s="116" t="s">
        <v>2095</v>
      </c>
      <c r="B2" s="116" t="s">
        <v>732</v>
      </c>
      <c r="C2" s="116" t="s">
        <v>733</v>
      </c>
      <c r="D2" s="185" t="s">
        <v>734</v>
      </c>
      <c r="E2" s="185" t="s">
        <v>736</v>
      </c>
      <c r="F2" s="185" t="s">
        <v>735</v>
      </c>
      <c r="G2" s="116" t="s">
        <v>737</v>
      </c>
      <c r="H2" s="116" t="s">
        <v>738</v>
      </c>
      <c r="I2" s="130" t="s">
        <v>739</v>
      </c>
      <c r="J2" s="117" t="s">
        <v>837</v>
      </c>
    </row>
    <row r="3" spans="1:10" outlineLevel="1" x14ac:dyDescent="0.25">
      <c r="A3" s="202">
        <v>1</v>
      </c>
      <c r="B3" s="202" t="s">
        <v>2087</v>
      </c>
      <c r="C3" s="202" t="s">
        <v>716</v>
      </c>
      <c r="D3" s="202" t="s">
        <v>2960</v>
      </c>
      <c r="E3" s="202"/>
      <c r="F3" s="202"/>
      <c r="G3" s="202"/>
      <c r="H3" s="202"/>
      <c r="I3" s="202"/>
      <c r="J3" s="202"/>
    </row>
    <row r="4" spans="1:10" outlineLevel="1" x14ac:dyDescent="0.25">
      <c r="A4" s="203">
        <v>2</v>
      </c>
      <c r="B4" s="203" t="s">
        <v>2088</v>
      </c>
      <c r="C4" s="203" t="s">
        <v>758</v>
      </c>
      <c r="D4" s="202" t="s">
        <v>2960</v>
      </c>
      <c r="E4" s="203"/>
      <c r="F4" s="203"/>
      <c r="G4" s="203"/>
      <c r="H4" s="203"/>
      <c r="I4" s="203"/>
      <c r="J4" s="203"/>
    </row>
    <row r="5" spans="1:10" outlineLevel="1" x14ac:dyDescent="0.25">
      <c r="A5" s="202">
        <v>3</v>
      </c>
      <c r="B5" s="202" t="s">
        <v>2089</v>
      </c>
      <c r="C5" s="202" t="s">
        <v>716</v>
      </c>
      <c r="D5" s="202" t="s">
        <v>2960</v>
      </c>
      <c r="E5" s="202"/>
      <c r="F5" s="202"/>
      <c r="G5" s="202"/>
      <c r="H5" s="202"/>
      <c r="I5" s="202"/>
      <c r="J5" s="202"/>
    </row>
    <row r="6" spans="1:10" ht="45" outlineLevel="1" x14ac:dyDescent="0.25">
      <c r="A6" s="203">
        <v>4</v>
      </c>
      <c r="B6" s="203" t="s">
        <v>2090</v>
      </c>
      <c r="C6" s="203" t="s">
        <v>716</v>
      </c>
      <c r="D6" s="195" t="s">
        <v>450</v>
      </c>
      <c r="E6" s="195" t="s">
        <v>365</v>
      </c>
      <c r="F6" s="195" t="s">
        <v>239</v>
      </c>
      <c r="G6" s="203"/>
      <c r="H6" s="203"/>
      <c r="I6" s="203"/>
      <c r="J6" s="203"/>
    </row>
    <row r="7" spans="1:10" ht="45" outlineLevel="1" x14ac:dyDescent="0.25">
      <c r="A7" s="202">
        <v>5</v>
      </c>
      <c r="B7" s="202" t="s">
        <v>2091</v>
      </c>
      <c r="C7" s="202" t="s">
        <v>716</v>
      </c>
      <c r="D7" s="195" t="s">
        <v>452</v>
      </c>
      <c r="E7" s="195" t="s">
        <v>367</v>
      </c>
      <c r="F7" s="195" t="s">
        <v>241</v>
      </c>
      <c r="G7" s="202"/>
      <c r="H7" s="202"/>
      <c r="I7" s="202"/>
      <c r="J7" s="202"/>
    </row>
    <row r="8" spans="1:10" ht="45" outlineLevel="1" x14ac:dyDescent="0.25">
      <c r="A8" s="203">
        <v>6</v>
      </c>
      <c r="B8" s="203" t="s">
        <v>2092</v>
      </c>
      <c r="C8" s="203" t="s">
        <v>716</v>
      </c>
      <c r="D8" s="195" t="s">
        <v>451</v>
      </c>
      <c r="E8" s="195" t="s">
        <v>366</v>
      </c>
      <c r="F8" s="195" t="s">
        <v>240</v>
      </c>
      <c r="G8" s="203"/>
      <c r="H8" s="203"/>
      <c r="I8" s="203"/>
      <c r="J8" s="203"/>
    </row>
    <row r="9" spans="1:10" ht="45" outlineLevel="1" x14ac:dyDescent="0.25">
      <c r="A9" s="202">
        <v>7</v>
      </c>
      <c r="B9" s="202" t="s">
        <v>2093</v>
      </c>
      <c r="C9" s="202" t="s">
        <v>716</v>
      </c>
      <c r="D9" s="195" t="s">
        <v>453</v>
      </c>
      <c r="E9" s="195" t="s">
        <v>368</v>
      </c>
      <c r="F9" s="195" t="s">
        <v>242</v>
      </c>
      <c r="G9" s="202"/>
      <c r="H9" s="202"/>
      <c r="I9" s="202"/>
      <c r="J9" s="202"/>
    </row>
    <row r="10" spans="1:10" outlineLevel="1" x14ac:dyDescent="0.25"/>
    <row r="11" spans="1:10" outlineLevel="1" x14ac:dyDescent="0.25"/>
    <row r="14" spans="1:10" ht="26.25" x14ac:dyDescent="0.4">
      <c r="A14" s="241" t="s">
        <v>2096</v>
      </c>
      <c r="B14" s="241"/>
      <c r="C14" s="241"/>
      <c r="D14" s="241"/>
      <c r="E14" s="241"/>
      <c r="F14" s="241"/>
      <c r="G14" s="241"/>
      <c r="H14" s="241"/>
      <c r="I14" s="241"/>
      <c r="J14" s="241"/>
    </row>
    <row r="15" spans="1:10" x14ac:dyDescent="0.25">
      <c r="A15" s="202">
        <v>1</v>
      </c>
      <c r="B15" s="202" t="s">
        <v>2097</v>
      </c>
      <c r="C15" s="202" t="s">
        <v>1961</v>
      </c>
      <c r="D15" s="202"/>
      <c r="E15" s="202"/>
      <c r="F15" s="202"/>
      <c r="G15" s="202"/>
      <c r="H15" s="202"/>
      <c r="I15" s="202"/>
      <c r="J15" s="202"/>
    </row>
    <row r="16" spans="1:10" x14ac:dyDescent="0.25">
      <c r="A16" s="203">
        <v>2</v>
      </c>
      <c r="B16" s="203" t="s">
        <v>2098</v>
      </c>
      <c r="C16" s="203" t="s">
        <v>758</v>
      </c>
      <c r="D16" s="203"/>
      <c r="E16" s="203"/>
      <c r="F16" s="203"/>
      <c r="G16" s="203"/>
      <c r="H16" s="203"/>
      <c r="I16" s="203"/>
      <c r="J16" s="203"/>
    </row>
    <row r="17" spans="1:10" x14ac:dyDescent="0.25">
      <c r="A17" s="202">
        <v>3</v>
      </c>
      <c r="B17" s="202" t="s">
        <v>2099</v>
      </c>
      <c r="C17" s="202" t="s">
        <v>1961</v>
      </c>
      <c r="D17" s="202"/>
      <c r="E17" s="202"/>
      <c r="F17" s="202"/>
      <c r="G17" s="202"/>
      <c r="H17" s="202"/>
      <c r="I17" s="202"/>
      <c r="J17" s="202"/>
    </row>
    <row r="18" spans="1:10" x14ac:dyDescent="0.25">
      <c r="A18" s="203">
        <v>4</v>
      </c>
      <c r="B18" s="203" t="s">
        <v>2100</v>
      </c>
      <c r="C18" s="203" t="s">
        <v>758</v>
      </c>
      <c r="D18" s="203"/>
      <c r="E18" s="203"/>
      <c r="F18" s="203"/>
      <c r="G18" s="203"/>
      <c r="H18" s="203"/>
      <c r="I18" s="203"/>
      <c r="J18" s="203"/>
    </row>
    <row r="19" spans="1:10" x14ac:dyDescent="0.25">
      <c r="A19" s="202">
        <v>5</v>
      </c>
      <c r="B19" s="202" t="s">
        <v>2101</v>
      </c>
      <c r="C19" s="202" t="s">
        <v>758</v>
      </c>
      <c r="D19" s="202"/>
      <c r="E19" s="202"/>
      <c r="F19" s="202"/>
      <c r="G19" s="202"/>
      <c r="H19" s="202"/>
      <c r="I19" s="202"/>
      <c r="J19" s="202"/>
    </row>
    <row r="20" spans="1:10" x14ac:dyDescent="0.25">
      <c r="A20" s="203">
        <v>6</v>
      </c>
      <c r="B20" s="203" t="s">
        <v>2102</v>
      </c>
      <c r="C20" s="203" t="s">
        <v>758</v>
      </c>
      <c r="D20" s="203"/>
      <c r="E20" s="203"/>
      <c r="F20" s="203"/>
      <c r="G20" s="203"/>
      <c r="H20" s="203"/>
      <c r="I20" s="203"/>
      <c r="J20" s="203"/>
    </row>
    <row r="21" spans="1:10" x14ac:dyDescent="0.25">
      <c r="A21" s="202">
        <v>7</v>
      </c>
      <c r="B21" s="202" t="s">
        <v>2103</v>
      </c>
      <c r="C21" s="202" t="s">
        <v>758</v>
      </c>
      <c r="D21" s="202"/>
      <c r="E21" s="202"/>
      <c r="F21" s="202"/>
      <c r="G21" s="202"/>
      <c r="H21" s="202"/>
      <c r="I21" s="202"/>
      <c r="J21" s="202"/>
    </row>
    <row r="22" spans="1:10" x14ac:dyDescent="0.25">
      <c r="A22" s="203">
        <v>8</v>
      </c>
      <c r="B22" s="203" t="s">
        <v>2104</v>
      </c>
      <c r="C22" s="203" t="s">
        <v>758</v>
      </c>
      <c r="D22" s="203"/>
      <c r="E22" s="203"/>
      <c r="F22" s="203"/>
      <c r="G22" s="203"/>
      <c r="H22" s="203"/>
      <c r="I22" s="203"/>
      <c r="J22" s="203"/>
    </row>
    <row r="23" spans="1:10" x14ac:dyDescent="0.25">
      <c r="A23" s="202">
        <v>9</v>
      </c>
      <c r="B23" s="202" t="s">
        <v>2105</v>
      </c>
      <c r="C23" s="202" t="s">
        <v>758</v>
      </c>
      <c r="D23" s="202"/>
      <c r="E23" s="202"/>
      <c r="F23" s="202"/>
      <c r="G23" s="202"/>
      <c r="H23" s="202"/>
      <c r="I23" s="202"/>
      <c r="J23" s="202"/>
    </row>
    <row r="24" spans="1:10" x14ac:dyDescent="0.25">
      <c r="A24" s="203">
        <v>10</v>
      </c>
      <c r="B24" s="203" t="s">
        <v>2106</v>
      </c>
      <c r="C24" s="203" t="s">
        <v>758</v>
      </c>
      <c r="D24" s="203"/>
      <c r="E24" s="203"/>
      <c r="F24" s="203"/>
      <c r="G24" s="203"/>
      <c r="H24" s="203"/>
      <c r="I24" s="203"/>
      <c r="J24" s="203"/>
    </row>
    <row r="25" spans="1:10" x14ac:dyDescent="0.25">
      <c r="A25" s="202">
        <v>11</v>
      </c>
      <c r="B25" s="202" t="s">
        <v>2107</v>
      </c>
      <c r="C25" s="202" t="s">
        <v>758</v>
      </c>
      <c r="D25" s="202"/>
      <c r="E25" s="202"/>
      <c r="F25" s="202"/>
      <c r="G25" s="202"/>
      <c r="H25" s="202"/>
      <c r="I25" s="202"/>
      <c r="J25" s="202"/>
    </row>
    <row r="26" spans="1:10" x14ac:dyDescent="0.25">
      <c r="A26" s="203">
        <v>12</v>
      </c>
      <c r="B26" s="203" t="s">
        <v>2108</v>
      </c>
      <c r="C26" s="203" t="s">
        <v>758</v>
      </c>
      <c r="D26" s="203"/>
      <c r="E26" s="203"/>
      <c r="F26" s="203"/>
      <c r="G26" s="203"/>
      <c r="H26" s="203"/>
      <c r="I26" s="203"/>
      <c r="J26" s="203"/>
    </row>
    <row r="27" spans="1:10" x14ac:dyDescent="0.25">
      <c r="A27" s="202">
        <v>13</v>
      </c>
      <c r="B27" s="202" t="s">
        <v>2109</v>
      </c>
      <c r="C27" s="202" t="s">
        <v>1961</v>
      </c>
      <c r="D27" s="202"/>
      <c r="E27" s="202"/>
      <c r="F27" s="202"/>
      <c r="G27" s="202"/>
      <c r="H27" s="202"/>
      <c r="I27" s="202"/>
      <c r="J27" s="202"/>
    </row>
    <row r="28" spans="1:10" x14ac:dyDescent="0.25">
      <c r="A28" s="203">
        <v>14</v>
      </c>
      <c r="B28" s="203" t="s">
        <v>2110</v>
      </c>
      <c r="C28" s="203" t="s">
        <v>758</v>
      </c>
      <c r="D28" s="203"/>
      <c r="E28" s="203"/>
      <c r="F28" s="203"/>
      <c r="G28" s="203"/>
      <c r="H28" s="203"/>
      <c r="I28" s="203"/>
      <c r="J28" s="203"/>
    </row>
  </sheetData>
  <mergeCells count="2">
    <mergeCell ref="A1:J1"/>
    <mergeCell ref="A14:J14"/>
  </mergeCells>
  <conditionalFormatting sqref="D6">
    <cfRule type="duplicateValues" dxfId="162" priority="4"/>
  </conditionalFormatting>
  <conditionalFormatting sqref="D7">
    <cfRule type="duplicateValues" dxfId="161" priority="3"/>
  </conditionalFormatting>
  <conditionalFormatting sqref="D9">
    <cfRule type="duplicateValues" dxfId="160" priority="2"/>
  </conditionalFormatting>
  <conditionalFormatting sqref="D8">
    <cfRule type="duplicateValues" dxfId="15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8"/>
  <sheetViews>
    <sheetView topLeftCell="A96" workbookViewId="0">
      <selection activeCell="D110" sqref="D110"/>
    </sheetView>
  </sheetViews>
  <sheetFormatPr defaultRowHeight="15" outlineLevelRow="1" x14ac:dyDescent="0.25"/>
  <cols>
    <col min="1" max="1" width="4.5703125" bestFit="1" customWidth="1"/>
    <col min="2" max="2" width="33.42578125" style="160" bestFit="1" customWidth="1"/>
    <col min="3" max="3" width="20" bestFit="1" customWidth="1"/>
    <col min="4" max="4" width="61" bestFit="1" customWidth="1"/>
    <col min="5" max="5" width="53.7109375" bestFit="1" customWidth="1"/>
    <col min="6" max="6" width="49.42578125" bestFit="1" customWidth="1"/>
    <col min="7" max="7" width="13.7109375" bestFit="1" customWidth="1"/>
    <col min="8" max="8" width="11.7109375" bestFit="1" customWidth="1"/>
    <col min="9" max="9" width="28.28515625" customWidth="1"/>
    <col min="10" max="10" width="21.5703125" bestFit="1" customWidth="1"/>
  </cols>
  <sheetData>
    <row r="1" spans="1:10" ht="26.25" x14ac:dyDescent="0.4">
      <c r="A1" s="240" t="s">
        <v>2125</v>
      </c>
      <c r="B1" s="240"/>
      <c r="C1" s="240"/>
      <c r="D1" s="240"/>
      <c r="E1" s="240"/>
      <c r="F1" s="240"/>
      <c r="G1" s="240"/>
      <c r="H1" s="240"/>
      <c r="I1" s="240"/>
      <c r="J1" s="240"/>
    </row>
    <row r="2" spans="1:10" outlineLevel="1" x14ac:dyDescent="0.25">
      <c r="A2" s="116" t="s">
        <v>2095</v>
      </c>
      <c r="B2" s="116" t="s">
        <v>732</v>
      </c>
      <c r="C2" s="116" t="s">
        <v>733</v>
      </c>
      <c r="D2" s="185" t="s">
        <v>734</v>
      </c>
      <c r="E2" s="185" t="s">
        <v>736</v>
      </c>
      <c r="F2" s="185" t="s">
        <v>735</v>
      </c>
      <c r="G2" s="116" t="s">
        <v>737</v>
      </c>
      <c r="H2" s="116" t="s">
        <v>738</v>
      </c>
      <c r="I2" s="130" t="s">
        <v>739</v>
      </c>
      <c r="J2" s="117" t="s">
        <v>837</v>
      </c>
    </row>
    <row r="3" spans="1:10" outlineLevel="1" x14ac:dyDescent="0.25">
      <c r="A3" s="202">
        <v>1</v>
      </c>
      <c r="B3" s="202" t="s">
        <v>2126</v>
      </c>
      <c r="C3" s="202" t="s">
        <v>758</v>
      </c>
      <c r="D3" s="232" t="s">
        <v>2961</v>
      </c>
      <c r="E3" s="232" t="s">
        <v>2962</v>
      </c>
      <c r="F3" s="232" t="s">
        <v>2963</v>
      </c>
      <c r="G3" s="202"/>
      <c r="H3" s="202"/>
      <c r="I3" s="202"/>
      <c r="J3" s="202"/>
    </row>
    <row r="4" spans="1:10" outlineLevel="1" x14ac:dyDescent="0.25">
      <c r="A4" s="203">
        <v>2</v>
      </c>
      <c r="B4" s="203" t="s">
        <v>2127</v>
      </c>
      <c r="C4" s="203" t="s">
        <v>758</v>
      </c>
      <c r="D4" s="232" t="s">
        <v>2964</v>
      </c>
      <c r="E4" s="232" t="s">
        <v>2965</v>
      </c>
      <c r="F4" s="232" t="s">
        <v>2966</v>
      </c>
      <c r="G4" s="203"/>
      <c r="H4" s="203"/>
      <c r="I4" s="203"/>
      <c r="J4" s="203"/>
    </row>
    <row r="5" spans="1:10" ht="30" outlineLevel="1" x14ac:dyDescent="0.25">
      <c r="A5" s="202">
        <v>3</v>
      </c>
      <c r="B5" s="202" t="s">
        <v>2128</v>
      </c>
      <c r="C5" s="202" t="s">
        <v>758</v>
      </c>
      <c r="D5" s="214" t="s">
        <v>1483</v>
      </c>
      <c r="E5" s="214" t="s">
        <v>371</v>
      </c>
      <c r="F5" s="214" t="s">
        <v>238</v>
      </c>
      <c r="G5" s="202"/>
      <c r="H5" s="202"/>
      <c r="I5" s="202"/>
      <c r="J5" s="202"/>
    </row>
    <row r="6" spans="1:10" ht="30" outlineLevel="1" x14ac:dyDescent="0.25">
      <c r="A6" s="203">
        <v>4</v>
      </c>
      <c r="B6" s="203" t="s">
        <v>2129</v>
      </c>
      <c r="C6" s="203" t="s">
        <v>758</v>
      </c>
      <c r="D6" s="214" t="s">
        <v>2299</v>
      </c>
      <c r="E6" s="214" t="s">
        <v>371</v>
      </c>
      <c r="F6" s="214" t="s">
        <v>259</v>
      </c>
      <c r="G6" s="203"/>
      <c r="H6" s="203"/>
      <c r="I6" s="203"/>
      <c r="J6" s="203"/>
    </row>
    <row r="7" spans="1:10" outlineLevel="1" x14ac:dyDescent="0.25">
      <c r="A7" s="202">
        <v>5</v>
      </c>
      <c r="B7" s="202" t="s">
        <v>2130</v>
      </c>
      <c r="C7" s="202" t="s">
        <v>758</v>
      </c>
      <c r="D7" s="214" t="s">
        <v>490</v>
      </c>
      <c r="E7" s="214" t="s">
        <v>351</v>
      </c>
      <c r="F7" s="214" t="s">
        <v>258</v>
      </c>
      <c r="G7" s="202"/>
      <c r="H7" s="202"/>
      <c r="I7" s="202"/>
      <c r="J7" s="202"/>
    </row>
    <row r="8" spans="1:10" ht="60" outlineLevel="1" x14ac:dyDescent="0.25">
      <c r="A8" s="202">
        <v>6</v>
      </c>
      <c r="B8" s="202" t="s">
        <v>2131</v>
      </c>
      <c r="C8" s="202" t="s">
        <v>758</v>
      </c>
      <c r="D8" s="195" t="s">
        <v>2967</v>
      </c>
      <c r="E8" s="195" t="s">
        <v>2968</v>
      </c>
      <c r="F8" s="195" t="s">
        <v>2969</v>
      </c>
      <c r="G8" s="202"/>
      <c r="H8" s="202"/>
      <c r="I8" s="202"/>
      <c r="J8" s="202"/>
    </row>
    <row r="9" spans="1:10" ht="30" outlineLevel="1" x14ac:dyDescent="0.25">
      <c r="A9" s="203">
        <v>7</v>
      </c>
      <c r="B9" s="203" t="s">
        <v>2132</v>
      </c>
      <c r="C9" s="203" t="s">
        <v>758</v>
      </c>
      <c r="D9" s="195" t="s">
        <v>2970</v>
      </c>
      <c r="E9" s="195" t="s">
        <v>2971</v>
      </c>
      <c r="F9" s="195" t="s">
        <v>287</v>
      </c>
      <c r="G9" s="203"/>
      <c r="H9" s="203"/>
      <c r="I9" s="203"/>
      <c r="J9" s="203"/>
    </row>
    <row r="10" spans="1:10" ht="30" outlineLevel="1" x14ac:dyDescent="0.25">
      <c r="A10" s="202">
        <v>8</v>
      </c>
      <c r="B10" s="202" t="s">
        <v>2133</v>
      </c>
      <c r="C10" s="202" t="s">
        <v>758</v>
      </c>
      <c r="D10" s="214" t="s">
        <v>1589</v>
      </c>
      <c r="E10" s="214" t="s">
        <v>1590</v>
      </c>
      <c r="F10" s="214" t="s">
        <v>1591</v>
      </c>
      <c r="G10" s="202"/>
      <c r="H10" s="202"/>
      <c r="I10" s="202"/>
      <c r="J10" s="202"/>
    </row>
    <row r="11" spans="1:10" ht="30" outlineLevel="1" x14ac:dyDescent="0.25">
      <c r="A11" s="203">
        <v>9</v>
      </c>
      <c r="B11" s="203" t="s">
        <v>2134</v>
      </c>
      <c r="C11" s="203" t="s">
        <v>758</v>
      </c>
      <c r="D11" s="214" t="s">
        <v>1592</v>
      </c>
      <c r="E11" s="214" t="s">
        <v>1593</v>
      </c>
      <c r="F11" s="214" t="s">
        <v>1594</v>
      </c>
      <c r="G11" s="203"/>
      <c r="H11" s="203"/>
      <c r="I11" s="203"/>
      <c r="J11" s="203"/>
    </row>
    <row r="12" spans="1:10" ht="30" outlineLevel="1" x14ac:dyDescent="0.25">
      <c r="A12" s="202">
        <v>10</v>
      </c>
      <c r="B12" s="202" t="s">
        <v>2135</v>
      </c>
      <c r="C12" s="202" t="s">
        <v>758</v>
      </c>
      <c r="D12" s="214" t="s">
        <v>2256</v>
      </c>
      <c r="E12" s="214" t="s">
        <v>298</v>
      </c>
      <c r="F12" s="214" t="s">
        <v>286</v>
      </c>
      <c r="G12" s="202"/>
      <c r="H12" s="202"/>
      <c r="I12" s="202"/>
      <c r="J12" s="202"/>
    </row>
    <row r="13" spans="1:10" ht="30" outlineLevel="1" x14ac:dyDescent="0.25">
      <c r="A13" s="202">
        <v>11</v>
      </c>
      <c r="B13" s="202" t="s">
        <v>2136</v>
      </c>
      <c r="C13" s="202" t="s">
        <v>758</v>
      </c>
      <c r="D13" s="214" t="s">
        <v>1875</v>
      </c>
      <c r="E13" s="214" t="s">
        <v>1876</v>
      </c>
      <c r="F13" s="214" t="s">
        <v>1877</v>
      </c>
      <c r="G13" s="202"/>
      <c r="H13" s="202"/>
      <c r="I13" s="202"/>
      <c r="J13" s="202"/>
    </row>
    <row r="14" spans="1:10" outlineLevel="1" x14ac:dyDescent="0.25">
      <c r="A14" s="203">
        <v>12</v>
      </c>
      <c r="B14" s="203" t="s">
        <v>2137</v>
      </c>
      <c r="C14" s="203" t="s">
        <v>758</v>
      </c>
      <c r="D14" s="214" t="s">
        <v>474</v>
      </c>
      <c r="E14" s="214" t="s">
        <v>375</v>
      </c>
      <c r="F14" s="214" t="s">
        <v>977</v>
      </c>
      <c r="G14" s="203"/>
      <c r="H14" s="203"/>
      <c r="I14" s="203"/>
      <c r="J14" s="203"/>
    </row>
    <row r="15" spans="1:10" ht="30" outlineLevel="1" x14ac:dyDescent="0.25">
      <c r="A15" s="202">
        <v>13</v>
      </c>
      <c r="B15" s="202" t="s">
        <v>2138</v>
      </c>
      <c r="C15" s="202" t="s">
        <v>758</v>
      </c>
      <c r="D15" s="195" t="s">
        <v>2303</v>
      </c>
      <c r="E15" s="195" t="s">
        <v>2302</v>
      </c>
      <c r="F15" s="195" t="s">
        <v>2304</v>
      </c>
      <c r="G15" s="202"/>
      <c r="H15" s="202"/>
      <c r="I15" s="202"/>
      <c r="J15" s="202"/>
    </row>
    <row r="16" spans="1:10" ht="30" outlineLevel="1" x14ac:dyDescent="0.25">
      <c r="A16" s="203">
        <v>14</v>
      </c>
      <c r="B16" s="203" t="s">
        <v>2139</v>
      </c>
      <c r="C16" s="203" t="s">
        <v>758</v>
      </c>
      <c r="D16" s="214" t="s">
        <v>2972</v>
      </c>
      <c r="E16" s="214" t="s">
        <v>2973</v>
      </c>
      <c r="F16" s="214" t="s">
        <v>2974</v>
      </c>
      <c r="G16" s="203"/>
      <c r="H16" s="203"/>
      <c r="I16" s="203"/>
      <c r="J16" s="203"/>
    </row>
    <row r="17" spans="1:10" ht="27.75" customHeight="1" outlineLevel="1" x14ac:dyDescent="0.25">
      <c r="A17" s="202">
        <v>15</v>
      </c>
      <c r="B17" s="202" t="s">
        <v>2140</v>
      </c>
      <c r="C17" s="202" t="s">
        <v>758</v>
      </c>
      <c r="D17" s="214" t="s">
        <v>476</v>
      </c>
      <c r="E17" s="214" t="s">
        <v>365</v>
      </c>
      <c r="F17" s="214" t="s">
        <v>246</v>
      </c>
      <c r="G17" s="202"/>
      <c r="H17" s="202"/>
      <c r="I17" s="202"/>
      <c r="J17" s="202"/>
    </row>
    <row r="18" spans="1:10" ht="30" outlineLevel="1" x14ac:dyDescent="0.25">
      <c r="A18" s="202">
        <v>16</v>
      </c>
      <c r="B18" s="202" t="s">
        <v>2141</v>
      </c>
      <c r="C18" s="202" t="s">
        <v>758</v>
      </c>
      <c r="D18" s="195" t="s">
        <v>477</v>
      </c>
      <c r="E18" s="195" t="s">
        <v>367</v>
      </c>
      <c r="F18" s="195" t="s">
        <v>247</v>
      </c>
      <c r="G18" s="202"/>
      <c r="H18" s="202"/>
      <c r="I18" s="202"/>
      <c r="J18" s="202"/>
    </row>
    <row r="19" spans="1:10" ht="30" outlineLevel="1" x14ac:dyDescent="0.25">
      <c r="A19" s="203">
        <v>17</v>
      </c>
      <c r="B19" s="203" t="s">
        <v>2142</v>
      </c>
      <c r="C19" s="203" t="s">
        <v>758</v>
      </c>
      <c r="D19" s="195" t="s">
        <v>475</v>
      </c>
      <c r="E19" s="195" t="s">
        <v>371</v>
      </c>
      <c r="F19" s="195" t="s">
        <v>245</v>
      </c>
      <c r="G19" s="203"/>
      <c r="H19" s="203"/>
      <c r="I19" s="203"/>
      <c r="J19" s="203"/>
    </row>
    <row r="20" spans="1:10" ht="30" outlineLevel="1" x14ac:dyDescent="0.25">
      <c r="A20" s="202">
        <v>18</v>
      </c>
      <c r="B20" s="202" t="s">
        <v>2143</v>
      </c>
      <c r="C20" s="202" t="s">
        <v>758</v>
      </c>
      <c r="D20" s="214" t="s">
        <v>478</v>
      </c>
      <c r="E20" s="214" t="s">
        <v>368</v>
      </c>
      <c r="F20" s="214" t="s">
        <v>248</v>
      </c>
      <c r="G20" s="202"/>
      <c r="H20" s="202"/>
      <c r="I20" s="202"/>
      <c r="J20" s="202"/>
    </row>
    <row r="21" spans="1:10" ht="30" outlineLevel="1" x14ac:dyDescent="0.25">
      <c r="A21" s="203">
        <v>19</v>
      </c>
      <c r="B21" s="203" t="s">
        <v>2144</v>
      </c>
      <c r="C21" s="203" t="s">
        <v>758</v>
      </c>
      <c r="D21" s="195" t="s">
        <v>479</v>
      </c>
      <c r="E21" s="195" t="s">
        <v>366</v>
      </c>
      <c r="F21" s="195" t="s">
        <v>249</v>
      </c>
      <c r="G21" s="203"/>
      <c r="H21" s="203"/>
      <c r="I21" s="203"/>
      <c r="J21" s="203"/>
    </row>
    <row r="22" spans="1:10" ht="30" outlineLevel="1" x14ac:dyDescent="0.25">
      <c r="A22" s="202">
        <v>20</v>
      </c>
      <c r="B22" s="202" t="s">
        <v>2145</v>
      </c>
      <c r="C22" s="202" t="s">
        <v>758</v>
      </c>
      <c r="D22" s="195" t="s">
        <v>2975</v>
      </c>
      <c r="E22" s="195" t="s">
        <v>2976</v>
      </c>
      <c r="F22" s="195" t="s">
        <v>2977</v>
      </c>
      <c r="G22" s="202"/>
      <c r="H22" s="202"/>
      <c r="I22" s="202"/>
      <c r="J22" s="202"/>
    </row>
    <row r="23" spans="1:10" ht="30" outlineLevel="1" x14ac:dyDescent="0.25">
      <c r="A23" s="202">
        <v>21</v>
      </c>
      <c r="B23" s="202" t="s">
        <v>2146</v>
      </c>
      <c r="C23" s="202" t="s">
        <v>758</v>
      </c>
      <c r="D23" s="195" t="s">
        <v>1396</v>
      </c>
      <c r="E23" s="195" t="s">
        <v>302</v>
      </c>
      <c r="F23" s="195" t="s">
        <v>331</v>
      </c>
      <c r="G23" s="202"/>
      <c r="H23" s="202"/>
      <c r="I23" s="202"/>
      <c r="J23" s="202"/>
    </row>
    <row r="24" spans="1:10" ht="30" outlineLevel="1" x14ac:dyDescent="0.25">
      <c r="A24" s="203">
        <v>22</v>
      </c>
      <c r="B24" s="203" t="s">
        <v>2147</v>
      </c>
      <c r="C24" s="203" t="s">
        <v>758</v>
      </c>
      <c r="D24" s="214" t="s">
        <v>2978</v>
      </c>
      <c r="E24" s="214" t="s">
        <v>2979</v>
      </c>
      <c r="F24" s="214" t="s">
        <v>2980</v>
      </c>
      <c r="G24" s="203"/>
      <c r="H24" s="203"/>
      <c r="I24" s="203"/>
      <c r="J24" s="203"/>
    </row>
    <row r="25" spans="1:10" ht="30" outlineLevel="1" x14ac:dyDescent="0.25">
      <c r="A25" s="202">
        <v>23</v>
      </c>
      <c r="B25" s="202" t="s">
        <v>2148</v>
      </c>
      <c r="C25" s="202" t="s">
        <v>758</v>
      </c>
      <c r="D25" s="195" t="s">
        <v>2981</v>
      </c>
      <c r="E25" s="195" t="s">
        <v>371</v>
      </c>
      <c r="F25" s="195" t="s">
        <v>2982</v>
      </c>
      <c r="G25" s="202"/>
      <c r="H25" s="202"/>
      <c r="I25" s="202"/>
      <c r="J25" s="202"/>
    </row>
    <row r="26" spans="1:10" ht="30" outlineLevel="1" x14ac:dyDescent="0.25">
      <c r="A26" s="203">
        <v>24</v>
      </c>
      <c r="B26" s="203" t="s">
        <v>2149</v>
      </c>
      <c r="C26" s="203" t="s">
        <v>758</v>
      </c>
      <c r="D26" s="195" t="s">
        <v>2983</v>
      </c>
      <c r="E26" s="195" t="s">
        <v>155</v>
      </c>
      <c r="F26" s="195" t="s">
        <v>2984</v>
      </c>
      <c r="G26" s="203"/>
      <c r="H26" s="203"/>
      <c r="I26" s="203"/>
      <c r="J26" s="203"/>
    </row>
    <row r="27" spans="1:10" outlineLevel="1" x14ac:dyDescent="0.25">
      <c r="A27" s="202">
        <v>25</v>
      </c>
      <c r="B27" s="202" t="s">
        <v>2150</v>
      </c>
      <c r="C27" s="202" t="s">
        <v>758</v>
      </c>
      <c r="D27" s="195" t="s">
        <v>491</v>
      </c>
      <c r="E27" s="195" t="s">
        <v>352</v>
      </c>
      <c r="F27" s="195" t="s">
        <v>260</v>
      </c>
      <c r="G27" s="202"/>
      <c r="H27" s="202"/>
      <c r="I27" s="202"/>
      <c r="J27" s="202"/>
    </row>
    <row r="28" spans="1:10" outlineLevel="1" x14ac:dyDescent="0.25">
      <c r="A28" s="202">
        <v>26</v>
      </c>
      <c r="B28" s="202" t="s">
        <v>2151</v>
      </c>
      <c r="C28" s="202" t="s">
        <v>758</v>
      </c>
      <c r="D28" s="195" t="s">
        <v>409</v>
      </c>
      <c r="E28" s="195" t="s">
        <v>342</v>
      </c>
      <c r="F28" s="195" t="s">
        <v>233</v>
      </c>
      <c r="G28" s="202"/>
      <c r="H28" s="202"/>
      <c r="I28" s="202"/>
      <c r="J28" s="202"/>
    </row>
    <row r="29" spans="1:10" ht="30" outlineLevel="1" x14ac:dyDescent="0.25">
      <c r="A29" s="203">
        <v>27</v>
      </c>
      <c r="B29" s="203" t="s">
        <v>2152</v>
      </c>
      <c r="C29" s="203" t="s">
        <v>758</v>
      </c>
      <c r="D29" s="195" t="s">
        <v>2985</v>
      </c>
      <c r="E29" s="195" t="s">
        <v>2986</v>
      </c>
      <c r="F29" s="195" t="s">
        <v>2987</v>
      </c>
      <c r="G29" s="203"/>
      <c r="H29" s="203"/>
      <c r="I29" s="203"/>
      <c r="J29" s="203"/>
    </row>
    <row r="30" spans="1:10" outlineLevel="1" x14ac:dyDescent="0.25">
      <c r="A30" s="202">
        <v>28</v>
      </c>
      <c r="B30" s="202" t="s">
        <v>2153</v>
      </c>
      <c r="C30" s="202" t="s">
        <v>758</v>
      </c>
      <c r="D30" s="195" t="s">
        <v>434</v>
      </c>
      <c r="E30" s="195" t="s">
        <v>333</v>
      </c>
      <c r="F30" s="195" t="s">
        <v>289</v>
      </c>
      <c r="G30" s="202"/>
      <c r="H30" s="202"/>
      <c r="I30" s="202"/>
      <c r="J30" s="202"/>
    </row>
    <row r="31" spans="1:10" ht="30" outlineLevel="1" x14ac:dyDescent="0.25">
      <c r="A31" s="203">
        <v>29</v>
      </c>
      <c r="B31" s="203" t="s">
        <v>2154</v>
      </c>
      <c r="C31" s="203" t="s">
        <v>758</v>
      </c>
      <c r="D31" s="195" t="s">
        <v>2988</v>
      </c>
      <c r="E31" s="195" t="s">
        <v>2989</v>
      </c>
      <c r="F31" s="195" t="s">
        <v>2990</v>
      </c>
      <c r="G31" s="203"/>
      <c r="H31" s="203"/>
      <c r="I31" s="203"/>
      <c r="J31" s="203"/>
    </row>
    <row r="32" spans="1:10" ht="30" outlineLevel="1" x14ac:dyDescent="0.25">
      <c r="A32" s="202">
        <v>30</v>
      </c>
      <c r="B32" s="202" t="s">
        <v>2155</v>
      </c>
      <c r="C32" s="202" t="s">
        <v>758</v>
      </c>
      <c r="D32" s="195" t="s">
        <v>2991</v>
      </c>
      <c r="E32" s="195" t="s">
        <v>2992</v>
      </c>
      <c r="F32" s="195" t="s">
        <v>2993</v>
      </c>
      <c r="G32" s="202"/>
      <c r="H32" s="202"/>
      <c r="I32" s="202"/>
      <c r="J32" s="202"/>
    </row>
    <row r="33" spans="1:10" ht="30" outlineLevel="1" x14ac:dyDescent="0.25">
      <c r="A33" s="202">
        <v>31</v>
      </c>
      <c r="B33" s="202" t="s">
        <v>2156</v>
      </c>
      <c r="C33" s="202" t="s">
        <v>758</v>
      </c>
      <c r="D33" s="195" t="s">
        <v>450</v>
      </c>
      <c r="E33" s="195" t="s">
        <v>365</v>
      </c>
      <c r="F33" s="195" t="s">
        <v>239</v>
      </c>
      <c r="G33" s="202"/>
      <c r="H33" s="202"/>
      <c r="I33" s="202"/>
      <c r="J33" s="202"/>
    </row>
    <row r="34" spans="1:10" ht="30" outlineLevel="1" x14ac:dyDescent="0.25">
      <c r="A34" s="203">
        <v>32</v>
      </c>
      <c r="B34" s="203" t="s">
        <v>2157</v>
      </c>
      <c r="C34" s="203" t="s">
        <v>758</v>
      </c>
      <c r="D34" s="195" t="s">
        <v>452</v>
      </c>
      <c r="E34" s="195" t="s">
        <v>367</v>
      </c>
      <c r="F34" s="195" t="s">
        <v>241</v>
      </c>
      <c r="G34" s="203"/>
      <c r="H34" s="203"/>
      <c r="I34" s="203"/>
      <c r="J34" s="203"/>
    </row>
    <row r="35" spans="1:10" ht="30" outlineLevel="1" x14ac:dyDescent="0.25">
      <c r="A35" s="202">
        <v>33</v>
      </c>
      <c r="B35" s="202" t="s">
        <v>2158</v>
      </c>
      <c r="C35" s="202" t="s">
        <v>758</v>
      </c>
      <c r="D35" s="195" t="s">
        <v>957</v>
      </c>
      <c r="E35" s="195" t="s">
        <v>958</v>
      </c>
      <c r="F35" s="195" t="s">
        <v>959</v>
      </c>
      <c r="G35" s="202"/>
      <c r="H35" s="202"/>
      <c r="I35" s="202"/>
      <c r="J35" s="202"/>
    </row>
    <row r="36" spans="1:10" ht="30" outlineLevel="1" x14ac:dyDescent="0.25">
      <c r="A36" s="203">
        <v>34</v>
      </c>
      <c r="B36" s="203" t="s">
        <v>2159</v>
      </c>
      <c r="C36" s="203" t="s">
        <v>758</v>
      </c>
      <c r="D36" s="195" t="s">
        <v>2994</v>
      </c>
      <c r="E36" s="195" t="s">
        <v>2995</v>
      </c>
      <c r="F36" s="195" t="s">
        <v>2996</v>
      </c>
      <c r="G36" s="203"/>
      <c r="H36" s="203"/>
      <c r="I36" s="203"/>
      <c r="J36" s="203"/>
    </row>
    <row r="37" spans="1:10" ht="30" outlineLevel="1" x14ac:dyDescent="0.25">
      <c r="A37" s="202">
        <v>35</v>
      </c>
      <c r="B37" s="202" t="s">
        <v>2160</v>
      </c>
      <c r="C37" s="202" t="s">
        <v>758</v>
      </c>
      <c r="D37" s="195" t="s">
        <v>2289</v>
      </c>
      <c r="E37" s="195" t="s">
        <v>2290</v>
      </c>
      <c r="F37" s="195" t="s">
        <v>2291</v>
      </c>
      <c r="G37" s="202"/>
      <c r="H37" s="202"/>
      <c r="I37" s="202"/>
      <c r="J37" s="202"/>
    </row>
    <row r="38" spans="1:10" ht="30" outlineLevel="1" x14ac:dyDescent="0.25">
      <c r="A38" s="202">
        <v>36</v>
      </c>
      <c r="B38" s="202" t="s">
        <v>2161</v>
      </c>
      <c r="C38" s="202" t="s">
        <v>758</v>
      </c>
      <c r="D38" s="195" t="s">
        <v>1479</v>
      </c>
      <c r="E38" s="195" t="s">
        <v>1393</v>
      </c>
      <c r="F38" s="195" t="s">
        <v>1482</v>
      </c>
      <c r="G38" s="202"/>
      <c r="H38" s="202"/>
      <c r="I38" s="202"/>
      <c r="J38" s="202"/>
    </row>
    <row r="39" spans="1:10" ht="30" outlineLevel="1" x14ac:dyDescent="0.25">
      <c r="A39" s="203">
        <v>37</v>
      </c>
      <c r="B39" s="203" t="s">
        <v>2162</v>
      </c>
      <c r="C39" s="203" t="s">
        <v>758</v>
      </c>
      <c r="D39" s="195" t="s">
        <v>1478</v>
      </c>
      <c r="E39" s="195" t="s">
        <v>2284</v>
      </c>
      <c r="F39" s="195" t="s">
        <v>1481</v>
      </c>
      <c r="G39" s="203"/>
      <c r="H39" s="203"/>
      <c r="I39" s="203"/>
      <c r="J39" s="203"/>
    </row>
    <row r="40" spans="1:10" ht="30" outlineLevel="1" x14ac:dyDescent="0.25">
      <c r="A40" s="202">
        <v>38</v>
      </c>
      <c r="B40" s="202" t="s">
        <v>2163</v>
      </c>
      <c r="C40" s="202" t="s">
        <v>758</v>
      </c>
      <c r="D40" s="195" t="s">
        <v>454</v>
      </c>
      <c r="E40" s="195" t="s">
        <v>2292</v>
      </c>
      <c r="F40" s="195" t="s">
        <v>243</v>
      </c>
      <c r="G40" s="202"/>
      <c r="H40" s="202"/>
      <c r="I40" s="202"/>
      <c r="J40" s="202"/>
    </row>
    <row r="41" spans="1:10" ht="30" outlineLevel="1" x14ac:dyDescent="0.25">
      <c r="A41" s="203">
        <v>39</v>
      </c>
      <c r="B41" s="203" t="s">
        <v>2164</v>
      </c>
      <c r="C41" s="203" t="s">
        <v>758</v>
      </c>
      <c r="D41" s="195" t="s">
        <v>453</v>
      </c>
      <c r="E41" s="195" t="s">
        <v>368</v>
      </c>
      <c r="F41" s="195" t="s">
        <v>242</v>
      </c>
      <c r="G41" s="203"/>
      <c r="H41" s="203"/>
      <c r="I41" s="203"/>
      <c r="J41" s="203"/>
    </row>
    <row r="42" spans="1:10" ht="30" outlineLevel="1" x14ac:dyDescent="0.25">
      <c r="A42" s="202">
        <v>40</v>
      </c>
      <c r="B42" s="202" t="s">
        <v>2165</v>
      </c>
      <c r="C42" s="202" t="s">
        <v>758</v>
      </c>
      <c r="D42" s="195" t="s">
        <v>419</v>
      </c>
      <c r="E42" s="195" t="s">
        <v>155</v>
      </c>
      <c r="F42" s="195" t="s">
        <v>418</v>
      </c>
      <c r="G42" s="202"/>
      <c r="H42" s="202"/>
      <c r="I42" s="202"/>
      <c r="J42" s="202"/>
    </row>
    <row r="43" spans="1:10" ht="30" outlineLevel="1" x14ac:dyDescent="0.25">
      <c r="A43" s="202">
        <v>41</v>
      </c>
      <c r="B43" s="202" t="s">
        <v>2166</v>
      </c>
      <c r="C43" s="202" t="s">
        <v>758</v>
      </c>
      <c r="D43" s="195" t="s">
        <v>451</v>
      </c>
      <c r="E43" s="195" t="s">
        <v>366</v>
      </c>
      <c r="F43" s="195" t="s">
        <v>240</v>
      </c>
      <c r="G43" s="202"/>
      <c r="H43" s="202"/>
      <c r="I43" s="202"/>
      <c r="J43" s="202"/>
    </row>
    <row r="44" spans="1:10" outlineLevel="1" x14ac:dyDescent="0.25">
      <c r="A44" s="203">
        <v>42</v>
      </c>
      <c r="B44" s="203" t="s">
        <v>2167</v>
      </c>
      <c r="C44" s="203" t="s">
        <v>758</v>
      </c>
      <c r="D44" s="232" t="s">
        <v>2997</v>
      </c>
      <c r="E44" s="232"/>
      <c r="F44" s="232"/>
      <c r="G44" s="203"/>
      <c r="H44" s="203"/>
      <c r="I44" s="203"/>
      <c r="J44" s="203"/>
    </row>
    <row r="45" spans="1:10" ht="30" outlineLevel="1" x14ac:dyDescent="0.25">
      <c r="A45" s="202">
        <v>43</v>
      </c>
      <c r="B45" s="202" t="s">
        <v>2168</v>
      </c>
      <c r="C45" s="202" t="s">
        <v>758</v>
      </c>
      <c r="D45" s="195" t="s">
        <v>488</v>
      </c>
      <c r="E45" s="195" t="s">
        <v>359</v>
      </c>
      <c r="F45" s="195" t="s">
        <v>256</v>
      </c>
      <c r="G45" s="202"/>
      <c r="H45" s="202"/>
      <c r="I45" s="202"/>
      <c r="J45" s="202"/>
    </row>
    <row r="46" spans="1:10" ht="30" outlineLevel="1" x14ac:dyDescent="0.25">
      <c r="A46" s="203">
        <v>44</v>
      </c>
      <c r="B46" s="203" t="s">
        <v>2169</v>
      </c>
      <c r="C46" s="203" t="s">
        <v>758</v>
      </c>
      <c r="D46" s="195" t="s">
        <v>489</v>
      </c>
      <c r="E46" s="195" t="s">
        <v>360</v>
      </c>
      <c r="F46" s="195" t="s">
        <v>257</v>
      </c>
      <c r="G46" s="203"/>
      <c r="H46" s="203"/>
      <c r="I46" s="203"/>
      <c r="J46" s="203"/>
    </row>
    <row r="47" spans="1:10" ht="30" outlineLevel="1" x14ac:dyDescent="0.25">
      <c r="A47" s="202">
        <v>45</v>
      </c>
      <c r="B47" s="202" t="s">
        <v>2170</v>
      </c>
      <c r="C47" s="202" t="s">
        <v>758</v>
      </c>
      <c r="D47" s="195" t="s">
        <v>2268</v>
      </c>
      <c r="E47" s="195" t="s">
        <v>2269</v>
      </c>
      <c r="F47" s="195" t="s">
        <v>2267</v>
      </c>
      <c r="G47" s="202"/>
      <c r="H47" s="202"/>
      <c r="I47" s="202"/>
      <c r="J47" s="202"/>
    </row>
    <row r="48" spans="1:10" outlineLevel="1" x14ac:dyDescent="0.25">
      <c r="A48" s="202">
        <v>46</v>
      </c>
      <c r="B48" s="202" t="s">
        <v>2171</v>
      </c>
      <c r="C48" s="202" t="s">
        <v>758</v>
      </c>
      <c r="D48" s="231" t="s">
        <v>2998</v>
      </c>
      <c r="E48" s="231" t="s">
        <v>2999</v>
      </c>
      <c r="F48" s="231"/>
      <c r="G48" s="202"/>
      <c r="H48" s="202"/>
      <c r="I48" s="202"/>
      <c r="J48" s="202"/>
    </row>
    <row r="49" spans="1:10" ht="30" outlineLevel="1" x14ac:dyDescent="0.25">
      <c r="A49" s="203">
        <v>47</v>
      </c>
      <c r="B49" s="203" t="s">
        <v>2172</v>
      </c>
      <c r="C49" s="203" t="s">
        <v>758</v>
      </c>
      <c r="D49" s="195" t="s">
        <v>2253</v>
      </c>
      <c r="E49" s="195" t="s">
        <v>310</v>
      </c>
      <c r="F49" s="195" t="s">
        <v>327</v>
      </c>
      <c r="G49" s="203"/>
      <c r="H49" s="203"/>
      <c r="I49" s="203"/>
      <c r="J49" s="203"/>
    </row>
    <row r="50" spans="1:10" ht="30" outlineLevel="1" x14ac:dyDescent="0.25">
      <c r="A50" s="202">
        <v>48</v>
      </c>
      <c r="B50" s="202" t="s">
        <v>2173</v>
      </c>
      <c r="C50" s="202" t="s">
        <v>758</v>
      </c>
      <c r="D50" s="195" t="s">
        <v>464</v>
      </c>
      <c r="E50" s="195" t="s">
        <v>365</v>
      </c>
      <c r="F50" s="195" t="s">
        <v>311</v>
      </c>
      <c r="G50" s="202"/>
      <c r="H50" s="202"/>
      <c r="I50" s="202"/>
      <c r="J50" s="202"/>
    </row>
    <row r="51" spans="1:10" ht="30" outlineLevel="1" x14ac:dyDescent="0.25">
      <c r="A51" s="203">
        <v>49</v>
      </c>
      <c r="B51" s="203" t="s">
        <v>2174</v>
      </c>
      <c r="C51" s="203" t="s">
        <v>758</v>
      </c>
      <c r="D51" s="195" t="s">
        <v>459</v>
      </c>
      <c r="E51" s="195" t="s">
        <v>155</v>
      </c>
      <c r="F51" s="195" t="s">
        <v>418</v>
      </c>
      <c r="G51" s="203"/>
      <c r="H51" s="203"/>
      <c r="I51" s="203"/>
      <c r="J51" s="203"/>
    </row>
    <row r="52" spans="1:10" ht="30" outlineLevel="1" x14ac:dyDescent="0.25">
      <c r="A52" s="202">
        <v>50</v>
      </c>
      <c r="B52" s="202" t="s">
        <v>2175</v>
      </c>
      <c r="C52" s="202" t="s">
        <v>758</v>
      </c>
      <c r="D52" s="195" t="s">
        <v>2252</v>
      </c>
      <c r="E52" s="195" t="s">
        <v>300</v>
      </c>
      <c r="F52" s="195" t="s">
        <v>328</v>
      </c>
      <c r="G52" s="202"/>
      <c r="H52" s="202"/>
      <c r="I52" s="202"/>
      <c r="J52" s="202"/>
    </row>
    <row r="53" spans="1:10" ht="30" outlineLevel="1" x14ac:dyDescent="0.25">
      <c r="A53" s="202">
        <v>51</v>
      </c>
      <c r="B53" s="202" t="s">
        <v>2176</v>
      </c>
      <c r="C53" s="202" t="s">
        <v>758</v>
      </c>
      <c r="D53" s="195" t="s">
        <v>466</v>
      </c>
      <c r="E53" s="195" t="s">
        <v>367</v>
      </c>
      <c r="F53" s="195" t="s">
        <v>313</v>
      </c>
      <c r="G53" s="202"/>
      <c r="H53" s="202"/>
      <c r="I53" s="202"/>
      <c r="J53" s="202"/>
    </row>
    <row r="54" spans="1:10" ht="30" outlineLevel="1" x14ac:dyDescent="0.25">
      <c r="A54" s="203">
        <v>52</v>
      </c>
      <c r="B54" s="203" t="s">
        <v>2177</v>
      </c>
      <c r="C54" s="203" t="s">
        <v>758</v>
      </c>
      <c r="D54" s="214" t="s">
        <v>481</v>
      </c>
      <c r="E54" s="214" t="s">
        <v>365</v>
      </c>
      <c r="F54" s="214" t="s">
        <v>250</v>
      </c>
      <c r="G54" s="203"/>
      <c r="H54" s="203"/>
      <c r="I54" s="203"/>
      <c r="J54" s="203"/>
    </row>
    <row r="55" spans="1:10" ht="30" outlineLevel="1" x14ac:dyDescent="0.25">
      <c r="A55" s="202">
        <v>53</v>
      </c>
      <c r="B55" s="202" t="s">
        <v>2178</v>
      </c>
      <c r="C55" s="202" t="s">
        <v>758</v>
      </c>
      <c r="D55" s="195" t="s">
        <v>482</v>
      </c>
      <c r="E55" s="195" t="s">
        <v>367</v>
      </c>
      <c r="F55" s="195" t="s">
        <v>251</v>
      </c>
      <c r="G55" s="202"/>
      <c r="H55" s="202"/>
      <c r="I55" s="202"/>
      <c r="J55" s="202"/>
    </row>
    <row r="56" spans="1:10" ht="30" outlineLevel="1" x14ac:dyDescent="0.25">
      <c r="A56" s="203">
        <v>54</v>
      </c>
      <c r="B56" s="203" t="s">
        <v>2179</v>
      </c>
      <c r="C56" s="203" t="s">
        <v>758</v>
      </c>
      <c r="D56" s="195" t="s">
        <v>480</v>
      </c>
      <c r="E56" s="195" t="s">
        <v>371</v>
      </c>
      <c r="F56" s="195" t="s">
        <v>373</v>
      </c>
      <c r="G56" s="203"/>
      <c r="H56" s="203"/>
      <c r="I56" s="203"/>
      <c r="J56" s="203"/>
    </row>
    <row r="57" spans="1:10" ht="30" outlineLevel="1" x14ac:dyDescent="0.25">
      <c r="A57" s="202">
        <v>55</v>
      </c>
      <c r="B57" s="202" t="s">
        <v>2180</v>
      </c>
      <c r="C57" s="202" t="s">
        <v>758</v>
      </c>
      <c r="D57" s="214" t="s">
        <v>483</v>
      </c>
      <c r="E57" s="214" t="s">
        <v>368</v>
      </c>
      <c r="F57" s="214" t="s">
        <v>252</v>
      </c>
      <c r="G57" s="202"/>
      <c r="H57" s="202"/>
      <c r="I57" s="202"/>
      <c r="J57" s="202"/>
    </row>
    <row r="58" spans="1:10" ht="30" outlineLevel="1" x14ac:dyDescent="0.25">
      <c r="A58" s="202">
        <v>56</v>
      </c>
      <c r="B58" s="202" t="s">
        <v>2181</v>
      </c>
      <c r="C58" s="202" t="s">
        <v>758</v>
      </c>
      <c r="D58" s="195" t="s">
        <v>484</v>
      </c>
      <c r="E58" s="195" t="s">
        <v>366</v>
      </c>
      <c r="F58" s="195" t="s">
        <v>253</v>
      </c>
      <c r="G58" s="202"/>
      <c r="H58" s="202"/>
      <c r="I58" s="202"/>
      <c r="J58" s="202"/>
    </row>
    <row r="59" spans="1:10" ht="30" outlineLevel="1" x14ac:dyDescent="0.25">
      <c r="A59" s="203">
        <v>57</v>
      </c>
      <c r="B59" s="203" t="s">
        <v>2182</v>
      </c>
      <c r="C59" s="203" t="s">
        <v>758</v>
      </c>
      <c r="D59" s="195" t="s">
        <v>2293</v>
      </c>
      <c r="E59" s="195" t="s">
        <v>2290</v>
      </c>
      <c r="F59" s="195" t="s">
        <v>2296</v>
      </c>
      <c r="G59" s="203"/>
      <c r="H59" s="203"/>
      <c r="I59" s="203"/>
      <c r="J59" s="203"/>
    </row>
    <row r="60" spans="1:10" ht="30" outlineLevel="1" x14ac:dyDescent="0.25">
      <c r="A60" s="202">
        <v>58</v>
      </c>
      <c r="B60" s="202" t="s">
        <v>2183</v>
      </c>
      <c r="C60" s="202" t="s">
        <v>758</v>
      </c>
      <c r="D60" s="195" t="s">
        <v>2294</v>
      </c>
      <c r="E60" s="195" t="s">
        <v>1393</v>
      </c>
      <c r="F60" s="195" t="s">
        <v>2297</v>
      </c>
      <c r="G60" s="202"/>
      <c r="H60" s="202"/>
      <c r="I60" s="202"/>
      <c r="J60" s="202"/>
    </row>
    <row r="61" spans="1:10" ht="30" outlineLevel="1" x14ac:dyDescent="0.25">
      <c r="A61" s="203">
        <v>59</v>
      </c>
      <c r="B61" s="203" t="s">
        <v>2184</v>
      </c>
      <c r="C61" s="203" t="s">
        <v>758</v>
      </c>
      <c r="D61" s="195" t="s">
        <v>2295</v>
      </c>
      <c r="E61" s="195" t="s">
        <v>2284</v>
      </c>
      <c r="F61" s="195" t="s">
        <v>2298</v>
      </c>
      <c r="G61" s="203"/>
      <c r="H61" s="203"/>
      <c r="I61" s="203"/>
      <c r="J61" s="203"/>
    </row>
    <row r="62" spans="1:10" ht="30" outlineLevel="1" x14ac:dyDescent="0.25">
      <c r="A62" s="202">
        <v>60</v>
      </c>
      <c r="B62" s="202" t="s">
        <v>2185</v>
      </c>
      <c r="C62" s="202" t="s">
        <v>758</v>
      </c>
      <c r="D62" s="195" t="s">
        <v>2300</v>
      </c>
      <c r="E62" s="195" t="s">
        <v>958</v>
      </c>
      <c r="F62" s="195" t="s">
        <v>2301</v>
      </c>
      <c r="G62" s="202"/>
      <c r="H62" s="202"/>
      <c r="I62" s="202"/>
      <c r="J62" s="202"/>
    </row>
    <row r="63" spans="1:10" ht="30" outlineLevel="1" x14ac:dyDescent="0.25">
      <c r="A63" s="202">
        <v>61</v>
      </c>
      <c r="B63" s="202" t="s">
        <v>2186</v>
      </c>
      <c r="C63" s="202" t="s">
        <v>758</v>
      </c>
      <c r="D63" s="195" t="s">
        <v>2303</v>
      </c>
      <c r="E63" s="195" t="s">
        <v>2302</v>
      </c>
      <c r="F63" s="195" t="s">
        <v>2304</v>
      </c>
      <c r="G63" s="202"/>
      <c r="H63" s="202"/>
      <c r="I63" s="202"/>
      <c r="J63" s="202"/>
    </row>
    <row r="64" spans="1:10" ht="30" outlineLevel="1" x14ac:dyDescent="0.25">
      <c r="A64" s="203">
        <v>62</v>
      </c>
      <c r="B64" s="203" t="s">
        <v>2187</v>
      </c>
      <c r="C64" s="203" t="s">
        <v>758</v>
      </c>
      <c r="D64" s="195" t="s">
        <v>3000</v>
      </c>
      <c r="E64" s="195" t="s">
        <v>1392</v>
      </c>
      <c r="F64" s="195" t="s">
        <v>3001</v>
      </c>
      <c r="G64" s="203"/>
      <c r="H64" s="203"/>
      <c r="I64" s="203"/>
      <c r="J64" s="203"/>
    </row>
    <row r="65" spans="1:10" ht="30" outlineLevel="1" x14ac:dyDescent="0.25">
      <c r="A65" s="202">
        <v>63</v>
      </c>
      <c r="B65" s="202" t="s">
        <v>2188</v>
      </c>
      <c r="C65" s="202" t="s">
        <v>758</v>
      </c>
      <c r="D65" s="195" t="s">
        <v>3002</v>
      </c>
      <c r="E65" s="195" t="s">
        <v>1393</v>
      </c>
      <c r="F65" s="195" t="s">
        <v>3003</v>
      </c>
      <c r="G65" s="202"/>
      <c r="H65" s="202"/>
      <c r="I65" s="202"/>
      <c r="J65" s="202"/>
    </row>
    <row r="66" spans="1:10" ht="30" outlineLevel="1" x14ac:dyDescent="0.25">
      <c r="A66" s="203">
        <v>64</v>
      </c>
      <c r="B66" s="203" t="s">
        <v>2189</v>
      </c>
      <c r="C66" s="203" t="s">
        <v>758</v>
      </c>
      <c r="D66" s="195" t="s">
        <v>3004</v>
      </c>
      <c r="E66" s="195" t="s">
        <v>2284</v>
      </c>
      <c r="F66" s="195" t="s">
        <v>3005</v>
      </c>
      <c r="G66" s="203"/>
      <c r="H66" s="203"/>
      <c r="I66" s="203"/>
      <c r="J66" s="203"/>
    </row>
    <row r="67" spans="1:10" ht="30" outlineLevel="1" x14ac:dyDescent="0.25">
      <c r="A67" s="202">
        <v>65</v>
      </c>
      <c r="B67" s="202" t="s">
        <v>2190</v>
      </c>
      <c r="C67" s="202" t="s">
        <v>758</v>
      </c>
      <c r="D67" s="195" t="s">
        <v>3006</v>
      </c>
      <c r="E67" s="195" t="s">
        <v>3007</v>
      </c>
      <c r="F67" s="195" t="s">
        <v>3008</v>
      </c>
      <c r="G67" s="202"/>
      <c r="H67" s="202"/>
      <c r="I67" s="202"/>
      <c r="J67" s="202"/>
    </row>
    <row r="68" spans="1:10" ht="30" outlineLevel="1" x14ac:dyDescent="0.25">
      <c r="A68" s="202">
        <v>66</v>
      </c>
      <c r="B68" s="202" t="s">
        <v>2191</v>
      </c>
      <c r="C68" s="202" t="s">
        <v>758</v>
      </c>
      <c r="D68" s="195" t="s">
        <v>468</v>
      </c>
      <c r="E68" s="195" t="s">
        <v>2292</v>
      </c>
      <c r="F68" s="195" t="s">
        <v>315</v>
      </c>
      <c r="G68" s="202"/>
      <c r="H68" s="202"/>
      <c r="I68" s="202"/>
      <c r="J68" s="202"/>
    </row>
    <row r="69" spans="1:10" ht="30" outlineLevel="1" x14ac:dyDescent="0.25">
      <c r="A69" s="203">
        <v>67</v>
      </c>
      <c r="B69" s="203" t="s">
        <v>2192</v>
      </c>
      <c r="C69" s="203" t="s">
        <v>758</v>
      </c>
      <c r="D69" s="195" t="s">
        <v>467</v>
      </c>
      <c r="E69" s="195" t="s">
        <v>368</v>
      </c>
      <c r="F69" s="195" t="s">
        <v>314</v>
      </c>
      <c r="G69" s="203"/>
      <c r="H69" s="203"/>
      <c r="I69" s="203"/>
      <c r="J69" s="203"/>
    </row>
    <row r="70" spans="1:10" ht="30" outlineLevel="1" x14ac:dyDescent="0.25">
      <c r="A70" s="202">
        <v>68</v>
      </c>
      <c r="B70" s="202" t="s">
        <v>2193</v>
      </c>
      <c r="C70" s="202" t="s">
        <v>758</v>
      </c>
      <c r="D70" s="195" t="s">
        <v>465</v>
      </c>
      <c r="E70" s="195" t="s">
        <v>366</v>
      </c>
      <c r="F70" s="195" t="s">
        <v>312</v>
      </c>
      <c r="G70" s="202"/>
      <c r="H70" s="202"/>
      <c r="I70" s="202"/>
      <c r="J70" s="202"/>
    </row>
    <row r="71" spans="1:10" ht="30" outlineLevel="1" x14ac:dyDescent="0.25">
      <c r="A71" s="203">
        <v>69</v>
      </c>
      <c r="B71" s="203" t="s">
        <v>2194</v>
      </c>
      <c r="C71" s="203" t="s">
        <v>758</v>
      </c>
      <c r="D71" s="195" t="s">
        <v>3009</v>
      </c>
      <c r="E71" s="195" t="s">
        <v>3010</v>
      </c>
      <c r="F71" s="195" t="s">
        <v>3011</v>
      </c>
      <c r="G71" s="203"/>
      <c r="H71" s="203"/>
      <c r="I71" s="203"/>
      <c r="J71" s="203"/>
    </row>
    <row r="72" spans="1:10" ht="30" outlineLevel="1" x14ac:dyDescent="0.25">
      <c r="A72" s="202">
        <v>70</v>
      </c>
      <c r="B72" s="202" t="s">
        <v>2195</v>
      </c>
      <c r="C72" s="202" t="s">
        <v>758</v>
      </c>
      <c r="D72" s="195" t="s">
        <v>3012</v>
      </c>
      <c r="E72" s="195" t="s">
        <v>3013</v>
      </c>
      <c r="F72" s="195" t="s">
        <v>3014</v>
      </c>
      <c r="G72" s="202"/>
      <c r="H72" s="202"/>
      <c r="I72" s="202"/>
      <c r="J72" s="202"/>
    </row>
    <row r="73" spans="1:10" ht="30" outlineLevel="1" x14ac:dyDescent="0.25">
      <c r="A73" s="202">
        <v>71</v>
      </c>
      <c r="B73" s="202" t="s">
        <v>2196</v>
      </c>
      <c r="C73" s="202" t="s">
        <v>758</v>
      </c>
      <c r="D73" s="195" t="s">
        <v>2122</v>
      </c>
      <c r="E73" s="195" t="s">
        <v>2123</v>
      </c>
      <c r="F73" s="195" t="s">
        <v>2124</v>
      </c>
      <c r="G73" s="202"/>
      <c r="H73" s="202"/>
      <c r="I73" s="202"/>
      <c r="J73" s="202"/>
    </row>
    <row r="74" spans="1:10" ht="30" outlineLevel="1" x14ac:dyDescent="0.25">
      <c r="A74" s="203">
        <v>72</v>
      </c>
      <c r="B74" s="203" t="s">
        <v>2197</v>
      </c>
      <c r="C74" s="203" t="s">
        <v>758</v>
      </c>
      <c r="D74" s="195" t="s">
        <v>3015</v>
      </c>
      <c r="E74" s="195" t="s">
        <v>3016</v>
      </c>
      <c r="F74" s="195" t="s">
        <v>3017</v>
      </c>
      <c r="G74" s="203"/>
      <c r="H74" s="203"/>
      <c r="I74" s="203"/>
      <c r="J74" s="203"/>
    </row>
    <row r="75" spans="1:10" outlineLevel="1" x14ac:dyDescent="0.25">
      <c r="A75" s="202">
        <v>73</v>
      </c>
      <c r="B75" s="202" t="s">
        <v>2198</v>
      </c>
      <c r="C75" s="202" t="s">
        <v>758</v>
      </c>
      <c r="D75" s="195" t="s">
        <v>3018</v>
      </c>
      <c r="E75" s="195" t="s">
        <v>350</v>
      </c>
      <c r="F75" s="195" t="s">
        <v>255</v>
      </c>
      <c r="G75" s="202"/>
      <c r="H75" s="202"/>
      <c r="I75" s="202"/>
      <c r="J75" s="202"/>
    </row>
    <row r="76" spans="1:10" outlineLevel="1" x14ac:dyDescent="0.25">
      <c r="A76" s="203">
        <v>74</v>
      </c>
      <c r="B76" s="203" t="s">
        <v>2199</v>
      </c>
      <c r="C76" s="203" t="s">
        <v>758</v>
      </c>
      <c r="D76" s="195" t="s">
        <v>3019</v>
      </c>
      <c r="E76" s="195" t="s">
        <v>350</v>
      </c>
      <c r="F76" s="195" t="s">
        <v>255</v>
      </c>
      <c r="G76" s="203"/>
      <c r="H76" s="203"/>
      <c r="I76" s="203"/>
      <c r="J76" s="203"/>
    </row>
    <row r="77" spans="1:10" outlineLevel="1" x14ac:dyDescent="0.25">
      <c r="A77" s="202">
        <v>75</v>
      </c>
      <c r="B77" s="202" t="s">
        <v>2200</v>
      </c>
      <c r="C77" s="202" t="s">
        <v>758</v>
      </c>
      <c r="D77" s="195" t="s">
        <v>496</v>
      </c>
      <c r="E77" s="195" t="s">
        <v>353</v>
      </c>
      <c r="F77" s="195" t="s">
        <v>264</v>
      </c>
      <c r="G77" s="202"/>
      <c r="H77" s="202"/>
      <c r="I77" s="202"/>
      <c r="J77" s="202"/>
    </row>
    <row r="78" spans="1:10" ht="30" outlineLevel="1" x14ac:dyDescent="0.25">
      <c r="A78" s="202">
        <v>76</v>
      </c>
      <c r="B78" s="202" t="s">
        <v>2201</v>
      </c>
      <c r="C78" s="202" t="s">
        <v>758</v>
      </c>
      <c r="D78" s="195" t="s">
        <v>3020</v>
      </c>
      <c r="E78" s="195" t="s">
        <v>3021</v>
      </c>
      <c r="F78" s="195" t="s">
        <v>3022</v>
      </c>
      <c r="G78" s="202"/>
      <c r="H78" s="202"/>
      <c r="I78" s="202"/>
      <c r="J78" s="202"/>
    </row>
    <row r="79" spans="1:10" ht="30" outlineLevel="1" x14ac:dyDescent="0.25">
      <c r="A79" s="203">
        <v>77</v>
      </c>
      <c r="B79" s="203" t="s">
        <v>2202</v>
      </c>
      <c r="C79" s="203" t="s">
        <v>758</v>
      </c>
      <c r="D79" s="195" t="s">
        <v>3023</v>
      </c>
      <c r="E79" s="195" t="s">
        <v>3024</v>
      </c>
      <c r="F79" s="195" t="s">
        <v>3025</v>
      </c>
      <c r="G79" s="203"/>
      <c r="H79" s="203"/>
      <c r="I79" s="203"/>
      <c r="J79" s="203"/>
    </row>
    <row r="80" spans="1:10" outlineLevel="1" x14ac:dyDescent="0.25">
      <c r="A80" s="202">
        <v>78</v>
      </c>
      <c r="B80" s="202" t="s">
        <v>2203</v>
      </c>
      <c r="C80" s="202" t="s">
        <v>758</v>
      </c>
      <c r="D80" s="195" t="s">
        <v>470</v>
      </c>
      <c r="E80" s="195" t="s">
        <v>348</v>
      </c>
      <c r="F80" s="195" t="s">
        <v>244</v>
      </c>
      <c r="G80" s="202"/>
      <c r="H80" s="202"/>
      <c r="I80" s="202"/>
      <c r="J80" s="202"/>
    </row>
    <row r="81" spans="1:10" ht="30" outlineLevel="1" x14ac:dyDescent="0.25">
      <c r="A81" s="203">
        <v>79</v>
      </c>
      <c r="B81" s="203" t="s">
        <v>2204</v>
      </c>
      <c r="C81" s="203" t="s">
        <v>758</v>
      </c>
      <c r="D81" s="195" t="s">
        <v>2257</v>
      </c>
      <c r="E81" s="195" t="s">
        <v>2258</v>
      </c>
      <c r="F81" s="195" t="s">
        <v>2259</v>
      </c>
      <c r="G81" s="203"/>
      <c r="H81" s="203"/>
      <c r="I81" s="203"/>
      <c r="J81" s="203"/>
    </row>
    <row r="82" spans="1:10" ht="30" outlineLevel="1" x14ac:dyDescent="0.25">
      <c r="A82" s="202">
        <v>80</v>
      </c>
      <c r="B82" s="202" t="s">
        <v>2205</v>
      </c>
      <c r="C82" s="202" t="s">
        <v>758</v>
      </c>
      <c r="D82" s="195" t="s">
        <v>3026</v>
      </c>
      <c r="E82" s="231" t="s">
        <v>345</v>
      </c>
      <c r="F82" s="195" t="s">
        <v>283</v>
      </c>
      <c r="G82" s="202"/>
      <c r="H82" s="202"/>
      <c r="I82" s="202"/>
      <c r="J82" s="202"/>
    </row>
    <row r="83" spans="1:10" ht="30" outlineLevel="1" x14ac:dyDescent="0.25">
      <c r="A83" s="202">
        <v>81</v>
      </c>
      <c r="B83" s="202" t="s">
        <v>2206</v>
      </c>
      <c r="C83" s="202" t="s">
        <v>758</v>
      </c>
      <c r="D83" s="195" t="s">
        <v>3027</v>
      </c>
      <c r="E83" s="231" t="s">
        <v>345</v>
      </c>
      <c r="F83" s="195" t="s">
        <v>283</v>
      </c>
      <c r="G83" s="202"/>
      <c r="H83" s="202"/>
      <c r="I83" s="202"/>
      <c r="J83" s="202"/>
    </row>
    <row r="84" spans="1:10" outlineLevel="1" x14ac:dyDescent="0.25">
      <c r="A84" s="203">
        <v>82</v>
      </c>
      <c r="B84" s="203" t="s">
        <v>2207</v>
      </c>
      <c r="C84" s="203" t="s">
        <v>758</v>
      </c>
      <c r="D84" s="232" t="s">
        <v>2997</v>
      </c>
      <c r="E84" s="232"/>
      <c r="F84" s="232"/>
      <c r="G84" s="203"/>
      <c r="H84" s="203"/>
      <c r="I84" s="203"/>
      <c r="J84" s="203"/>
    </row>
    <row r="85" spans="1:10" outlineLevel="1" x14ac:dyDescent="0.25">
      <c r="A85" s="202">
        <v>83</v>
      </c>
      <c r="B85" s="202" t="s">
        <v>2208</v>
      </c>
      <c r="C85" s="202" t="s">
        <v>758</v>
      </c>
      <c r="D85" s="195" t="s">
        <v>403</v>
      </c>
      <c r="E85" s="195" t="s">
        <v>338</v>
      </c>
      <c r="F85" s="195" t="s">
        <v>228</v>
      </c>
      <c r="G85" s="202"/>
      <c r="H85" s="202"/>
      <c r="I85" s="202"/>
      <c r="J85" s="202"/>
    </row>
    <row r="86" spans="1:10" ht="30" outlineLevel="1" x14ac:dyDescent="0.25">
      <c r="A86" s="203">
        <v>84</v>
      </c>
      <c r="B86" s="203" t="s">
        <v>2209</v>
      </c>
      <c r="C86" s="203" t="s">
        <v>758</v>
      </c>
      <c r="D86" s="195" t="s">
        <v>3028</v>
      </c>
      <c r="E86" s="195" t="s">
        <v>340</v>
      </c>
      <c r="F86" s="195" t="s">
        <v>230</v>
      </c>
      <c r="G86" s="203"/>
      <c r="H86" s="203"/>
      <c r="I86" s="203"/>
      <c r="J86" s="203"/>
    </row>
    <row r="87" spans="1:10" ht="30" outlineLevel="1" x14ac:dyDescent="0.25">
      <c r="A87" s="202">
        <v>85</v>
      </c>
      <c r="B87" s="202" t="s">
        <v>2210</v>
      </c>
      <c r="C87" s="202" t="s">
        <v>758</v>
      </c>
      <c r="D87" s="195" t="s">
        <v>3029</v>
      </c>
      <c r="E87" s="195" t="s">
        <v>340</v>
      </c>
      <c r="F87" s="195" t="s">
        <v>230</v>
      </c>
      <c r="G87" s="202"/>
      <c r="H87" s="202"/>
      <c r="I87" s="202"/>
      <c r="J87" s="202"/>
    </row>
    <row r="88" spans="1:10" ht="30" outlineLevel="1" x14ac:dyDescent="0.25">
      <c r="A88" s="202">
        <v>86</v>
      </c>
      <c r="B88" s="202" t="s">
        <v>2211</v>
      </c>
      <c r="C88" s="202" t="s">
        <v>758</v>
      </c>
      <c r="D88" s="195" t="s">
        <v>3030</v>
      </c>
      <c r="E88" s="195" t="s">
        <v>385</v>
      </c>
      <c r="F88" s="195" t="s">
        <v>231</v>
      </c>
      <c r="G88" s="202"/>
      <c r="H88" s="202"/>
      <c r="I88" s="202"/>
      <c r="J88" s="202"/>
    </row>
    <row r="89" spans="1:10" ht="30" outlineLevel="1" x14ac:dyDescent="0.25">
      <c r="A89" s="203">
        <v>87</v>
      </c>
      <c r="B89" s="203" t="s">
        <v>2212</v>
      </c>
      <c r="C89" s="203" t="s">
        <v>758</v>
      </c>
      <c r="D89" s="195" t="s">
        <v>3031</v>
      </c>
      <c r="E89" s="195" t="s">
        <v>385</v>
      </c>
      <c r="F89" s="195" t="s">
        <v>231</v>
      </c>
      <c r="G89" s="203"/>
      <c r="H89" s="203"/>
      <c r="I89" s="203"/>
      <c r="J89" s="203"/>
    </row>
    <row r="90" spans="1:10" ht="30" outlineLevel="1" x14ac:dyDescent="0.25">
      <c r="A90" s="202">
        <v>88</v>
      </c>
      <c r="B90" s="202" t="s">
        <v>2213</v>
      </c>
      <c r="C90" s="202" t="s">
        <v>758</v>
      </c>
      <c r="D90" s="195" t="s">
        <v>3032</v>
      </c>
      <c r="E90" s="195" t="s">
        <v>390</v>
      </c>
      <c r="F90" s="195" t="s">
        <v>389</v>
      </c>
      <c r="G90" s="202"/>
      <c r="H90" s="202"/>
      <c r="I90" s="202"/>
      <c r="J90" s="202"/>
    </row>
    <row r="91" spans="1:10" ht="30" outlineLevel="1" x14ac:dyDescent="0.25">
      <c r="A91" s="203">
        <v>89</v>
      </c>
      <c r="B91" s="203" t="s">
        <v>2214</v>
      </c>
      <c r="C91" s="203" t="s">
        <v>758</v>
      </c>
      <c r="D91" s="195" t="s">
        <v>3033</v>
      </c>
      <c r="E91" s="195" t="s">
        <v>390</v>
      </c>
      <c r="F91" s="195" t="s">
        <v>389</v>
      </c>
      <c r="G91" s="203"/>
      <c r="H91" s="203"/>
      <c r="I91" s="203"/>
      <c r="J91" s="203"/>
    </row>
    <row r="92" spans="1:10" outlineLevel="1" x14ac:dyDescent="0.25">
      <c r="A92" s="202">
        <v>90</v>
      </c>
      <c r="B92" s="202" t="s">
        <v>2215</v>
      </c>
      <c r="C92" s="202" t="s">
        <v>758</v>
      </c>
      <c r="D92" s="195" t="s">
        <v>3034</v>
      </c>
      <c r="E92" s="195" t="s">
        <v>339</v>
      </c>
      <c r="F92" s="195" t="s">
        <v>229</v>
      </c>
      <c r="G92" s="202"/>
      <c r="H92" s="202"/>
      <c r="I92" s="202"/>
      <c r="J92" s="202"/>
    </row>
    <row r="93" spans="1:10" ht="30" outlineLevel="1" x14ac:dyDescent="0.25">
      <c r="A93" s="202">
        <v>91</v>
      </c>
      <c r="B93" s="202" t="s">
        <v>2216</v>
      </c>
      <c r="C93" s="202" t="s">
        <v>758</v>
      </c>
      <c r="D93" s="195" t="s">
        <v>3035</v>
      </c>
      <c r="E93" s="195" t="s">
        <v>339</v>
      </c>
      <c r="F93" s="195" t="s">
        <v>229</v>
      </c>
      <c r="G93" s="202"/>
      <c r="H93" s="202"/>
      <c r="I93" s="202"/>
      <c r="J93" s="202"/>
    </row>
    <row r="94" spans="1:10" ht="21.75" customHeight="1" outlineLevel="1" x14ac:dyDescent="0.25">
      <c r="A94" s="203">
        <v>92</v>
      </c>
      <c r="B94" s="203" t="s">
        <v>2217</v>
      </c>
      <c r="C94" s="203" t="s">
        <v>758</v>
      </c>
      <c r="D94" s="195" t="s">
        <v>3036</v>
      </c>
      <c r="E94" s="195" t="s">
        <v>2112</v>
      </c>
      <c r="F94" s="195" t="s">
        <v>2113</v>
      </c>
      <c r="G94" s="203"/>
      <c r="H94" s="203"/>
      <c r="I94" s="203"/>
      <c r="J94" s="203"/>
    </row>
    <row r="95" spans="1:10" ht="45" outlineLevel="1" x14ac:dyDescent="0.25">
      <c r="A95" s="202">
        <v>93</v>
      </c>
      <c r="B95" s="202" t="s">
        <v>2218</v>
      </c>
      <c r="C95" s="202" t="s">
        <v>758</v>
      </c>
      <c r="D95" s="195" t="s">
        <v>3037</v>
      </c>
      <c r="E95" s="195" t="s">
        <v>2112</v>
      </c>
      <c r="F95" s="195" t="s">
        <v>2113</v>
      </c>
      <c r="G95" s="202"/>
      <c r="H95" s="202"/>
      <c r="I95" s="202"/>
      <c r="J95" s="202"/>
    </row>
    <row r="96" spans="1:10" outlineLevel="1" x14ac:dyDescent="0.25">
      <c r="A96" s="203">
        <v>94</v>
      </c>
      <c r="B96" s="203" t="s">
        <v>2219</v>
      </c>
      <c r="C96" s="203" t="s">
        <v>758</v>
      </c>
      <c r="D96" s="195" t="s">
        <v>408</v>
      </c>
      <c r="E96" s="195" t="s">
        <v>341</v>
      </c>
      <c r="F96" s="195" t="s">
        <v>232</v>
      </c>
      <c r="G96" s="203"/>
      <c r="H96" s="203"/>
      <c r="I96" s="203"/>
      <c r="J96" s="203"/>
    </row>
    <row r="97" spans="1:10" outlineLevel="1" x14ac:dyDescent="0.25">
      <c r="A97" s="202">
        <v>95</v>
      </c>
      <c r="B97" s="202" t="s">
        <v>2223</v>
      </c>
      <c r="C97" s="202" t="s">
        <v>758</v>
      </c>
      <c r="D97" s="233"/>
      <c r="E97" s="233"/>
      <c r="F97" s="233"/>
      <c r="G97" s="202"/>
      <c r="H97" s="202"/>
      <c r="I97" s="202"/>
      <c r="J97" s="202"/>
    </row>
    <row r="98" spans="1:10" outlineLevel="1" x14ac:dyDescent="0.25">
      <c r="A98" s="202">
        <v>96</v>
      </c>
      <c r="B98" s="202" t="s">
        <v>2220</v>
      </c>
      <c r="C98" s="202" t="s">
        <v>758</v>
      </c>
      <c r="D98" s="233"/>
      <c r="E98" s="233"/>
      <c r="F98" s="233"/>
      <c r="G98" s="202"/>
      <c r="H98" s="202"/>
      <c r="I98" s="202"/>
      <c r="J98" s="202"/>
    </row>
    <row r="99" spans="1:10" ht="51" customHeight="1" outlineLevel="1" x14ac:dyDescent="0.25">
      <c r="A99" s="203">
        <v>97</v>
      </c>
      <c r="B99" s="203" t="s">
        <v>2221</v>
      </c>
      <c r="C99" s="203" t="s">
        <v>758</v>
      </c>
      <c r="D99" s="195" t="s">
        <v>2116</v>
      </c>
      <c r="E99" s="195" t="s">
        <v>2115</v>
      </c>
      <c r="F99" s="195" t="s">
        <v>2114</v>
      </c>
      <c r="G99" s="203"/>
      <c r="H99" s="203"/>
      <c r="I99" s="203"/>
      <c r="J99" s="203"/>
    </row>
    <row r="100" spans="1:10" ht="30" outlineLevel="1" x14ac:dyDescent="0.25">
      <c r="A100" s="202">
        <v>98</v>
      </c>
      <c r="B100" s="202" t="s">
        <v>2222</v>
      </c>
      <c r="C100" s="202" t="s">
        <v>758</v>
      </c>
      <c r="D100" s="195" t="s">
        <v>2262</v>
      </c>
      <c r="E100" s="195" t="s">
        <v>301</v>
      </c>
      <c r="F100" s="195" t="s">
        <v>330</v>
      </c>
      <c r="G100" s="202"/>
      <c r="H100" s="202"/>
      <c r="I100" s="202"/>
      <c r="J100" s="202"/>
    </row>
    <row r="101" spans="1:10" outlineLevel="1" x14ac:dyDescent="0.25"/>
    <row r="102" spans="1:10" ht="26.25" x14ac:dyDescent="0.4">
      <c r="A102" s="241" t="s">
        <v>2224</v>
      </c>
      <c r="B102" s="241"/>
      <c r="C102" s="241"/>
      <c r="D102" s="241"/>
      <c r="E102" s="241"/>
      <c r="F102" s="241"/>
      <c r="G102" s="241"/>
      <c r="H102" s="241"/>
      <c r="I102" s="241"/>
      <c r="J102" s="241"/>
    </row>
    <row r="103" spans="1:10" x14ac:dyDescent="0.25">
      <c r="A103" s="202">
        <v>1</v>
      </c>
      <c r="B103" s="202" t="s">
        <v>2225</v>
      </c>
      <c r="C103" s="202" t="s">
        <v>758</v>
      </c>
      <c r="D103" s="231" t="s">
        <v>3038</v>
      </c>
      <c r="E103" s="231" t="s">
        <v>1886</v>
      </c>
      <c r="F103" s="231" t="s">
        <v>1887</v>
      </c>
      <c r="G103" s="202"/>
      <c r="H103" s="202"/>
      <c r="I103" s="202"/>
      <c r="J103" s="202"/>
    </row>
    <row r="104" spans="1:10" ht="60" x14ac:dyDescent="0.25">
      <c r="A104" s="202">
        <v>2</v>
      </c>
      <c r="B104" s="202" t="s">
        <v>2226</v>
      </c>
      <c r="C104" s="202" t="s">
        <v>758</v>
      </c>
      <c r="D104" s="195" t="s">
        <v>3020</v>
      </c>
      <c r="E104" s="195" t="s">
        <v>3021</v>
      </c>
      <c r="F104" s="195" t="s">
        <v>3022</v>
      </c>
      <c r="G104" s="202"/>
      <c r="H104" s="202"/>
      <c r="I104" s="207" t="s">
        <v>2231</v>
      </c>
      <c r="J104" s="202"/>
    </row>
    <row r="105" spans="1:10" x14ac:dyDescent="0.25">
      <c r="A105" s="203">
        <v>3</v>
      </c>
      <c r="B105" s="203" t="s">
        <v>2227</v>
      </c>
      <c r="C105" s="203" t="s">
        <v>758</v>
      </c>
      <c r="D105" s="232" t="s">
        <v>3039</v>
      </c>
      <c r="E105" s="232" t="s">
        <v>3040</v>
      </c>
      <c r="F105" s="232" t="s">
        <v>3041</v>
      </c>
      <c r="G105" s="203"/>
      <c r="H105" s="203"/>
      <c r="I105" s="203"/>
      <c r="J105" s="203"/>
    </row>
    <row r="106" spans="1:10" x14ac:dyDescent="0.25">
      <c r="A106" s="202">
        <v>4</v>
      </c>
      <c r="B106" s="202" t="s">
        <v>2228</v>
      </c>
      <c r="C106" s="202" t="s">
        <v>758</v>
      </c>
      <c r="D106" s="232" t="s">
        <v>2747</v>
      </c>
      <c r="E106" s="231" t="s">
        <v>2774</v>
      </c>
      <c r="F106" s="231" t="s">
        <v>3042</v>
      </c>
      <c r="G106" s="202"/>
      <c r="H106" s="202"/>
      <c r="I106" s="202"/>
      <c r="J106" s="202"/>
    </row>
    <row r="107" spans="1:10" x14ac:dyDescent="0.25">
      <c r="A107" s="202">
        <v>5</v>
      </c>
      <c r="B107" s="202" t="s">
        <v>2229</v>
      </c>
      <c r="C107" s="202" t="s">
        <v>758</v>
      </c>
      <c r="D107" s="202"/>
      <c r="E107" s="202"/>
      <c r="F107" s="202"/>
      <c r="G107" s="202"/>
      <c r="H107" s="202"/>
      <c r="I107" s="202"/>
      <c r="J107" s="202"/>
    </row>
    <row r="108" spans="1:10" x14ac:dyDescent="0.25">
      <c r="A108" s="203">
        <v>6</v>
      </c>
      <c r="B108" s="203" t="s">
        <v>2230</v>
      </c>
      <c r="C108" s="203" t="s">
        <v>758</v>
      </c>
      <c r="D108" s="203"/>
      <c r="E108" s="203"/>
      <c r="F108" s="203"/>
      <c r="G108" s="203"/>
      <c r="H108" s="203"/>
      <c r="I108" s="203"/>
      <c r="J108" s="203"/>
    </row>
  </sheetData>
  <mergeCells count="2">
    <mergeCell ref="A1:J1"/>
    <mergeCell ref="A102:J102"/>
  </mergeCells>
  <conditionalFormatting sqref="D17">
    <cfRule type="duplicateValues" dxfId="158" priority="94"/>
  </conditionalFormatting>
  <conditionalFormatting sqref="D18">
    <cfRule type="duplicateValues" dxfId="157" priority="93"/>
  </conditionalFormatting>
  <conditionalFormatting sqref="D19">
    <cfRule type="duplicateValues" dxfId="156" priority="92"/>
  </conditionalFormatting>
  <conditionalFormatting sqref="D20:D21">
    <cfRule type="duplicateValues" dxfId="155" priority="91"/>
  </conditionalFormatting>
  <conditionalFormatting sqref="D23">
    <cfRule type="duplicateValues" dxfId="154" priority="90"/>
  </conditionalFormatting>
  <conditionalFormatting sqref="D28">
    <cfRule type="duplicateValues" dxfId="153" priority="89"/>
  </conditionalFormatting>
  <conditionalFormatting sqref="D30">
    <cfRule type="duplicateValues" dxfId="152" priority="88"/>
  </conditionalFormatting>
  <conditionalFormatting sqref="D33">
    <cfRule type="duplicateValues" dxfId="151" priority="87"/>
  </conditionalFormatting>
  <conditionalFormatting sqref="D34">
    <cfRule type="duplicateValues" dxfId="150" priority="86"/>
  </conditionalFormatting>
  <conditionalFormatting sqref="D37">
    <cfRule type="duplicateValues" dxfId="149" priority="85"/>
  </conditionalFormatting>
  <conditionalFormatting sqref="D39">
    <cfRule type="duplicateValues" dxfId="148" priority="84"/>
  </conditionalFormatting>
  <conditionalFormatting sqref="D38">
    <cfRule type="duplicateValues" dxfId="147" priority="83"/>
  </conditionalFormatting>
  <conditionalFormatting sqref="D41">
    <cfRule type="duplicateValues" dxfId="146" priority="82"/>
  </conditionalFormatting>
  <conditionalFormatting sqref="D42">
    <cfRule type="duplicateValues" dxfId="145" priority="81"/>
  </conditionalFormatting>
  <conditionalFormatting sqref="D43">
    <cfRule type="duplicateValues" dxfId="144" priority="80"/>
  </conditionalFormatting>
  <conditionalFormatting sqref="D45:D46">
    <cfRule type="duplicateValues" dxfId="143" priority="79"/>
  </conditionalFormatting>
  <conditionalFormatting sqref="D40">
    <cfRule type="duplicateValues" dxfId="142" priority="78"/>
  </conditionalFormatting>
  <conditionalFormatting sqref="D49:F49">
    <cfRule type="duplicateValues" dxfId="141" priority="77"/>
  </conditionalFormatting>
  <conditionalFormatting sqref="D54">
    <cfRule type="duplicateValues" dxfId="140" priority="76"/>
  </conditionalFormatting>
  <conditionalFormatting sqref="D55">
    <cfRule type="duplicateValues" dxfId="139" priority="75"/>
  </conditionalFormatting>
  <conditionalFormatting sqref="D56">
    <cfRule type="duplicateValues" dxfId="138" priority="74"/>
  </conditionalFormatting>
  <conditionalFormatting sqref="D57:D58">
    <cfRule type="duplicateValues" dxfId="137" priority="73"/>
  </conditionalFormatting>
  <conditionalFormatting sqref="D59">
    <cfRule type="duplicateValues" dxfId="136" priority="72"/>
  </conditionalFormatting>
  <conditionalFormatting sqref="D61">
    <cfRule type="duplicateValues" dxfId="135" priority="71"/>
  </conditionalFormatting>
  <conditionalFormatting sqref="D60">
    <cfRule type="duplicateValues" dxfId="134" priority="70"/>
  </conditionalFormatting>
  <conditionalFormatting sqref="D69">
    <cfRule type="duplicateValues" dxfId="133" priority="69"/>
  </conditionalFormatting>
  <conditionalFormatting sqref="D68">
    <cfRule type="duplicateValues" dxfId="132" priority="68"/>
  </conditionalFormatting>
  <conditionalFormatting sqref="D70">
    <cfRule type="duplicateValues" dxfId="131" priority="67"/>
  </conditionalFormatting>
  <conditionalFormatting sqref="D73:F73">
    <cfRule type="duplicateValues" dxfId="130" priority="66"/>
  </conditionalFormatting>
  <conditionalFormatting sqref="D85:F85">
    <cfRule type="duplicateValues" dxfId="129" priority="65"/>
  </conditionalFormatting>
  <conditionalFormatting sqref="D99:F99">
    <cfRule type="duplicateValues" dxfId="128" priority="64"/>
  </conditionalFormatting>
  <conditionalFormatting sqref="D100:F100">
    <cfRule type="duplicateValues" dxfId="127" priority="63"/>
  </conditionalFormatting>
  <conditionalFormatting sqref="D96:F96">
    <cfRule type="duplicateValues" dxfId="126" priority="62"/>
  </conditionalFormatting>
  <conditionalFormatting sqref="D5:F5">
    <cfRule type="duplicateValues" dxfId="125" priority="61"/>
  </conditionalFormatting>
  <conditionalFormatting sqref="D6:F6">
    <cfRule type="duplicateValues" dxfId="124" priority="60"/>
  </conditionalFormatting>
  <conditionalFormatting sqref="D7:F7">
    <cfRule type="duplicateValues" dxfId="123" priority="59"/>
  </conditionalFormatting>
  <conditionalFormatting sqref="D12:F12">
    <cfRule type="duplicateValues" dxfId="122" priority="58"/>
  </conditionalFormatting>
  <conditionalFormatting sqref="D10:F11">
    <cfRule type="duplicateValues" dxfId="121" priority="57"/>
  </conditionalFormatting>
  <conditionalFormatting sqref="D50">
    <cfRule type="duplicateValues" dxfId="120" priority="56"/>
  </conditionalFormatting>
  <conditionalFormatting sqref="D52:F52">
    <cfRule type="duplicateValues" dxfId="119" priority="55"/>
  </conditionalFormatting>
  <conditionalFormatting sqref="D53">
    <cfRule type="duplicateValues" dxfId="118" priority="54"/>
  </conditionalFormatting>
  <conditionalFormatting sqref="D35:F35">
    <cfRule type="duplicateValues" dxfId="117" priority="53"/>
  </conditionalFormatting>
  <conditionalFormatting sqref="D62:F62">
    <cfRule type="duplicateValues" dxfId="116" priority="52"/>
  </conditionalFormatting>
  <conditionalFormatting sqref="D63:F63">
    <cfRule type="duplicateValues" dxfId="115" priority="51"/>
  </conditionalFormatting>
  <conditionalFormatting sqref="D94:F94">
    <cfRule type="duplicateValues" dxfId="114" priority="50"/>
  </conditionalFormatting>
  <conditionalFormatting sqref="D88:F88">
    <cfRule type="duplicateValues" dxfId="113" priority="49"/>
  </conditionalFormatting>
  <conditionalFormatting sqref="D90:F90">
    <cfRule type="duplicateValues" dxfId="112" priority="48"/>
  </conditionalFormatting>
  <conditionalFormatting sqref="D86:F86">
    <cfRule type="duplicateValues" dxfId="111" priority="47"/>
  </conditionalFormatting>
  <conditionalFormatting sqref="D92:F92">
    <cfRule type="duplicateValues" dxfId="110" priority="46"/>
  </conditionalFormatting>
  <conditionalFormatting sqref="D75:F75">
    <cfRule type="duplicateValues" dxfId="109" priority="45"/>
  </conditionalFormatting>
  <conditionalFormatting sqref="D15:F15">
    <cfRule type="duplicateValues" dxfId="108" priority="44"/>
  </conditionalFormatting>
  <conditionalFormatting sqref="D13:F13">
    <cfRule type="duplicateValues" dxfId="107" priority="43"/>
  </conditionalFormatting>
  <conditionalFormatting sqref="D14:F14">
    <cfRule type="duplicateValues" dxfId="106" priority="42"/>
  </conditionalFormatting>
  <conditionalFormatting sqref="D25:F25">
    <cfRule type="duplicateValues" dxfId="105" priority="41"/>
  </conditionalFormatting>
  <conditionalFormatting sqref="D26">
    <cfRule type="duplicateValues" dxfId="104" priority="40"/>
  </conditionalFormatting>
  <conditionalFormatting sqref="D27:F27">
    <cfRule type="duplicateValues" dxfId="103" priority="39"/>
  </conditionalFormatting>
  <conditionalFormatting sqref="D64">
    <cfRule type="duplicateValues" dxfId="102" priority="38"/>
  </conditionalFormatting>
  <conditionalFormatting sqref="E64">
    <cfRule type="duplicateValues" dxfId="101" priority="37"/>
  </conditionalFormatting>
  <conditionalFormatting sqref="D65:F66">
    <cfRule type="duplicateValues" dxfId="100" priority="36"/>
  </conditionalFormatting>
  <conditionalFormatting sqref="F64">
    <cfRule type="duplicateValues" dxfId="99" priority="35"/>
  </conditionalFormatting>
  <conditionalFormatting sqref="D47:F47">
    <cfRule type="duplicateValues" dxfId="98" priority="34"/>
  </conditionalFormatting>
  <conditionalFormatting sqref="D51">
    <cfRule type="duplicateValues" dxfId="97" priority="33"/>
  </conditionalFormatting>
  <conditionalFormatting sqref="D8:F8">
    <cfRule type="duplicateValues" dxfId="96" priority="32"/>
  </conditionalFormatting>
  <conditionalFormatting sqref="D76:F76">
    <cfRule type="duplicateValues" dxfId="95" priority="31"/>
  </conditionalFormatting>
  <conditionalFormatting sqref="D77:F77">
    <cfRule type="duplicateValues" dxfId="94" priority="30"/>
  </conditionalFormatting>
  <conditionalFormatting sqref="D80:F80">
    <cfRule type="duplicateValues" dxfId="93" priority="29"/>
  </conditionalFormatting>
  <conditionalFormatting sqref="D79:F79">
    <cfRule type="duplicateValues" dxfId="92" priority="28"/>
  </conditionalFormatting>
  <conditionalFormatting sqref="F82">
    <cfRule type="duplicateValues" dxfId="91" priority="27"/>
  </conditionalFormatting>
  <conditionalFormatting sqref="D82">
    <cfRule type="duplicateValues" dxfId="90" priority="26"/>
  </conditionalFormatting>
  <conditionalFormatting sqref="F83">
    <cfRule type="duplicateValues" dxfId="89" priority="25"/>
  </conditionalFormatting>
  <conditionalFormatting sqref="D83">
    <cfRule type="duplicateValues" dxfId="88" priority="24"/>
  </conditionalFormatting>
  <conditionalFormatting sqref="D87:F87">
    <cfRule type="duplicateValues" dxfId="87" priority="23"/>
  </conditionalFormatting>
  <conditionalFormatting sqref="D89:F89">
    <cfRule type="duplicateValues" dxfId="86" priority="22"/>
  </conditionalFormatting>
  <conditionalFormatting sqref="D91:F91">
    <cfRule type="duplicateValues" dxfId="85" priority="21"/>
  </conditionalFormatting>
  <conditionalFormatting sqref="D93:F93">
    <cfRule type="duplicateValues" dxfId="84" priority="20"/>
  </conditionalFormatting>
  <conditionalFormatting sqref="D95:F95">
    <cfRule type="duplicateValues" dxfId="83" priority="19"/>
  </conditionalFormatting>
  <conditionalFormatting sqref="D31">
    <cfRule type="duplicateValues" dxfId="82" priority="18"/>
  </conditionalFormatting>
  <conditionalFormatting sqref="D32">
    <cfRule type="duplicateValues" dxfId="81" priority="17"/>
  </conditionalFormatting>
  <conditionalFormatting sqref="D29">
    <cfRule type="duplicateValues" dxfId="80" priority="16"/>
  </conditionalFormatting>
  <conditionalFormatting sqref="D22:F22">
    <cfRule type="duplicateValues" dxfId="79" priority="15"/>
  </conditionalFormatting>
  <conditionalFormatting sqref="D81:F81">
    <cfRule type="duplicateValues" dxfId="78" priority="14"/>
  </conditionalFormatting>
  <conditionalFormatting sqref="D78:F78">
    <cfRule type="duplicateValues" dxfId="77" priority="13"/>
  </conditionalFormatting>
  <conditionalFormatting sqref="D74:F74">
    <cfRule type="duplicateValues" dxfId="76" priority="12"/>
  </conditionalFormatting>
  <conditionalFormatting sqref="D16:F16">
    <cfRule type="duplicateValues" dxfId="75" priority="11"/>
  </conditionalFormatting>
  <conditionalFormatting sqref="D24:F24">
    <cfRule type="duplicateValues" dxfId="74" priority="10"/>
  </conditionalFormatting>
  <conditionalFormatting sqref="D67">
    <cfRule type="duplicateValues" dxfId="73" priority="5"/>
  </conditionalFormatting>
  <conditionalFormatting sqref="D9">
    <cfRule type="duplicateValues" dxfId="72" priority="9"/>
  </conditionalFormatting>
  <conditionalFormatting sqref="E9">
    <cfRule type="duplicateValues" dxfId="71" priority="8"/>
  </conditionalFormatting>
  <conditionalFormatting sqref="F9">
    <cfRule type="duplicateValues" dxfId="70" priority="7"/>
  </conditionalFormatting>
  <conditionalFormatting sqref="D36">
    <cfRule type="duplicateValues" dxfId="69" priority="6"/>
  </conditionalFormatting>
  <conditionalFormatting sqref="D71">
    <cfRule type="duplicateValues" dxfId="68" priority="4"/>
  </conditionalFormatting>
  <conditionalFormatting sqref="D72">
    <cfRule type="duplicateValues" dxfId="67" priority="3"/>
  </conditionalFormatting>
  <conditionalFormatting sqref="E71:E72">
    <cfRule type="duplicateValues" dxfId="66" priority="2"/>
  </conditionalFormatting>
  <conditionalFormatting sqref="D104:F104">
    <cfRule type="duplicateValues" dxfId="65"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Transaction-IP-Fields Chart</vt:lpstr>
      <vt:lpstr>Transaction-Fields Mapping-IP</vt:lpstr>
      <vt:lpstr>Transaction-Fields Mapping-OP</vt:lpstr>
      <vt:lpstr>Inquiry-Fields Mapping-IP</vt:lpstr>
      <vt:lpstr>Inquiry-Fields Mapping-OP</vt:lpstr>
      <vt:lpstr>Driver'sLicense-IP</vt:lpstr>
      <vt:lpstr>Driver'sLicense-OP</vt:lpstr>
      <vt:lpstr>TaxWatch - Inquiry</vt:lpstr>
      <vt:lpstr>TemTag - Transaction</vt:lpstr>
      <vt:lpstr>ITI - Transaction</vt:lpstr>
      <vt:lpstr>Reinstatement-InputAndOutput</vt:lpstr>
      <vt:lpstr>PosWidth Inquiry-IP</vt:lpstr>
      <vt:lpstr>PosWidth LM_VM Inquiry-OP</vt:lpstr>
      <vt:lpstr>Positions-width Mapping-TT11</vt:lpstr>
      <vt:lpstr>Positions-width Mapping-LA-VA</vt:lpstr>
      <vt:lpstr>Positions-widthMapping 30 &amp; 37 </vt:lpstr>
      <vt:lpstr>Positions-width Mapping-38</vt:lpstr>
      <vt:lpstr>Positions-width Mapping-TT51</vt:lpstr>
      <vt:lpstr>Fields</vt:lpstr>
      <vt:lpstr>Fields!Print_Titles</vt:lpstr>
    </vt:vector>
  </TitlesOfParts>
  <Company>Dealertrack,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Guffin</dc:creator>
  <cp:lastModifiedBy>Sridhar Tangellapally</cp:lastModifiedBy>
  <cp:lastPrinted>2017-04-28T18:30:32Z</cp:lastPrinted>
  <dcterms:created xsi:type="dcterms:W3CDTF">2017-04-04T14:25:32Z</dcterms:created>
  <dcterms:modified xsi:type="dcterms:W3CDTF">2018-04-02T13:47:46Z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ffisync_ServerID">
    <vt:lpwstr>3026ae12-889e-4625-806e-80135ccdbd7b</vt:lpwstr>
  </property>
  <property fmtid="{D5CDD505-2E9C-101B-9397-08002B2CF9AE}" pid="3" name="Offisync_ProviderInitializationData">
    <vt:lpwstr>https://fuel.coxautoinc.com</vt:lpwstr>
  </property>
  <property fmtid="{D5CDD505-2E9C-101B-9397-08002B2CF9AE}" pid="4" name="Offisync_UpdateToken">
    <vt:lpwstr>1</vt:lpwstr>
  </property>
  <property fmtid="{D5CDD505-2E9C-101B-9397-08002B2CF9AE}" pid="5" name="Jive_PrevVersionNumber">
    <vt:lpwstr/>
  </property>
  <property fmtid="{D5CDD505-2E9C-101B-9397-08002B2CF9AE}" pid="6" name="Jive_LatestUserAccountName">
    <vt:lpwstr>Ramakrishna.Medipally@coxautoinc.com</vt:lpwstr>
  </property>
  <property fmtid="{D5CDD505-2E9C-101B-9397-08002B2CF9AE}" pid="7" name="Jive_LatestFileFullName">
    <vt:lpwstr/>
  </property>
  <property fmtid="{D5CDD505-2E9C-101B-9397-08002B2CF9AE}" pid="8" name="Jive_ModifiedButNotPublished">
    <vt:lpwstr>True</vt:lpwstr>
  </property>
  <property fmtid="{D5CDD505-2E9C-101B-9397-08002B2CF9AE}" pid="9" name="Offisync_UniqueId">
    <vt:lpwstr>157838</vt:lpwstr>
  </property>
  <property fmtid="{D5CDD505-2E9C-101B-9397-08002B2CF9AE}" pid="10" name="Jive_VersionGuid_v2.5">
    <vt:lpwstr/>
  </property>
  <property fmtid="{D5CDD505-2E9C-101B-9397-08002B2CF9AE}" pid="11" name="Jive_VersionGuid">
    <vt:lpwstr>88b2eb3b-57dd-4864-b7cd-a9fc9b9228e3</vt:lpwstr>
  </property>
</Properties>
</file>