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tarbucks\"/>
    </mc:Choice>
  </mc:AlternateContent>
  <bookViews>
    <workbookView xWindow="0" yWindow="0" windowWidth="20490" windowHeight="7755" tabRatio="868" firstSheet="5" activeTab="11"/>
  </bookViews>
  <sheets>
    <sheet name="Index" sheetId="16" r:id="rId1"/>
    <sheet name="Income Statement" sheetId="3" r:id="rId2"/>
    <sheet name="Balance Sheet" sheetId="4" r:id="rId3"/>
    <sheet name="Cash Flow Stat" sheetId="5" r:id="rId4"/>
    <sheet name="Ratio Analysis" sheetId="15" r:id="rId5"/>
    <sheet name="Revenue Drivers" sheetId="8" r:id="rId6"/>
    <sheet name="Cost Drivers" sheetId="9" r:id="rId7"/>
    <sheet name="Working Capital Forecast" sheetId="13" r:id="rId8"/>
    <sheet name="PPE Schedule" sheetId="11" r:id="rId9"/>
    <sheet name="Shareholders Equity Schedule" sheetId="14" r:id="rId10"/>
    <sheet name="Debt Schedule" sheetId="12" r:id="rId11"/>
    <sheet name="DCF Explanation" sheetId="17" r:id="rId12"/>
    <sheet name="DCF Valuation" sheetId="6" r:id="rId13"/>
    <sheet name="Comparables" sheetId="7" r:id="rId14"/>
  </sheets>
  <externalReferences>
    <externalReference r:id="rId15"/>
    <externalReference r:id="rId16"/>
  </externalReferences>
  <definedNames>
    <definedName name="CIQWBGuid" hidden="1">"4c07ec0d-a4bd-43e1-8f7d-edc964c69827"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41647.7127314815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IQRCOMPSE5" localSheetId="11" hidden="1">#REF!</definedName>
    <definedName name="IQRCOMPSE5" hidden="1">#REF!</definedName>
    <definedName name="wacc" localSheetId="11">'[1]DCF Valuation'!#REF!</definedName>
    <definedName name="wacc">'[1]DCF Valuation'!#REF!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6" i="11" l="1"/>
  <c r="K69" i="11"/>
  <c r="K82" i="11"/>
  <c r="K95" i="11"/>
  <c r="K108" i="11"/>
  <c r="K121" i="11"/>
  <c r="B26" i="6"/>
  <c r="B24" i="6"/>
  <c r="K10" i="6"/>
  <c r="J10" i="6"/>
  <c r="I10" i="6"/>
  <c r="H10" i="6"/>
  <c r="G10" i="6"/>
  <c r="K7" i="5" l="1"/>
  <c r="J7" i="5"/>
  <c r="I7" i="5"/>
  <c r="H7" i="5"/>
  <c r="G7" i="5"/>
  <c r="F4" i="14" l="1"/>
  <c r="E4" i="14"/>
  <c r="K24" i="5"/>
  <c r="J24" i="5"/>
  <c r="I24" i="5"/>
  <c r="H24" i="5"/>
  <c r="G24" i="5"/>
  <c r="K43" i="5"/>
  <c r="J43" i="5"/>
  <c r="I43" i="5"/>
  <c r="H43" i="5"/>
  <c r="G43" i="5"/>
  <c r="H18" i="11" l="1"/>
  <c r="I18" i="11" s="1"/>
  <c r="J18" i="11" s="1"/>
  <c r="K18" i="11" s="1"/>
  <c r="G18" i="11"/>
  <c r="K5" i="12" l="1"/>
  <c r="J5" i="12"/>
  <c r="I5" i="12"/>
  <c r="H5" i="12"/>
  <c r="K4" i="12"/>
  <c r="J4" i="12"/>
  <c r="I4" i="12"/>
  <c r="H4" i="12"/>
  <c r="G4" i="12"/>
  <c r="G5" i="12"/>
  <c r="H19" i="14" l="1"/>
  <c r="I19" i="14" s="1"/>
  <c r="J19" i="14" s="1"/>
  <c r="K19" i="14" s="1"/>
  <c r="G19" i="14"/>
  <c r="K20" i="14"/>
  <c r="J20" i="14"/>
  <c r="I20" i="14"/>
  <c r="H20" i="14"/>
  <c r="F51" i="3" l="1"/>
  <c r="E51" i="3"/>
  <c r="E49" i="3"/>
  <c r="F49" i="3"/>
  <c r="D45" i="3"/>
  <c r="E2" i="15" l="1"/>
  <c r="F2" i="15" s="1"/>
  <c r="G2" i="15" s="1"/>
  <c r="H2" i="15" s="1"/>
  <c r="I2" i="15" s="1"/>
  <c r="J2" i="15" s="1"/>
  <c r="K2" i="15" s="1"/>
  <c r="E2" i="6"/>
  <c r="F2" i="6" s="1"/>
  <c r="G2" i="6" s="1"/>
  <c r="H2" i="6" s="1"/>
  <c r="I2" i="6" s="1"/>
  <c r="J2" i="6" s="1"/>
  <c r="K2" i="6" s="1"/>
  <c r="G44" i="5" l="1"/>
  <c r="H41" i="4"/>
  <c r="I41" i="4" s="1"/>
  <c r="J41" i="4" s="1"/>
  <c r="K41" i="4" s="1"/>
  <c r="K44" i="5" s="1"/>
  <c r="G41" i="4"/>
  <c r="F17" i="4"/>
  <c r="G17" i="4" s="1"/>
  <c r="H17" i="4" s="1"/>
  <c r="I17" i="4" s="1"/>
  <c r="J17" i="4" s="1"/>
  <c r="K17" i="4" s="1"/>
  <c r="K28" i="4"/>
  <c r="J28" i="4"/>
  <c r="I28" i="4"/>
  <c r="H28" i="4"/>
  <c r="G28" i="4"/>
  <c r="B52" i="12"/>
  <c r="C52" i="12" s="1"/>
  <c r="G35" i="4" s="1"/>
  <c r="C51" i="12"/>
  <c r="D51" i="12" s="1"/>
  <c r="E51" i="12" s="1"/>
  <c r="F51" i="12" s="1"/>
  <c r="G51" i="12" s="1"/>
  <c r="H51" i="12" s="1"/>
  <c r="G37" i="4"/>
  <c r="H37" i="4" s="1"/>
  <c r="I37" i="4" s="1"/>
  <c r="J37" i="4" s="1"/>
  <c r="K37" i="4" s="1"/>
  <c r="G6" i="4"/>
  <c r="H6" i="4" s="1"/>
  <c r="I6" i="4" s="1"/>
  <c r="J6" i="4" s="1"/>
  <c r="K6" i="4" s="1"/>
  <c r="K36" i="3"/>
  <c r="J36" i="3"/>
  <c r="I36" i="3"/>
  <c r="H36" i="3"/>
  <c r="G36" i="3"/>
  <c r="G44" i="4"/>
  <c r="H44" i="4" s="1"/>
  <c r="I44" i="4" s="1"/>
  <c r="J44" i="4" s="1"/>
  <c r="K44" i="4" s="1"/>
  <c r="H19" i="4"/>
  <c r="I19" i="4" s="1"/>
  <c r="J19" i="4" s="1"/>
  <c r="K19" i="4" s="1"/>
  <c r="G19" i="4"/>
  <c r="H36" i="4"/>
  <c r="I36" i="4" s="1"/>
  <c r="J36" i="4" s="1"/>
  <c r="K36" i="4" s="1"/>
  <c r="G36" i="4"/>
  <c r="K22" i="12"/>
  <c r="H44" i="5" l="1"/>
  <c r="I44" i="5"/>
  <c r="J44" i="5"/>
  <c r="D52" i="12"/>
  <c r="E52" i="12" s="1"/>
  <c r="F52" i="12" s="1"/>
  <c r="E2" i="11"/>
  <c r="F2" i="11" s="1"/>
  <c r="G2" i="11" s="1"/>
  <c r="H2" i="11" s="1"/>
  <c r="I2" i="11" s="1"/>
  <c r="J2" i="11" s="1"/>
  <c r="K2" i="11" s="1"/>
  <c r="E2" i="14"/>
  <c r="F2" i="14" s="1"/>
  <c r="G2" i="14" s="1"/>
  <c r="H2" i="14" s="1"/>
  <c r="I2" i="14" s="1"/>
  <c r="J2" i="14" s="1"/>
  <c r="K2" i="14" s="1"/>
  <c r="E2" i="12"/>
  <c r="F2" i="12" s="1"/>
  <c r="G2" i="12" s="1"/>
  <c r="H2" i="12" s="1"/>
  <c r="I2" i="12" s="1"/>
  <c r="J2" i="12" s="1"/>
  <c r="K2" i="12" s="1"/>
  <c r="H35" i="4" l="1"/>
  <c r="I35" i="4"/>
  <c r="G52" i="12"/>
  <c r="J35" i="4"/>
  <c r="E2" i="13"/>
  <c r="F2" i="13" s="1"/>
  <c r="G2" i="13" s="1"/>
  <c r="H2" i="13" s="1"/>
  <c r="I2" i="13" s="1"/>
  <c r="J2" i="13" s="1"/>
  <c r="K2" i="13" s="1"/>
  <c r="H52" i="12" l="1"/>
  <c r="K35" i="4"/>
  <c r="E16" i="9"/>
  <c r="F16" i="9"/>
  <c r="D16" i="9"/>
  <c r="D17" i="9" s="1"/>
  <c r="E11" i="9"/>
  <c r="F11" i="9"/>
  <c r="D11" i="9"/>
  <c r="D12" i="9" s="1"/>
  <c r="E8" i="9"/>
  <c r="F8" i="9"/>
  <c r="D8" i="9"/>
  <c r="D9" i="9" s="1"/>
  <c r="E5" i="9"/>
  <c r="E20" i="9" s="1"/>
  <c r="F5" i="9"/>
  <c r="D5" i="9"/>
  <c r="D6" i="9" s="1"/>
  <c r="E2" i="9"/>
  <c r="F2" i="9" s="1"/>
  <c r="G2" i="9" s="1"/>
  <c r="H2" i="9" s="1"/>
  <c r="I2" i="9" s="1"/>
  <c r="J2" i="9" s="1"/>
  <c r="K2" i="9" s="1"/>
  <c r="K44" i="8"/>
  <c r="K43" i="8" s="1"/>
  <c r="K51" i="8"/>
  <c r="K62" i="8"/>
  <c r="K61" i="8" s="1"/>
  <c r="K69" i="8"/>
  <c r="F57" i="8"/>
  <c r="E57" i="8"/>
  <c r="E2" i="8"/>
  <c r="F2" i="8" s="1"/>
  <c r="G2" i="8" s="1"/>
  <c r="H2" i="8" s="1"/>
  <c r="I2" i="8" s="1"/>
  <c r="J2" i="8" s="1"/>
  <c r="K2" i="8" s="1"/>
  <c r="F20" i="9" l="1"/>
  <c r="K81" i="8"/>
  <c r="E49" i="5" l="1"/>
  <c r="F49" i="5"/>
  <c r="D49" i="5"/>
  <c r="K41" i="5"/>
  <c r="K42" i="5"/>
  <c r="K46" i="5"/>
  <c r="E34" i="5"/>
  <c r="F34" i="5"/>
  <c r="D34" i="5"/>
  <c r="E2" i="5"/>
  <c r="F2" i="5" s="1"/>
  <c r="G2" i="5" s="1"/>
  <c r="H2" i="5" s="1"/>
  <c r="I2" i="5" s="1"/>
  <c r="J2" i="5" s="1"/>
  <c r="K2" i="5" s="1"/>
  <c r="E2" i="3"/>
  <c r="F2" i="3" s="1"/>
  <c r="G2" i="3" s="1"/>
  <c r="H2" i="3" s="1"/>
  <c r="I2" i="3" s="1"/>
  <c r="J2" i="3" s="1"/>
  <c r="K2" i="3" s="1"/>
  <c r="E2" i="4"/>
  <c r="F2" i="4" s="1"/>
  <c r="G2" i="4" s="1"/>
  <c r="H2" i="4" s="1"/>
  <c r="I2" i="4" s="1"/>
  <c r="J2" i="4" s="1"/>
  <c r="K2" i="4" s="1"/>
  <c r="E45" i="4"/>
  <c r="E47" i="4" s="1"/>
  <c r="F45" i="4"/>
  <c r="F47" i="4" s="1"/>
  <c r="D45" i="4"/>
  <c r="D47" i="4" s="1"/>
  <c r="E32" i="4"/>
  <c r="E38" i="4" s="1"/>
  <c r="F32" i="4"/>
  <c r="F38" i="4" s="1"/>
  <c r="D32" i="4"/>
  <c r="D38" i="4" s="1"/>
  <c r="D20" i="4"/>
  <c r="E10" i="4"/>
  <c r="E20" i="4" s="1"/>
  <c r="F10" i="4"/>
  <c r="D10" i="4"/>
  <c r="D11" i="15" s="1"/>
  <c r="D48" i="4" l="1"/>
  <c r="D50" i="4" s="1"/>
  <c r="F48" i="4"/>
  <c r="E48" i="4"/>
  <c r="E50" i="4" s="1"/>
  <c r="J42" i="5" l="1"/>
  <c r="I42" i="5"/>
  <c r="H42" i="5"/>
  <c r="G42" i="5"/>
  <c r="J41" i="5"/>
  <c r="G41" i="5"/>
  <c r="G40" i="5"/>
  <c r="G31" i="4"/>
  <c r="H31" i="4" s="1"/>
  <c r="I31" i="4" s="1"/>
  <c r="J31" i="4" s="1"/>
  <c r="K31" i="4" s="1"/>
  <c r="F27" i="12"/>
  <c r="G33" i="12" l="1"/>
  <c r="F33" i="12"/>
  <c r="F6" i="3"/>
  <c r="F4" i="3"/>
  <c r="E6" i="3"/>
  <c r="E4" i="3"/>
  <c r="F29" i="12" l="1"/>
  <c r="F30" i="12" s="1"/>
  <c r="G30" i="12" s="1"/>
  <c r="H30" i="12" s="1"/>
  <c r="I30" i="12" s="1"/>
  <c r="J30" i="12" s="1"/>
  <c r="K30" i="12" s="1"/>
  <c r="F35" i="12"/>
  <c r="F34" i="12" s="1"/>
  <c r="G34" i="12" s="1"/>
  <c r="J22" i="12"/>
  <c r="I22" i="12"/>
  <c r="H22" i="12"/>
  <c r="G22" i="12"/>
  <c r="G20" i="12"/>
  <c r="H16" i="12"/>
  <c r="H15" i="12"/>
  <c r="I16" i="12" l="1"/>
  <c r="I41" i="5" s="1"/>
  <c r="H41" i="5"/>
  <c r="I15" i="12"/>
  <c r="H40" i="5"/>
  <c r="H34" i="12"/>
  <c r="G23" i="12"/>
  <c r="G14" i="12"/>
  <c r="G17" i="12" s="1"/>
  <c r="G30" i="4" s="1"/>
  <c r="J15" i="12" l="1"/>
  <c r="I40" i="5"/>
  <c r="H14" i="12"/>
  <c r="H17" i="12" s="1"/>
  <c r="H30" i="4" s="1"/>
  <c r="H20" i="12"/>
  <c r="H23" i="12" s="1"/>
  <c r="G34" i="4"/>
  <c r="I34" i="12"/>
  <c r="B114" i="11"/>
  <c r="A119" i="11"/>
  <c r="A120" i="11" s="1"/>
  <c r="A121" i="11" s="1"/>
  <c r="B101" i="11"/>
  <c r="B100" i="11"/>
  <c r="A106" i="11"/>
  <c r="A107" i="11" s="1"/>
  <c r="A108" i="11" s="1"/>
  <c r="B88" i="11"/>
  <c r="A93" i="11"/>
  <c r="A94" i="11" s="1"/>
  <c r="A95" i="11" s="1"/>
  <c r="B75" i="11"/>
  <c r="A80" i="11"/>
  <c r="A81" i="11" s="1"/>
  <c r="A82" i="11" s="1"/>
  <c r="B62" i="11"/>
  <c r="A67" i="11"/>
  <c r="A68" i="11" s="1"/>
  <c r="A69" i="11" s="1"/>
  <c r="B49" i="11"/>
  <c r="B48" i="11"/>
  <c r="A54" i="11"/>
  <c r="A55" i="11" s="1"/>
  <c r="A56" i="11" s="1"/>
  <c r="A57" i="11" s="1"/>
  <c r="F42" i="11"/>
  <c r="F41" i="11"/>
  <c r="F40" i="11"/>
  <c r="F39" i="11"/>
  <c r="F38" i="11"/>
  <c r="B35" i="11"/>
  <c r="D31" i="11" s="1"/>
  <c r="C31" i="11"/>
  <c r="B87" i="11" s="1"/>
  <c r="C30" i="11"/>
  <c r="B74" i="11" s="1"/>
  <c r="C29" i="11"/>
  <c r="B61" i="11" s="1"/>
  <c r="K75" i="11" l="1"/>
  <c r="I62" i="11"/>
  <c r="K101" i="11"/>
  <c r="K49" i="11"/>
  <c r="F45" i="11"/>
  <c r="K62" i="11"/>
  <c r="K88" i="11"/>
  <c r="J40" i="5"/>
  <c r="K15" i="12"/>
  <c r="H49" i="11"/>
  <c r="J101" i="11"/>
  <c r="G88" i="11"/>
  <c r="I20" i="12"/>
  <c r="I23" i="12" s="1"/>
  <c r="H34" i="4"/>
  <c r="G27" i="12"/>
  <c r="I14" i="12"/>
  <c r="I17" i="12" s="1"/>
  <c r="I30" i="4" s="1"/>
  <c r="D28" i="11"/>
  <c r="I49" i="11"/>
  <c r="D34" i="11"/>
  <c r="D30" i="11"/>
  <c r="C33" i="11"/>
  <c r="B113" i="11" s="1"/>
  <c r="I114" i="11" s="1"/>
  <c r="D32" i="11"/>
  <c r="I101" i="11"/>
  <c r="H62" i="11"/>
  <c r="D29" i="11"/>
  <c r="D33" i="11"/>
  <c r="J49" i="11"/>
  <c r="G101" i="11"/>
  <c r="G49" i="11"/>
  <c r="H75" i="11"/>
  <c r="H101" i="11"/>
  <c r="I75" i="11"/>
  <c r="J34" i="12"/>
  <c r="K34" i="12" s="1"/>
  <c r="J114" i="11"/>
  <c r="G114" i="11"/>
  <c r="H88" i="11"/>
  <c r="I88" i="11"/>
  <c r="J88" i="11"/>
  <c r="J75" i="11"/>
  <c r="G75" i="11"/>
  <c r="J62" i="11"/>
  <c r="G62" i="11"/>
  <c r="K40" i="5" l="1"/>
  <c r="K114" i="11"/>
  <c r="H114" i="11"/>
  <c r="J14" i="12"/>
  <c r="J17" i="12" s="1"/>
  <c r="J30" i="4" s="1"/>
  <c r="J20" i="12"/>
  <c r="J23" i="12" s="1"/>
  <c r="I34" i="4"/>
  <c r="I51" i="8"/>
  <c r="H51" i="8"/>
  <c r="J51" i="8"/>
  <c r="F81" i="8"/>
  <c r="G77" i="8"/>
  <c r="G73" i="8"/>
  <c r="H74" i="8"/>
  <c r="I74" i="8" s="1"/>
  <c r="J74" i="8" s="1"/>
  <c r="K74" i="8" s="1"/>
  <c r="F74" i="8"/>
  <c r="J69" i="8"/>
  <c r="I69" i="8"/>
  <c r="H69" i="8"/>
  <c r="G69" i="8"/>
  <c r="G68" i="8" s="1"/>
  <c r="J62" i="8"/>
  <c r="J61" i="8" s="1"/>
  <c r="I62" i="8"/>
  <c r="I61" i="8" s="1"/>
  <c r="H62" i="8"/>
  <c r="H61" i="8" s="1"/>
  <c r="G62" i="8"/>
  <c r="G61" i="8" s="1"/>
  <c r="G60" i="8" s="1"/>
  <c r="G55" i="8"/>
  <c r="H55" i="8" s="1"/>
  <c r="I55" i="8" s="1"/>
  <c r="J55" i="8" s="1"/>
  <c r="K55" i="8" s="1"/>
  <c r="F56" i="8"/>
  <c r="G51" i="8"/>
  <c r="G50" i="8" s="1"/>
  <c r="J44" i="8"/>
  <c r="J43" i="8" s="1"/>
  <c r="J81" i="8" s="1"/>
  <c r="I44" i="8"/>
  <c r="I43" i="8" s="1"/>
  <c r="I81" i="8" s="1"/>
  <c r="H44" i="8"/>
  <c r="H43" i="8" s="1"/>
  <c r="G44" i="8"/>
  <c r="G43" i="8" s="1"/>
  <c r="F47" i="8"/>
  <c r="F53" i="8"/>
  <c r="F69" i="8"/>
  <c r="F70" i="8" s="1"/>
  <c r="F65" i="8"/>
  <c r="F61" i="8"/>
  <c r="E75" i="8"/>
  <c r="F75" i="8"/>
  <c r="F83" i="8" s="1"/>
  <c r="F51" i="8"/>
  <c r="F43" i="8"/>
  <c r="F48" i="8" s="1"/>
  <c r="G75" i="8" l="1"/>
  <c r="G5" i="3" s="1"/>
  <c r="H50" i="8"/>
  <c r="F52" i="8"/>
  <c r="I50" i="8"/>
  <c r="J50" i="8" s="1"/>
  <c r="K50" i="8" s="1"/>
  <c r="H77" i="8"/>
  <c r="I77" i="8" s="1"/>
  <c r="K14" i="12"/>
  <c r="K17" i="12" s="1"/>
  <c r="K30" i="4" s="1"/>
  <c r="J34" i="4"/>
  <c r="K20" i="12"/>
  <c r="K23" i="12" s="1"/>
  <c r="K34" i="4" s="1"/>
  <c r="E5" i="3"/>
  <c r="E83" i="8"/>
  <c r="F66" i="8"/>
  <c r="H68" i="8"/>
  <c r="I68" i="8" s="1"/>
  <c r="J68" i="8" s="1"/>
  <c r="K68" i="8" s="1"/>
  <c r="H73" i="8"/>
  <c r="I73" i="8" s="1"/>
  <c r="J73" i="8" s="1"/>
  <c r="K73" i="8" s="1"/>
  <c r="H60" i="8"/>
  <c r="I60" i="8" s="1"/>
  <c r="F5" i="3"/>
  <c r="G81" i="8"/>
  <c r="G80" i="8" s="1"/>
  <c r="G6" i="3" s="1"/>
  <c r="G42" i="8"/>
  <c r="G57" i="8" s="1"/>
  <c r="H81" i="8"/>
  <c r="E16" i="15"/>
  <c r="D16" i="15"/>
  <c r="E12" i="15"/>
  <c r="D12" i="15"/>
  <c r="E11" i="15"/>
  <c r="C4" i="7"/>
  <c r="O12" i="6"/>
  <c r="O9" i="6"/>
  <c r="H14" i="6"/>
  <c r="I14" i="6" s="1"/>
  <c r="J14" i="6" s="1"/>
  <c r="K14" i="6" s="1"/>
  <c r="J46" i="5"/>
  <c r="F20" i="4"/>
  <c r="G83" i="8" l="1"/>
  <c r="G84" i="8" s="1"/>
  <c r="K27" i="12"/>
  <c r="K29" i="12" s="1"/>
  <c r="K34" i="3" s="1"/>
  <c r="K6" i="6" s="1"/>
  <c r="K3" i="12"/>
  <c r="F84" i="8"/>
  <c r="H75" i="8"/>
  <c r="H5" i="3" s="1"/>
  <c r="H80" i="8"/>
  <c r="G4" i="3"/>
  <c r="J77" i="8"/>
  <c r="H42" i="8"/>
  <c r="J60" i="8"/>
  <c r="I75" i="8"/>
  <c r="I5" i="3" s="1"/>
  <c r="F16" i="15"/>
  <c r="F50" i="4"/>
  <c r="G4" i="14"/>
  <c r="G28" i="5"/>
  <c r="G29" i="5"/>
  <c r="G9" i="6" l="1"/>
  <c r="G12" i="4"/>
  <c r="J75" i="8"/>
  <c r="J5" i="3" s="1"/>
  <c r="K60" i="8"/>
  <c r="K75" i="8" s="1"/>
  <c r="K5" i="3" s="1"/>
  <c r="K77" i="8"/>
  <c r="I42" i="8"/>
  <c r="I57" i="8" s="1"/>
  <c r="H57" i="8"/>
  <c r="H83" i="8" s="1"/>
  <c r="H84" i="8" s="1"/>
  <c r="I80" i="8"/>
  <c r="H6" i="3"/>
  <c r="F11" i="15"/>
  <c r="F12" i="15"/>
  <c r="E33" i="3"/>
  <c r="F33" i="3"/>
  <c r="G47" i="5"/>
  <c r="I46" i="5"/>
  <c r="H46" i="5"/>
  <c r="G46" i="5"/>
  <c r="G29" i="12"/>
  <c r="G34" i="3" s="1"/>
  <c r="H29" i="5"/>
  <c r="I29" i="5" s="1"/>
  <c r="J29" i="5" s="1"/>
  <c r="K29" i="5" s="1"/>
  <c r="F19" i="13"/>
  <c r="E19" i="13"/>
  <c r="D19" i="13"/>
  <c r="G11" i="5"/>
  <c r="I83" i="8" l="1"/>
  <c r="I84" i="8" s="1"/>
  <c r="J42" i="8"/>
  <c r="H4" i="3"/>
  <c r="J80" i="8"/>
  <c r="I6" i="3"/>
  <c r="I4" i="3"/>
  <c r="H47" i="5"/>
  <c r="I47" i="5" s="1"/>
  <c r="J47" i="5" s="1"/>
  <c r="K47" i="5" s="1"/>
  <c r="G42" i="4"/>
  <c r="H11" i="5"/>
  <c r="I11" i="5" s="1"/>
  <c r="J11" i="5" s="1"/>
  <c r="K11" i="5" s="1"/>
  <c r="G23" i="5"/>
  <c r="H28" i="5"/>
  <c r="H9" i="6" s="1"/>
  <c r="F4" i="12"/>
  <c r="E4" i="12"/>
  <c r="D4" i="12"/>
  <c r="F3" i="12"/>
  <c r="E3" i="12"/>
  <c r="D3" i="12"/>
  <c r="F22" i="14"/>
  <c r="F19" i="14"/>
  <c r="G9" i="14"/>
  <c r="H9" i="14" l="1"/>
  <c r="I9" i="14" s="1"/>
  <c r="J9" i="14" s="1"/>
  <c r="K9" i="14" s="1"/>
  <c r="G20" i="14"/>
  <c r="G54" i="3"/>
  <c r="H12" i="4"/>
  <c r="J6" i="3"/>
  <c r="K80" i="8"/>
  <c r="K6" i="3" s="1"/>
  <c r="J57" i="8"/>
  <c r="K42" i="8"/>
  <c r="K57" i="8" s="1"/>
  <c r="H42" i="4"/>
  <c r="I42" i="4" s="1"/>
  <c r="E5" i="12"/>
  <c r="H23" i="5"/>
  <c r="I28" i="5"/>
  <c r="D5" i="12"/>
  <c r="F5" i="12"/>
  <c r="F21" i="14"/>
  <c r="G21" i="14" s="1"/>
  <c r="H21" i="14" s="1"/>
  <c r="I21" i="14" s="1"/>
  <c r="J21" i="14" s="1"/>
  <c r="K21" i="14" s="1"/>
  <c r="F17" i="13"/>
  <c r="E17" i="13"/>
  <c r="D17" i="13"/>
  <c r="B17" i="13"/>
  <c r="G26" i="4"/>
  <c r="H26" i="4" s="1"/>
  <c r="I26" i="4" s="1"/>
  <c r="J26" i="4" s="1"/>
  <c r="G15" i="4"/>
  <c r="G18" i="4"/>
  <c r="H18" i="4" s="1"/>
  <c r="I18" i="4" s="1"/>
  <c r="J18" i="4" s="1"/>
  <c r="K18" i="4" s="1"/>
  <c r="G16" i="4"/>
  <c r="F20" i="11"/>
  <c r="F22" i="11" s="1"/>
  <c r="E20" i="11"/>
  <c r="E22" i="11" s="1"/>
  <c r="E23" i="11" s="1"/>
  <c r="D20" i="11"/>
  <c r="D22" i="11" s="1"/>
  <c r="E16" i="14"/>
  <c r="F16" i="14"/>
  <c r="C9" i="7" s="1"/>
  <c r="E7" i="14"/>
  <c r="F6" i="14"/>
  <c r="E6" i="14"/>
  <c r="D7" i="14"/>
  <c r="D6" i="14"/>
  <c r="E28" i="8"/>
  <c r="D37" i="8"/>
  <c r="D35" i="8"/>
  <c r="E37" i="8"/>
  <c r="E35" i="8"/>
  <c r="H15" i="4" l="1"/>
  <c r="H13" i="5" s="1"/>
  <c r="G13" i="5"/>
  <c r="I12" i="4"/>
  <c r="J12" i="4" s="1"/>
  <c r="K26" i="4"/>
  <c r="J4" i="3"/>
  <c r="J83" i="8"/>
  <c r="J84" i="8" s="1"/>
  <c r="K83" i="8"/>
  <c r="K4" i="3"/>
  <c r="K7" i="3" s="1"/>
  <c r="I9" i="6"/>
  <c r="J28" i="5"/>
  <c r="J42" i="4"/>
  <c r="G22" i="14"/>
  <c r="G55" i="3" s="1"/>
  <c r="O10" i="6"/>
  <c r="H16" i="4"/>
  <c r="I22" i="14"/>
  <c r="I55" i="3" s="1"/>
  <c r="H54" i="3"/>
  <c r="H22" i="14"/>
  <c r="H55" i="3" s="1"/>
  <c r="F15" i="13"/>
  <c r="E15" i="13"/>
  <c r="F13" i="13"/>
  <c r="E13" i="13"/>
  <c r="F11" i="13"/>
  <c r="E11" i="13"/>
  <c r="F9" i="13"/>
  <c r="E9" i="13"/>
  <c r="F7" i="13"/>
  <c r="E7" i="13"/>
  <c r="D15" i="13"/>
  <c r="D13" i="13"/>
  <c r="D11" i="13"/>
  <c r="D9" i="13"/>
  <c r="D7" i="13"/>
  <c r="B15" i="13"/>
  <c r="B13" i="13"/>
  <c r="B11" i="13"/>
  <c r="B9" i="13"/>
  <c r="B7" i="13"/>
  <c r="G3" i="12"/>
  <c r="F23" i="11"/>
  <c r="D17" i="11"/>
  <c r="F17" i="11"/>
  <c r="E17" i="11"/>
  <c r="D33" i="3"/>
  <c r="F38" i="8"/>
  <c r="J29" i="8"/>
  <c r="J28" i="8" s="1"/>
  <c r="I29" i="8"/>
  <c r="I28" i="8" s="1"/>
  <c r="H29" i="8"/>
  <c r="H28" i="8" s="1"/>
  <c r="G29" i="8"/>
  <c r="F29" i="8"/>
  <c r="F28" i="8" s="1"/>
  <c r="G36" i="8"/>
  <c r="H36" i="8" s="1"/>
  <c r="G34" i="8"/>
  <c r="H34" i="8" s="1"/>
  <c r="G33" i="8"/>
  <c r="G32" i="8"/>
  <c r="F37" i="8"/>
  <c r="F35" i="8"/>
  <c r="F8" i="8"/>
  <c r="E8" i="8"/>
  <c r="D8" i="8"/>
  <c r="F36" i="3"/>
  <c r="E36" i="3"/>
  <c r="D36" i="3"/>
  <c r="F35" i="3"/>
  <c r="E35" i="3"/>
  <c r="D35" i="3"/>
  <c r="F14" i="3"/>
  <c r="F5" i="13" s="1"/>
  <c r="E14" i="3"/>
  <c r="D14" i="3"/>
  <c r="F7" i="3"/>
  <c r="F3" i="9" s="1"/>
  <c r="E7" i="3"/>
  <c r="E3" i="9" s="1"/>
  <c r="I15" i="4" l="1"/>
  <c r="I13" i="5"/>
  <c r="K84" i="8"/>
  <c r="K3" i="9"/>
  <c r="K11" i="11"/>
  <c r="K3" i="13"/>
  <c r="F12" i="9"/>
  <c r="G12" i="9" s="1"/>
  <c r="H12" i="9" s="1"/>
  <c r="F17" i="9"/>
  <c r="F6" i="9"/>
  <c r="G6" i="9" s="1"/>
  <c r="F9" i="9"/>
  <c r="G9" i="9" s="1"/>
  <c r="H9" i="9" s="1"/>
  <c r="E17" i="9"/>
  <c r="E6" i="9"/>
  <c r="E9" i="9"/>
  <c r="E12" i="9"/>
  <c r="J9" i="6"/>
  <c r="K28" i="5"/>
  <c r="K9" i="6" s="1"/>
  <c r="K42" i="4"/>
  <c r="F22" i="13"/>
  <c r="D22" i="13"/>
  <c r="E22" i="13"/>
  <c r="I16" i="4"/>
  <c r="H27" i="12"/>
  <c r="H29" i="12" s="1"/>
  <c r="H34" i="3" s="1"/>
  <c r="G6" i="6"/>
  <c r="C8" i="7"/>
  <c r="E8" i="3"/>
  <c r="D16" i="3"/>
  <c r="D24" i="3" s="1"/>
  <c r="D28" i="3" s="1"/>
  <c r="I23" i="5"/>
  <c r="I36" i="8"/>
  <c r="I34" i="8"/>
  <c r="G28" i="8"/>
  <c r="G27" i="8" s="1"/>
  <c r="G38" i="8" s="1"/>
  <c r="F21" i="3"/>
  <c r="F22" i="3" s="1"/>
  <c r="I54" i="3"/>
  <c r="D11" i="11"/>
  <c r="D18" i="11" s="1"/>
  <c r="D3" i="13"/>
  <c r="D15" i="3"/>
  <c r="D5" i="13"/>
  <c r="D10" i="13" s="1"/>
  <c r="D21" i="3"/>
  <c r="D22" i="3" s="1"/>
  <c r="E16" i="3"/>
  <c r="E24" i="3" s="1"/>
  <c r="E26" i="3" s="1"/>
  <c r="E3" i="13"/>
  <c r="E11" i="11"/>
  <c r="E18" i="11" s="1"/>
  <c r="E15" i="3"/>
  <c r="E5" i="13"/>
  <c r="E16" i="13" s="1"/>
  <c r="E21" i="3"/>
  <c r="E22" i="3" s="1"/>
  <c r="F16" i="3"/>
  <c r="F24" i="3" s="1"/>
  <c r="F3" i="13"/>
  <c r="F18" i="13" s="1"/>
  <c r="G18" i="13" s="1"/>
  <c r="H18" i="13" s="1"/>
  <c r="I18" i="13" s="1"/>
  <c r="J18" i="13" s="1"/>
  <c r="K18" i="13" s="1"/>
  <c r="F11" i="11"/>
  <c r="F18" i="11" s="1"/>
  <c r="F16" i="13"/>
  <c r="G16" i="13" s="1"/>
  <c r="F10" i="13"/>
  <c r="G10" i="13" s="1"/>
  <c r="F14" i="13"/>
  <c r="G14" i="13" s="1"/>
  <c r="F15" i="3"/>
  <c r="F8" i="3"/>
  <c r="F26" i="3" l="1"/>
  <c r="J15" i="4"/>
  <c r="J13" i="5"/>
  <c r="K12" i="4"/>
  <c r="K17" i="13"/>
  <c r="K29" i="4" s="1"/>
  <c r="J16" i="4"/>
  <c r="K22" i="14"/>
  <c r="K55" i="3" s="1"/>
  <c r="K54" i="3"/>
  <c r="J23" i="5"/>
  <c r="K23" i="5"/>
  <c r="E10" i="13"/>
  <c r="H6" i="9"/>
  <c r="I6" i="9" s="1"/>
  <c r="I9" i="9"/>
  <c r="D14" i="13"/>
  <c r="D16" i="13"/>
  <c r="G17" i="9"/>
  <c r="F17" i="3"/>
  <c r="F5" i="15" s="1"/>
  <c r="D17" i="3"/>
  <c r="D5" i="15" s="1"/>
  <c r="J27" i="12"/>
  <c r="J29" i="12" s="1"/>
  <c r="J34" i="3" s="1"/>
  <c r="I27" i="12"/>
  <c r="I29" i="12" s="1"/>
  <c r="I34" i="3" s="1"/>
  <c r="H27" i="8"/>
  <c r="I27" i="8" s="1"/>
  <c r="E18" i="13"/>
  <c r="F4" i="13"/>
  <c r="D25" i="3"/>
  <c r="D6" i="15" s="1"/>
  <c r="D37" i="3"/>
  <c r="D40" i="3" s="1"/>
  <c r="D29" i="3"/>
  <c r="D7" i="15" s="1"/>
  <c r="D15" i="15"/>
  <c r="D62" i="5"/>
  <c r="D18" i="13"/>
  <c r="E4" i="13"/>
  <c r="D12" i="13"/>
  <c r="G7" i="3"/>
  <c r="G3" i="13" s="1"/>
  <c r="J34" i="8"/>
  <c r="J36" i="8"/>
  <c r="H3" i="12"/>
  <c r="H6" i="6" s="1"/>
  <c r="F12" i="13"/>
  <c r="G12" i="13" s="1"/>
  <c r="H12" i="13" s="1"/>
  <c r="D8" i="13"/>
  <c r="I3" i="12"/>
  <c r="E24" i="13"/>
  <c r="E17" i="3"/>
  <c r="E5" i="15" s="1"/>
  <c r="E14" i="13"/>
  <c r="J54" i="3"/>
  <c r="J22" i="14"/>
  <c r="J55" i="3" s="1"/>
  <c r="F8" i="13"/>
  <c r="G8" i="13" s="1"/>
  <c r="H8" i="13" s="1"/>
  <c r="E12" i="13"/>
  <c r="E8" i="13"/>
  <c r="F24" i="13"/>
  <c r="H14" i="13"/>
  <c r="H10" i="13"/>
  <c r="H16" i="13"/>
  <c r="I12" i="9"/>
  <c r="E37" i="3"/>
  <c r="E42" i="3" s="1"/>
  <c r="E4" i="5" s="1"/>
  <c r="E25" i="5" s="1"/>
  <c r="E28" i="3"/>
  <c r="E30" i="3" s="1"/>
  <c r="E25" i="3"/>
  <c r="E6" i="15" s="1"/>
  <c r="F25" i="3"/>
  <c r="F6" i="15" s="1"/>
  <c r="F37" i="3"/>
  <c r="F42" i="3" s="1"/>
  <c r="F4" i="5" s="1"/>
  <c r="F25" i="5" s="1"/>
  <c r="F28" i="3"/>
  <c r="F30" i="3" s="1"/>
  <c r="K15" i="4" l="1"/>
  <c r="K13" i="5"/>
  <c r="K16" i="4"/>
  <c r="G8" i="3"/>
  <c r="G23" i="3" s="1"/>
  <c r="G8" i="5" s="1"/>
  <c r="G9" i="5" s="1"/>
  <c r="G3" i="9"/>
  <c r="G16" i="9" s="1"/>
  <c r="G20" i="3" s="1"/>
  <c r="H17" i="9"/>
  <c r="I17" i="9" s="1"/>
  <c r="J9" i="9"/>
  <c r="H38" i="8"/>
  <c r="E36" i="5"/>
  <c r="E52" i="5"/>
  <c r="F36" i="5"/>
  <c r="F52" i="5"/>
  <c r="D42" i="3"/>
  <c r="D8" i="15" s="1"/>
  <c r="I6" i="6"/>
  <c r="F29" i="3"/>
  <c r="F7" i="15" s="1"/>
  <c r="C7" i="7"/>
  <c r="F15" i="15"/>
  <c r="F62" i="5"/>
  <c r="E29" i="3"/>
  <c r="E7" i="15" s="1"/>
  <c r="E15" i="15"/>
  <c r="E62" i="5"/>
  <c r="D8" i="7"/>
  <c r="G4" i="13"/>
  <c r="G19" i="13" s="1"/>
  <c r="G27" i="4" s="1"/>
  <c r="G20" i="5" s="1"/>
  <c r="G11" i="11"/>
  <c r="G17" i="11" s="1"/>
  <c r="J3" i="12"/>
  <c r="J6" i="6" s="1"/>
  <c r="H7" i="3"/>
  <c r="J27" i="8"/>
  <c r="I38" i="8"/>
  <c r="I16" i="13"/>
  <c r="J16" i="13" s="1"/>
  <c r="K16" i="13" s="1"/>
  <c r="I12" i="13"/>
  <c r="I10" i="13"/>
  <c r="I14" i="13"/>
  <c r="J14" i="13" s="1"/>
  <c r="K14" i="13" s="1"/>
  <c r="I8" i="13"/>
  <c r="J6" i="9"/>
  <c r="J12" i="9"/>
  <c r="F8" i="15"/>
  <c r="F40" i="3"/>
  <c r="E40" i="3"/>
  <c r="E8" i="15"/>
  <c r="H3" i="9" l="1"/>
  <c r="H11" i="9" s="1"/>
  <c r="H13" i="3" s="1"/>
  <c r="H3" i="13"/>
  <c r="G7" i="13"/>
  <c r="G7" i="4" s="1"/>
  <c r="K6" i="9"/>
  <c r="K5" i="9" s="1"/>
  <c r="K11" i="3" s="1"/>
  <c r="H8" i="9"/>
  <c r="H12" i="3" s="1"/>
  <c r="K12" i="9"/>
  <c r="G8" i="9"/>
  <c r="G12" i="3" s="1"/>
  <c r="G11" i="9"/>
  <c r="G13" i="3" s="1"/>
  <c r="G5" i="9"/>
  <c r="G11" i="3" s="1"/>
  <c r="K9" i="9"/>
  <c r="G11" i="13"/>
  <c r="G9" i="4" s="1"/>
  <c r="G19" i="5" s="1"/>
  <c r="G17" i="13"/>
  <c r="G29" i="4" s="1"/>
  <c r="D4" i="5"/>
  <c r="D44" i="3"/>
  <c r="D5" i="14" s="1"/>
  <c r="G40" i="3"/>
  <c r="H40" i="3" s="1"/>
  <c r="I40" i="3" s="1"/>
  <c r="J40" i="3" s="1"/>
  <c r="K40" i="3" s="1"/>
  <c r="O13" i="6"/>
  <c r="D13" i="6" s="1"/>
  <c r="G13" i="11"/>
  <c r="G42" i="11"/>
  <c r="G38" i="11"/>
  <c r="G41" i="11"/>
  <c r="G40" i="11"/>
  <c r="G43" i="11"/>
  <c r="G44" i="11"/>
  <c r="G39" i="11"/>
  <c r="G31" i="5"/>
  <c r="G34" i="5" s="1"/>
  <c r="H11" i="11"/>
  <c r="E8" i="7"/>
  <c r="G13" i="4"/>
  <c r="E44" i="3"/>
  <c r="E46" i="3" s="1"/>
  <c r="F44" i="3"/>
  <c r="K17" i="11"/>
  <c r="J38" i="8"/>
  <c r="H8" i="3"/>
  <c r="H23" i="3" s="1"/>
  <c r="H8" i="5" s="1"/>
  <c r="H9" i="5" s="1"/>
  <c r="I7" i="3"/>
  <c r="J12" i="13"/>
  <c r="K12" i="13" s="1"/>
  <c r="K11" i="13" s="1"/>
  <c r="K9" i="4" s="1"/>
  <c r="J10" i="13"/>
  <c r="K10" i="13" s="1"/>
  <c r="J8" i="13"/>
  <c r="K8" i="13" s="1"/>
  <c r="K7" i="13" s="1"/>
  <c r="J17" i="9"/>
  <c r="F46" i="3" l="1"/>
  <c r="F5" i="14"/>
  <c r="F12" i="14" s="1"/>
  <c r="F45" i="3"/>
  <c r="E5" i="14"/>
  <c r="E45" i="3"/>
  <c r="H16" i="9"/>
  <c r="H20" i="3" s="1"/>
  <c r="H5" i="9"/>
  <c r="H11" i="3" s="1"/>
  <c r="G14" i="3"/>
  <c r="G5" i="13" s="1"/>
  <c r="G9" i="13" s="1"/>
  <c r="G8" i="4" s="1"/>
  <c r="G18" i="5" s="1"/>
  <c r="D25" i="5"/>
  <c r="D52" i="5" s="1"/>
  <c r="D56" i="5" s="1"/>
  <c r="E55" i="5" s="1"/>
  <c r="E56" i="5" s="1"/>
  <c r="F55" i="5" s="1"/>
  <c r="F56" i="5" s="1"/>
  <c r="G55" i="5" s="1"/>
  <c r="I3" i="9"/>
  <c r="I5" i="9" s="1"/>
  <c r="I11" i="3" s="1"/>
  <c r="I3" i="13"/>
  <c r="K39" i="11"/>
  <c r="B70" i="11" s="1"/>
  <c r="K70" i="11" s="1"/>
  <c r="K40" i="11"/>
  <c r="B83" i="11" s="1"/>
  <c r="K83" i="11" s="1"/>
  <c r="K41" i="11"/>
  <c r="B96" i="11" s="1"/>
  <c r="K96" i="11" s="1"/>
  <c r="K38" i="11"/>
  <c r="K43" i="11"/>
  <c r="B122" i="11" s="1"/>
  <c r="K122" i="11" s="1"/>
  <c r="K44" i="11"/>
  <c r="K42" i="11"/>
  <c r="B109" i="11" s="1"/>
  <c r="K109" i="11" s="1"/>
  <c r="K31" i="5"/>
  <c r="K7" i="4"/>
  <c r="K17" i="9"/>
  <c r="K11" i="9"/>
  <c r="K13" i="3" s="1"/>
  <c r="K8" i="9"/>
  <c r="K12" i="3" s="1"/>
  <c r="D50" i="3"/>
  <c r="D48" i="3"/>
  <c r="F50" i="3"/>
  <c r="F48" i="3"/>
  <c r="E48" i="3"/>
  <c r="E15" i="14" s="1"/>
  <c r="E17" i="14" s="1"/>
  <c r="E50" i="3"/>
  <c r="G45" i="11"/>
  <c r="G8" i="6"/>
  <c r="H17" i="11"/>
  <c r="H13" i="11" s="1"/>
  <c r="G17" i="5"/>
  <c r="H13" i="4"/>
  <c r="H17" i="13"/>
  <c r="H29" i="4" s="1"/>
  <c r="H4" i="13"/>
  <c r="H19" i="13" s="1"/>
  <c r="I11" i="11"/>
  <c r="J7" i="3"/>
  <c r="H14" i="3"/>
  <c r="H5" i="13" s="1"/>
  <c r="H7" i="13"/>
  <c r="H7" i="4" s="1"/>
  <c r="H11" i="13"/>
  <c r="H9" i="4" s="1"/>
  <c r="I8" i="3"/>
  <c r="I23" i="3" s="1"/>
  <c r="I8" i="5" s="1"/>
  <c r="I9" i="5" s="1"/>
  <c r="G15" i="3" l="1"/>
  <c r="G16" i="3"/>
  <c r="G17" i="3" s="1"/>
  <c r="G5" i="15" s="1"/>
  <c r="K34" i="5"/>
  <c r="K8" i="6"/>
  <c r="K14" i="3"/>
  <c r="K5" i="13" s="1"/>
  <c r="K15" i="13" s="1"/>
  <c r="K25" i="4" s="1"/>
  <c r="I16" i="9"/>
  <c r="I20" i="3" s="1"/>
  <c r="I8" i="9"/>
  <c r="I12" i="3" s="1"/>
  <c r="D36" i="5"/>
  <c r="J3" i="9"/>
  <c r="J16" i="9" s="1"/>
  <c r="J20" i="3" s="1"/>
  <c r="J3" i="13"/>
  <c r="K4" i="13" s="1"/>
  <c r="I11" i="9"/>
  <c r="I13" i="3" s="1"/>
  <c r="K45" i="11"/>
  <c r="K16" i="9"/>
  <c r="G13" i="13"/>
  <c r="G24" i="4" s="1"/>
  <c r="G21" i="5" s="1"/>
  <c r="G15" i="13"/>
  <c r="G25" i="4" s="1"/>
  <c r="J11" i="11"/>
  <c r="J17" i="11" s="1"/>
  <c r="K8" i="3"/>
  <c r="F15" i="14"/>
  <c r="F17" i="14" s="1"/>
  <c r="G17" i="14" s="1"/>
  <c r="H17" i="14" s="1"/>
  <c r="I17" i="14" s="1"/>
  <c r="J17" i="14" s="1"/>
  <c r="K17" i="14" s="1"/>
  <c r="C6" i="7"/>
  <c r="H31" i="5"/>
  <c r="H34" i="5" s="1"/>
  <c r="H41" i="11"/>
  <c r="H38" i="11"/>
  <c r="H39" i="11"/>
  <c r="H40" i="11"/>
  <c r="H42" i="11"/>
  <c r="H43" i="11"/>
  <c r="H44" i="11"/>
  <c r="H19" i="5"/>
  <c r="H27" i="4"/>
  <c r="H20" i="5" s="1"/>
  <c r="I17" i="13"/>
  <c r="I29" i="4" s="1"/>
  <c r="I4" i="13"/>
  <c r="I19" i="13" s="1"/>
  <c r="I13" i="4"/>
  <c r="I17" i="11"/>
  <c r="H13" i="13"/>
  <c r="H24" i="4" s="1"/>
  <c r="H15" i="3"/>
  <c r="H16" i="3"/>
  <c r="J8" i="3"/>
  <c r="J23" i="3" s="1"/>
  <c r="J8" i="5" s="1"/>
  <c r="J9" i="5" s="1"/>
  <c r="I11" i="13"/>
  <c r="I7" i="13"/>
  <c r="I7" i="4" s="1"/>
  <c r="I14" i="3" l="1"/>
  <c r="I5" i="13" s="1"/>
  <c r="K15" i="3"/>
  <c r="H8" i="6"/>
  <c r="K9" i="13"/>
  <c r="K8" i="4" s="1"/>
  <c r="K16" i="3"/>
  <c r="K17" i="3" s="1"/>
  <c r="K5" i="15" s="1"/>
  <c r="K13" i="13"/>
  <c r="K24" i="4" s="1"/>
  <c r="J8" i="9"/>
  <c r="J12" i="3" s="1"/>
  <c r="J5" i="9"/>
  <c r="J11" i="3" s="1"/>
  <c r="J11" i="9"/>
  <c r="J13" i="3" s="1"/>
  <c r="K20" i="3"/>
  <c r="G22" i="13"/>
  <c r="G24" i="13" s="1"/>
  <c r="G32" i="4"/>
  <c r="G38" i="4" s="1"/>
  <c r="K23" i="3"/>
  <c r="J31" i="5"/>
  <c r="J43" i="11"/>
  <c r="J39" i="11"/>
  <c r="J40" i="11"/>
  <c r="J41" i="11"/>
  <c r="J42" i="11"/>
  <c r="J44" i="11"/>
  <c r="J38" i="11"/>
  <c r="I42" i="11"/>
  <c r="I38" i="11"/>
  <c r="I43" i="11"/>
  <c r="I44" i="11"/>
  <c r="I39" i="11"/>
  <c r="I40" i="11"/>
  <c r="I41" i="11"/>
  <c r="H45" i="11"/>
  <c r="J13" i="4"/>
  <c r="H15" i="13"/>
  <c r="H25" i="4" s="1"/>
  <c r="I9" i="4"/>
  <c r="I19" i="5" s="1"/>
  <c r="H21" i="5"/>
  <c r="J17" i="13"/>
  <c r="J29" i="4" s="1"/>
  <c r="J4" i="13"/>
  <c r="J19" i="13" s="1"/>
  <c r="I13" i="11"/>
  <c r="I31" i="5"/>
  <c r="I34" i="5" s="1"/>
  <c r="H17" i="5"/>
  <c r="I27" i="4"/>
  <c r="I20" i="5" s="1"/>
  <c r="H9" i="13"/>
  <c r="H8" i="4" s="1"/>
  <c r="I17" i="5"/>
  <c r="J11" i="13"/>
  <c r="J7" i="13"/>
  <c r="J7" i="4" s="1"/>
  <c r="I9" i="13"/>
  <c r="I8" i="4" s="1"/>
  <c r="I15" i="13"/>
  <c r="I25" i="4" s="1"/>
  <c r="I13" i="13"/>
  <c r="I24" i="4" s="1"/>
  <c r="H17" i="3"/>
  <c r="H5" i="15" s="1"/>
  <c r="I15" i="3"/>
  <c r="I16" i="3"/>
  <c r="J14" i="3" l="1"/>
  <c r="J5" i="13" s="1"/>
  <c r="J9" i="13" s="1"/>
  <c r="J8" i="4" s="1"/>
  <c r="K17" i="5"/>
  <c r="B53" i="11" a="1"/>
  <c r="B53" i="11" s="1"/>
  <c r="J27" i="4"/>
  <c r="K19" i="13"/>
  <c r="I32" i="4"/>
  <c r="I38" i="4" s="1"/>
  <c r="K8" i="5"/>
  <c r="K9" i="5" s="1"/>
  <c r="K13" i="4" s="1"/>
  <c r="J8" i="6"/>
  <c r="J34" i="5"/>
  <c r="H32" i="4"/>
  <c r="H38" i="4" s="1"/>
  <c r="B92" i="11" a="1"/>
  <c r="B93" i="11" s="1"/>
  <c r="K93" i="11" s="1"/>
  <c r="B105" i="11" a="1"/>
  <c r="B106" i="11" s="1"/>
  <c r="K106" i="11" s="1"/>
  <c r="B118" i="11" a="1"/>
  <c r="B118" i="11" s="1"/>
  <c r="K118" i="11" s="1"/>
  <c r="B66" i="11" a="1"/>
  <c r="B69" i="11" s="1"/>
  <c r="B79" i="11" a="1"/>
  <c r="B82" i="11" s="1"/>
  <c r="I45" i="11"/>
  <c r="J45" i="11"/>
  <c r="J9" i="4"/>
  <c r="I8" i="6"/>
  <c r="I21" i="5"/>
  <c r="H22" i="13"/>
  <c r="H24" i="13" s="1"/>
  <c r="I22" i="13"/>
  <c r="J13" i="11"/>
  <c r="J17" i="5"/>
  <c r="J13" i="13"/>
  <c r="J24" i="4" s="1"/>
  <c r="I17" i="3"/>
  <c r="I5" i="15" s="1"/>
  <c r="J16" i="3"/>
  <c r="J15" i="3" l="1"/>
  <c r="J15" i="13"/>
  <c r="J25" i="4" s="1"/>
  <c r="B54" i="11"/>
  <c r="B55" i="11"/>
  <c r="K55" i="11" s="1"/>
  <c r="B57" i="11"/>
  <c r="K57" i="11" s="1"/>
  <c r="K21" i="5"/>
  <c r="K18" i="5"/>
  <c r="B56" i="11"/>
  <c r="J82" i="11"/>
  <c r="J69" i="11"/>
  <c r="K13" i="11"/>
  <c r="K27" i="4"/>
  <c r="K32" i="4" s="1"/>
  <c r="K38" i="4" s="1"/>
  <c r="K22" i="13"/>
  <c r="J20" i="5"/>
  <c r="J19" i="5"/>
  <c r="K19" i="5"/>
  <c r="B105" i="11"/>
  <c r="B92" i="11"/>
  <c r="B108" i="11"/>
  <c r="B94" i="11"/>
  <c r="B119" i="11"/>
  <c r="B107" i="11"/>
  <c r="B121" i="11"/>
  <c r="B95" i="11"/>
  <c r="B66" i="11"/>
  <c r="B120" i="11"/>
  <c r="B67" i="11"/>
  <c r="B68" i="11"/>
  <c r="B80" i="11"/>
  <c r="B79" i="11"/>
  <c r="B81" i="11"/>
  <c r="I106" i="11"/>
  <c r="H106" i="11"/>
  <c r="J106" i="11"/>
  <c r="H93" i="11"/>
  <c r="J93" i="11"/>
  <c r="I93" i="11"/>
  <c r="I118" i="11"/>
  <c r="J118" i="11"/>
  <c r="H118" i="11"/>
  <c r="G118" i="11"/>
  <c r="G123" i="11" s="1"/>
  <c r="I24" i="13"/>
  <c r="J21" i="5"/>
  <c r="J22" i="13"/>
  <c r="J24" i="13" s="1"/>
  <c r="I18" i="5"/>
  <c r="H18" i="5"/>
  <c r="J17" i="3"/>
  <c r="J5" i="15" s="1"/>
  <c r="J55" i="11" l="1"/>
  <c r="I55" i="11"/>
  <c r="G66" i="11"/>
  <c r="G71" i="11" s="1"/>
  <c r="K66" i="11"/>
  <c r="J80" i="11"/>
  <c r="K80" i="11"/>
  <c r="J95" i="11"/>
  <c r="I94" i="11"/>
  <c r="K94" i="11"/>
  <c r="I68" i="11"/>
  <c r="K68" i="11"/>
  <c r="J120" i="11"/>
  <c r="K120" i="11"/>
  <c r="J121" i="11"/>
  <c r="J108" i="11"/>
  <c r="I79" i="11"/>
  <c r="K79" i="11"/>
  <c r="I53" i="11"/>
  <c r="K53" i="11"/>
  <c r="I119" i="11"/>
  <c r="K119" i="11"/>
  <c r="J105" i="11"/>
  <c r="K105" i="11"/>
  <c r="J56" i="11"/>
  <c r="J81" i="11"/>
  <c r="K81" i="11"/>
  <c r="H67" i="11"/>
  <c r="K67" i="11"/>
  <c r="I54" i="11"/>
  <c r="K54" i="11"/>
  <c r="J107" i="11"/>
  <c r="K107" i="11"/>
  <c r="J92" i="11"/>
  <c r="K92" i="11"/>
  <c r="G105" i="11"/>
  <c r="G110" i="11" s="1"/>
  <c r="K20" i="5"/>
  <c r="K24" i="13"/>
  <c r="J94" i="11"/>
  <c r="G92" i="11"/>
  <c r="G97" i="11" s="1"/>
  <c r="J68" i="11"/>
  <c r="H105" i="11"/>
  <c r="H110" i="11" s="1"/>
  <c r="I92" i="11"/>
  <c r="I97" i="11" s="1"/>
  <c r="I105" i="11"/>
  <c r="H119" i="11"/>
  <c r="H123" i="11" s="1"/>
  <c r="J32" i="4"/>
  <c r="J38" i="4" s="1"/>
  <c r="H92" i="11"/>
  <c r="H97" i="11" s="1"/>
  <c r="J119" i="11"/>
  <c r="I67" i="11"/>
  <c r="J67" i="11"/>
  <c r="G79" i="11"/>
  <c r="G84" i="11" s="1"/>
  <c r="J66" i="11"/>
  <c r="I107" i="11"/>
  <c r="I120" i="11"/>
  <c r="H54" i="11"/>
  <c r="J53" i="11"/>
  <c r="H66" i="11"/>
  <c r="H53" i="11"/>
  <c r="G53" i="11"/>
  <c r="G58" i="11" s="1"/>
  <c r="I66" i="11"/>
  <c r="J54" i="11"/>
  <c r="H80" i="11"/>
  <c r="H79" i="11"/>
  <c r="I80" i="11"/>
  <c r="I81" i="11"/>
  <c r="J79" i="11"/>
  <c r="J18" i="5"/>
  <c r="K110" i="11" l="1"/>
  <c r="K123" i="11"/>
  <c r="K97" i="11"/>
  <c r="K84" i="11"/>
  <c r="J84" i="11"/>
  <c r="K71" i="11"/>
  <c r="J110" i="11"/>
  <c r="K58" i="11"/>
  <c r="I71" i="11"/>
  <c r="J123" i="11"/>
  <c r="I58" i="11"/>
  <c r="H71" i="11"/>
  <c r="J97" i="11"/>
  <c r="I123" i="11"/>
  <c r="I110" i="11"/>
  <c r="J71" i="11"/>
  <c r="G126" i="11"/>
  <c r="G22" i="11" s="1"/>
  <c r="G23" i="11" s="1"/>
  <c r="H58" i="11"/>
  <c r="I84" i="11"/>
  <c r="J58" i="11"/>
  <c r="H84" i="11"/>
  <c r="K126" i="11" l="1"/>
  <c r="I126" i="11"/>
  <c r="I20" i="11" s="1"/>
  <c r="J126" i="11"/>
  <c r="J20" i="11" s="1"/>
  <c r="H126" i="11"/>
  <c r="H22" i="11" s="1"/>
  <c r="H23" i="11" s="1"/>
  <c r="G20" i="11"/>
  <c r="G19" i="3" s="1"/>
  <c r="G14" i="11"/>
  <c r="G15" i="11" s="1"/>
  <c r="G14" i="4" s="1"/>
  <c r="I6" i="5" l="1"/>
  <c r="I14" i="9"/>
  <c r="I20" i="9" s="1"/>
  <c r="G6" i="5"/>
  <c r="G14" i="9"/>
  <c r="G20" i="9" s="1"/>
  <c r="J6" i="5"/>
  <c r="J14" i="9"/>
  <c r="J20" i="9" s="1"/>
  <c r="I22" i="11"/>
  <c r="I23" i="11" s="1"/>
  <c r="J22" i="11"/>
  <c r="J23" i="11" s="1"/>
  <c r="K20" i="11"/>
  <c r="K14" i="9" s="1"/>
  <c r="K20" i="9" s="1"/>
  <c r="K22" i="11"/>
  <c r="K23" i="11" s="1"/>
  <c r="H14" i="11"/>
  <c r="I14" i="11" s="1"/>
  <c r="H20" i="11"/>
  <c r="G7" i="6"/>
  <c r="G21" i="3"/>
  <c r="G22" i="3" s="1"/>
  <c r="G24" i="3"/>
  <c r="G26" i="3" s="1"/>
  <c r="J19" i="3"/>
  <c r="I19" i="3"/>
  <c r="H6" i="5" l="1"/>
  <c r="H14" i="9"/>
  <c r="H20" i="9" s="1"/>
  <c r="K6" i="5"/>
  <c r="K19" i="3"/>
  <c r="K7" i="6" s="1"/>
  <c r="H19" i="3"/>
  <c r="H24" i="3" s="1"/>
  <c r="H26" i="3" s="1"/>
  <c r="H15" i="11"/>
  <c r="H14" i="4" s="1"/>
  <c r="J7" i="6"/>
  <c r="J24" i="3"/>
  <c r="J21" i="3"/>
  <c r="J22" i="3" s="1"/>
  <c r="I7" i="6"/>
  <c r="I21" i="3"/>
  <c r="I22" i="3" s="1"/>
  <c r="I24" i="3"/>
  <c r="H21" i="3"/>
  <c r="H22" i="3" s="1"/>
  <c r="G28" i="3"/>
  <c r="G30" i="3" s="1"/>
  <c r="G25" i="3"/>
  <c r="G6" i="15" s="1"/>
  <c r="J14" i="11"/>
  <c r="I15" i="11"/>
  <c r="I14" i="4" s="1"/>
  <c r="I26" i="3" l="1"/>
  <c r="J26" i="3"/>
  <c r="H7" i="6"/>
  <c r="K21" i="3"/>
  <c r="K22" i="3" s="1"/>
  <c r="K24" i="3"/>
  <c r="K26" i="3" s="1"/>
  <c r="J15" i="11"/>
  <c r="J14" i="4" s="1"/>
  <c r="K14" i="11"/>
  <c r="K15" i="11" s="1"/>
  <c r="K14" i="4" s="1"/>
  <c r="G29" i="3"/>
  <c r="G7" i="15" s="1"/>
  <c r="D7" i="7"/>
  <c r="I25" i="3"/>
  <c r="I6" i="15" s="1"/>
  <c r="I28" i="3"/>
  <c r="J25" i="3"/>
  <c r="J6" i="15" s="1"/>
  <c r="J28" i="3"/>
  <c r="H25" i="3"/>
  <c r="H6" i="15" s="1"/>
  <c r="H28" i="3"/>
  <c r="H30" i="3" s="1"/>
  <c r="J29" i="3" l="1"/>
  <c r="J7" i="15" s="1"/>
  <c r="J30" i="3"/>
  <c r="I29" i="3"/>
  <c r="I7" i="15" s="1"/>
  <c r="I30" i="3"/>
  <c r="K28" i="3"/>
  <c r="K25" i="3"/>
  <c r="K6" i="15" s="1"/>
  <c r="E7" i="7"/>
  <c r="H29" i="3"/>
  <c r="H7" i="15" s="1"/>
  <c r="K29" i="3" l="1"/>
  <c r="K7" i="15" s="1"/>
  <c r="K30" i="3"/>
  <c r="G35" i="12"/>
  <c r="G32" i="3" s="1"/>
  <c r="G33" i="3" l="1"/>
  <c r="G35" i="3"/>
  <c r="G37" i="3" s="1"/>
  <c r="G39" i="3" l="1"/>
  <c r="G42" i="3" s="1"/>
  <c r="G4" i="5" l="1"/>
  <c r="G25" i="5" s="1"/>
  <c r="G36" i="5" s="1"/>
  <c r="G8" i="15"/>
  <c r="G43" i="3"/>
  <c r="G44" i="3" s="1"/>
  <c r="G45" i="3" l="1"/>
  <c r="G46" i="3"/>
  <c r="G8" i="12"/>
  <c r="G9" i="12" s="1"/>
  <c r="G46" i="4"/>
  <c r="G5" i="14"/>
  <c r="G50" i="3"/>
  <c r="G51" i="3" s="1"/>
  <c r="G48" i="3"/>
  <c r="G5" i="6"/>
  <c r="G12" i="6" s="1"/>
  <c r="G15" i="6" s="1"/>
  <c r="G49" i="3" l="1"/>
  <c r="G15" i="14"/>
  <c r="G16" i="14" s="1"/>
  <c r="D6" i="7"/>
  <c r="G6" i="14" l="1"/>
  <c r="D9" i="7"/>
  <c r="G45" i="5" l="1"/>
  <c r="G49" i="5" s="1"/>
  <c r="G52" i="5" s="1"/>
  <c r="G56" i="5" s="1"/>
  <c r="H55" i="5" s="1"/>
  <c r="G12" i="14"/>
  <c r="G43" i="4" l="1"/>
  <c r="G45" i="4" s="1"/>
  <c r="G47" i="4" s="1"/>
  <c r="G48" i="4" s="1"/>
  <c r="H4" i="14"/>
  <c r="G5" i="4"/>
  <c r="G10" i="4" s="1"/>
  <c r="G20" i="4" s="1"/>
  <c r="G16" i="15" l="1"/>
  <c r="H33" i="12"/>
  <c r="H35" i="12" s="1"/>
  <c r="H32" i="3" s="1"/>
  <c r="G12" i="15"/>
  <c r="G62" i="5"/>
  <c r="G15" i="15"/>
  <c r="H33" i="3" l="1"/>
  <c r="H35" i="3"/>
  <c r="H37" i="3" s="1"/>
  <c r="G50" i="4"/>
  <c r="G11" i="15"/>
  <c r="H39" i="3" l="1"/>
  <c r="H42" i="3" s="1"/>
  <c r="H43" i="3" s="1"/>
  <c r="H46" i="4" s="1"/>
  <c r="H8" i="15" l="1"/>
  <c r="H4" i="5"/>
  <c r="H25" i="5" s="1"/>
  <c r="H44" i="3"/>
  <c r="H45" i="3" l="1"/>
  <c r="H46" i="3"/>
  <c r="H36" i="5"/>
  <c r="H48" i="3"/>
  <c r="H49" i="3" s="1"/>
  <c r="H5" i="6"/>
  <c r="H12" i="6" s="1"/>
  <c r="H15" i="6" s="1"/>
  <c r="H50" i="3"/>
  <c r="H51" i="3" s="1"/>
  <c r="H5" i="14"/>
  <c r="H8" i="12" l="1"/>
  <c r="H9" i="12" s="1"/>
  <c r="E6" i="7"/>
  <c r="H15" i="14"/>
  <c r="H16" i="14" s="1"/>
  <c r="H6" i="14" l="1"/>
  <c r="E9" i="7"/>
  <c r="H45" i="5" l="1"/>
  <c r="H12" i="14"/>
  <c r="H49" i="5" l="1"/>
  <c r="I4" i="14"/>
  <c r="H43" i="4"/>
  <c r="H45" i="4" s="1"/>
  <c r="H47" i="4" s="1"/>
  <c r="H48" i="4" s="1"/>
  <c r="H52" i="5" l="1"/>
  <c r="H56" i="5" s="1"/>
  <c r="I55" i="5" s="1"/>
  <c r="H16" i="15"/>
  <c r="H5" i="4" l="1"/>
  <c r="H10" i="4" s="1"/>
  <c r="H20" i="4" s="1"/>
  <c r="H50" i="4" s="1"/>
  <c r="H15" i="15" l="1"/>
  <c r="H62" i="5"/>
  <c r="H11" i="15"/>
  <c r="H12" i="15"/>
  <c r="I33" i="12"/>
  <c r="I35" i="12" s="1"/>
  <c r="I32" i="3" s="1"/>
  <c r="I35" i="3" s="1"/>
  <c r="I37" i="3" s="1"/>
  <c r="I39" i="3" l="1"/>
  <c r="I42" i="3" s="1"/>
  <c r="I43" i="3" s="1"/>
  <c r="I44" i="3" s="1"/>
  <c r="I46" i="3" s="1"/>
  <c r="I33" i="3"/>
  <c r="I50" i="3" l="1"/>
  <c r="I51" i="3" s="1"/>
  <c r="I45" i="3"/>
  <c r="I8" i="15"/>
  <c r="I4" i="5"/>
  <c r="I25" i="5" s="1"/>
  <c r="I5" i="6"/>
  <c r="I12" i="6" s="1"/>
  <c r="I15" i="6" s="1"/>
  <c r="I5" i="14"/>
  <c r="I48" i="3"/>
  <c r="I46" i="4"/>
  <c r="I15" i="14" l="1"/>
  <c r="I16" i="14" s="1"/>
  <c r="I6" i="14" s="1"/>
  <c r="I45" i="5" s="1"/>
  <c r="I49" i="5" s="1"/>
  <c r="I52" i="5" s="1"/>
  <c r="I56" i="5" s="1"/>
  <c r="J55" i="5" s="1"/>
  <c r="I49" i="3"/>
  <c r="I36" i="5"/>
  <c r="I8" i="12"/>
  <c r="I9" i="12" s="1"/>
  <c r="I12" i="14"/>
  <c r="J4" i="14" s="1"/>
  <c r="I43" i="4" l="1"/>
  <c r="I45" i="4" s="1"/>
  <c r="I47" i="4" s="1"/>
  <c r="I48" i="4" s="1"/>
  <c r="I5" i="4"/>
  <c r="I10" i="4" s="1"/>
  <c r="I20" i="4" s="1"/>
  <c r="I16" i="15" l="1"/>
  <c r="I50" i="4"/>
  <c r="I62" i="5"/>
  <c r="I15" i="15"/>
  <c r="I11" i="15"/>
  <c r="I12" i="15"/>
  <c r="J33" i="12"/>
  <c r="J35" i="12" s="1"/>
  <c r="J32" i="3" s="1"/>
  <c r="J33" i="3" l="1"/>
  <c r="J35" i="3"/>
  <c r="J37" i="3" s="1"/>
  <c r="J39" i="3" l="1"/>
  <c r="J42" i="3" s="1"/>
  <c r="J43" i="3" l="1"/>
  <c r="J44" i="3" s="1"/>
  <c r="J8" i="15"/>
  <c r="J4" i="5"/>
  <c r="J25" i="5" s="1"/>
  <c r="J8" i="12" s="1"/>
  <c r="J45" i="3" l="1"/>
  <c r="J46" i="3"/>
  <c r="J46" i="4"/>
  <c r="J36" i="5"/>
  <c r="J9" i="12"/>
  <c r="J5" i="14"/>
  <c r="J48" i="3"/>
  <c r="J5" i="6"/>
  <c r="J12" i="6" s="1"/>
  <c r="J50" i="3"/>
  <c r="J51" i="3" s="1"/>
  <c r="J15" i="14" l="1"/>
  <c r="J16" i="14" s="1"/>
  <c r="J6" i="14" s="1"/>
  <c r="J45" i="5" s="1"/>
  <c r="J49" i="5" s="1"/>
  <c r="J52" i="5" s="1"/>
  <c r="J56" i="5" s="1"/>
  <c r="K55" i="5" s="1"/>
  <c r="J49" i="3"/>
  <c r="J15" i="6"/>
  <c r="J12" i="14" l="1"/>
  <c r="J43" i="4" s="1"/>
  <c r="J5" i="4"/>
  <c r="K33" i="12" s="1"/>
  <c r="K35" i="12" s="1"/>
  <c r="K32" i="3" s="1"/>
  <c r="K35" i="3" s="1"/>
  <c r="K37" i="3" s="1"/>
  <c r="K39" i="3" s="1"/>
  <c r="K42" i="3" s="1"/>
  <c r="K8" i="15" s="1"/>
  <c r="K4" i="14" l="1"/>
  <c r="J45" i="4"/>
  <c r="J47" i="4" s="1"/>
  <c r="J16" i="15" s="1"/>
  <c r="K4" i="5"/>
  <c r="K25" i="5" s="1"/>
  <c r="K43" i="3"/>
  <c r="J10" i="4"/>
  <c r="J12" i="15"/>
  <c r="K33" i="3"/>
  <c r="J15" i="15"/>
  <c r="J62" i="5"/>
  <c r="J48" i="4" l="1"/>
  <c r="K44" i="3"/>
  <c r="K46" i="4"/>
  <c r="K8" i="12"/>
  <c r="K9" i="12" s="1"/>
  <c r="K36" i="5"/>
  <c r="J20" i="4"/>
  <c r="J11" i="15"/>
  <c r="K45" i="3" l="1"/>
  <c r="K46" i="3"/>
  <c r="K5" i="14"/>
  <c r="K5" i="6"/>
  <c r="K12" i="6" s="1"/>
  <c r="J50" i="4"/>
  <c r="K50" i="3"/>
  <c r="K51" i="3" s="1"/>
  <c r="K48" i="3"/>
  <c r="K15" i="14" l="1"/>
  <c r="K16" i="14" s="1"/>
  <c r="K6" i="14" s="1"/>
  <c r="K45" i="5" s="1"/>
  <c r="K49" i="5" s="1"/>
  <c r="K52" i="5" s="1"/>
  <c r="K56" i="5" s="1"/>
  <c r="K5" i="4" s="1"/>
  <c r="K49" i="3"/>
  <c r="K15" i="6"/>
  <c r="B18" i="6"/>
  <c r="B20" i="6" s="1"/>
  <c r="B21" i="6" s="1"/>
  <c r="K12" i="14"/>
  <c r="K43" i="4" s="1"/>
  <c r="K12" i="15" l="1"/>
  <c r="K15" i="15"/>
  <c r="B22" i="6"/>
  <c r="B25" i="6" s="1"/>
  <c r="B28" i="6" s="1"/>
  <c r="K45" i="4"/>
  <c r="K47" i="4" s="1"/>
  <c r="K10" i="4"/>
  <c r="K62" i="5"/>
  <c r="K20" i="4" l="1"/>
  <c r="K11" i="15"/>
  <c r="K48" i="4"/>
  <c r="K16" i="15"/>
  <c r="K50" i="4" l="1"/>
</calcChain>
</file>

<file path=xl/comments1.xml><?xml version="1.0" encoding="utf-8"?>
<comments xmlns="http://schemas.openxmlformats.org/spreadsheetml/2006/main">
  <authors>
    <author>HP</author>
  </authors>
  <commentList>
    <comment ref="B24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includes accrued liabilities; accrued payroll, curr portion of op lease liab, stored value card liabil and curr portion of LT debt. </t>
        </r>
      </text>
    </comment>
    <comment ref="B45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2018 = $1743.4</t>
        </r>
      </text>
    </comment>
    <comment ref="B46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2018 = $7133.5</t>
        </r>
      </text>
    </comment>
  </commentList>
</comments>
</file>

<file path=xl/comments2.xml><?xml version="1.0" encoding="utf-8"?>
<comments xmlns="http://schemas.openxmlformats.org/spreadsheetml/2006/main">
  <authors>
    <author>HP</author>
  </authors>
  <commentList>
    <comment ref="B21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Revenue for our Channel Development segment decreased $331 million, or 17%, when compared with fiscal 2020. This was
largely due to the transition of certain single-serve product activities to Nestlé beginning in the fourth quarter of fiscal 2020.
This was partially offset by growth in our ready-to-drink business. We expect Channel Development to return to more
normalized reported revenue growth levels in fiscal 2022,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Foreign Currency Translation
</t>
        </r>
      </text>
    </comment>
    <comment ref="B48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Foreign Currency Translation
</t>
        </r>
      </text>
    </comment>
    <comment ref="B66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Foreign Currency Translation
</t>
        </r>
      </text>
    </comment>
  </commentList>
</comments>
</file>

<file path=xl/comments3.xml><?xml version="1.0" encoding="utf-8"?>
<comments xmlns="http://schemas.openxmlformats.org/spreadsheetml/2006/main">
  <authors>
    <author>HP</author>
  </authors>
  <commentList>
    <comment ref="B15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Accrued dividends payable; Accrued capital and other operating expenditures; others</t>
        </r>
      </text>
    </comment>
  </commentList>
</comments>
</file>

<file path=xl/comments4.xml><?xml version="1.0" encoding="utf-8"?>
<comments xmlns="http://schemas.openxmlformats.org/spreadsheetml/2006/main">
  <authors>
    <author>HP</author>
  </authors>
  <commentList>
    <comment ref="G6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Assumed at 50% of Earnings.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As per Transcript of 2021 Earnings call, $20B of capital return to be done by the company of hwhich 13b will be share repurchases and rest dividends.</t>
        </r>
      </text>
    </comment>
    <comment ref="F9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Price as on 25/03/2022</t>
        </r>
      </text>
    </comment>
  </commentList>
</comments>
</file>

<file path=xl/comments5.xml><?xml version="1.0" encoding="utf-8"?>
<comments xmlns="http://schemas.openxmlformats.org/spreadsheetml/2006/main">
  <authors>
    <author>HP</author>
  </authors>
  <commentList>
    <comment ref="O6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https://valueinvesting.io/SBUX/valuation/wacc</t>
        </r>
      </text>
    </comment>
    <comment ref="O11" authorId="0" shapeId="0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Taken as debt upon market cap instaed of book value of equity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</rPr>
          <t>HP: https://valueinvesting.io/SBUX/valuation/dcf-growth-exit-5y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<sst xmlns="http://schemas.openxmlformats.org/spreadsheetml/2006/main" count="568" uniqueCount="332">
  <si>
    <t>Income Statement</t>
  </si>
  <si>
    <t>Revenue</t>
  </si>
  <si>
    <t>COGS</t>
  </si>
  <si>
    <t>Gross Profit</t>
  </si>
  <si>
    <t>Gross Profit Margin</t>
  </si>
  <si>
    <t>Total Operating Costs</t>
  </si>
  <si>
    <t>EBIT</t>
  </si>
  <si>
    <t>EBITDA</t>
  </si>
  <si>
    <t>Interest Expenses</t>
  </si>
  <si>
    <t>Net Interest Expenses</t>
  </si>
  <si>
    <t>Income Tax</t>
  </si>
  <si>
    <t>Income Tax Rate %</t>
  </si>
  <si>
    <t>No of O/s shares</t>
  </si>
  <si>
    <t>Basic EPS</t>
  </si>
  <si>
    <t>% Growth</t>
  </si>
  <si>
    <t>% of Revenue</t>
  </si>
  <si>
    <t>Units</t>
  </si>
  <si>
    <t>$mn</t>
  </si>
  <si>
    <t>Other</t>
  </si>
  <si>
    <t>Total</t>
  </si>
  <si>
    <t>—</t>
  </si>
  <si>
    <t>Basic</t>
  </si>
  <si>
    <t>Diluted</t>
  </si>
  <si>
    <t>Total Revenue</t>
  </si>
  <si>
    <t>Product and distribution costs</t>
  </si>
  <si>
    <t>Store operating expenses</t>
  </si>
  <si>
    <t>Other operating expenses</t>
  </si>
  <si>
    <t>D&amp;A</t>
  </si>
  <si>
    <t>Restructuring and impairments</t>
  </si>
  <si>
    <t>Net gain resulting from divestiture of certain operations</t>
  </si>
  <si>
    <t>Interest Expense</t>
  </si>
  <si>
    <t>Total COGS</t>
  </si>
  <si>
    <t>General and Admin Expenses</t>
  </si>
  <si>
    <t>Income from Equity Investing</t>
  </si>
  <si>
    <t>EBIT Margin</t>
  </si>
  <si>
    <t>EBITDA Margin</t>
  </si>
  <si>
    <t>Interest Income</t>
  </si>
  <si>
    <t>% of Cash and Investments</t>
  </si>
  <si>
    <t>Earnings Before Tax</t>
  </si>
  <si>
    <t>Non Recurring Gains/ (Expenses)</t>
  </si>
  <si>
    <t>Statutory Tax rate</t>
  </si>
  <si>
    <t>Net Profit Incl. Min Interest</t>
  </si>
  <si>
    <t>Net Profit Attr. To Min Interests</t>
  </si>
  <si>
    <t>Net Profit Attr to Parents</t>
  </si>
  <si>
    <t>Diluted EPS</t>
  </si>
  <si>
    <t>Segments and Drivers</t>
  </si>
  <si>
    <t>by Product Type</t>
  </si>
  <si>
    <t>Beverage</t>
  </si>
  <si>
    <t>Food</t>
  </si>
  <si>
    <t>by Geography</t>
  </si>
  <si>
    <t>Balance Sheet</t>
  </si>
  <si>
    <t>Assets</t>
  </si>
  <si>
    <t>Inventories</t>
  </si>
  <si>
    <t>Equity</t>
  </si>
  <si>
    <t>Goodwill</t>
  </si>
  <si>
    <t>Liabilities</t>
  </si>
  <si>
    <t>Cash and cash equivalents</t>
  </si>
  <si>
    <t>Short-term investments</t>
  </si>
  <si>
    <t>Accounts receivable, net</t>
  </si>
  <si>
    <t>Prepaid expenses and other current assets</t>
  </si>
  <si>
    <t>Total current assets</t>
  </si>
  <si>
    <t>Long-term investments</t>
  </si>
  <si>
    <t>Equity investments</t>
  </si>
  <si>
    <t>Property, plant and equipment, net</t>
  </si>
  <si>
    <t>Operating lease, right-of-use asset</t>
  </si>
  <si>
    <t>Deferred income taxes, net</t>
  </si>
  <si>
    <t>Other long-term assets</t>
  </si>
  <si>
    <t>Other intangible assets</t>
  </si>
  <si>
    <t>Accounts payable</t>
  </si>
  <si>
    <t>Accrued liabilities</t>
  </si>
  <si>
    <t>Accrued payroll and benefits</t>
  </si>
  <si>
    <t>Income taxes payable</t>
  </si>
  <si>
    <t>Current portion of operating lease liability</t>
  </si>
  <si>
    <t>Stored value card liability and current portion of deferred revenue</t>
  </si>
  <si>
    <t>Short-term debt</t>
  </si>
  <si>
    <t>Current portion of long-term debt</t>
  </si>
  <si>
    <t>Total current liabilities</t>
  </si>
  <si>
    <t>Long-term debt</t>
  </si>
  <si>
    <t>Operating lease liability</t>
  </si>
  <si>
    <t>Deferred revenue</t>
  </si>
  <si>
    <t>Other long-term liabilities</t>
  </si>
  <si>
    <t>Total liabilities</t>
  </si>
  <si>
    <t>Additional paid-in capital</t>
  </si>
  <si>
    <t>Retained deficit</t>
  </si>
  <si>
    <t>Accumulated other comprehensive income/(loss)</t>
  </si>
  <si>
    <t>Total shareholders’ deficit</t>
  </si>
  <si>
    <t>Noncontrolling interests</t>
  </si>
  <si>
    <t>Total deficit</t>
  </si>
  <si>
    <t>TOTAL LIABILITIES AND SHAREHOLDERS' EQUITY/(DEFICIT)</t>
  </si>
  <si>
    <t>Net Income Inc. Non Controlling Interest</t>
  </si>
  <si>
    <t>Depreciation and amortization</t>
  </si>
  <si>
    <t>Income earned from equity method investees</t>
  </si>
  <si>
    <t>Distributions received from equity method investees</t>
  </si>
  <si>
    <t>Stock-based compensation</t>
  </si>
  <si>
    <t>Goodwill impairments</t>
  </si>
  <si>
    <t>Non-cash lease costs</t>
  </si>
  <si>
    <t>Loss on retirement and impairment of assets</t>
  </si>
  <si>
    <t>Cash provided by/(used in) changes in operating assets and liabilities:</t>
  </si>
  <si>
    <t>Other operating assets and liabilities</t>
  </si>
  <si>
    <t>Net cash provided by operating activities</t>
  </si>
  <si>
    <t>Accounts receivable</t>
  </si>
  <si>
    <t>Purchases of investments</t>
  </si>
  <si>
    <t>Sales of investments</t>
  </si>
  <si>
    <t>Maturities and calls of investments</t>
  </si>
  <si>
    <t>Additions to property, plant and equipment</t>
  </si>
  <si>
    <t>Net proceeds from the divestiture of certain operations</t>
  </si>
  <si>
    <t>Net cash used in investing activities</t>
  </si>
  <si>
    <t>Repayments of commercial paper</t>
  </si>
  <si>
    <t>Net proceeds from issuance of short-term debt</t>
  </si>
  <si>
    <t>Repayments of short-term debt</t>
  </si>
  <si>
    <t>Proceeds from issuance of long-term debt</t>
  </si>
  <si>
    <t>Repayments of long-term debt</t>
  </si>
  <si>
    <t>Proceeds from issuance of common stock</t>
  </si>
  <si>
    <t>Cash dividends paid</t>
  </si>
  <si>
    <t>Repurchase of common stock</t>
  </si>
  <si>
    <t>Minimum tax withholdings on share-based awards</t>
  </si>
  <si>
    <t>Net cash provided by/(used in) financing activities</t>
  </si>
  <si>
    <t>Effect of exchange rate changes on cash and cash equivalents</t>
  </si>
  <si>
    <t>Net increase/(decrease) in cash and cash equivalents</t>
  </si>
  <si>
    <t>(49.0)</t>
  </si>
  <si>
    <t>Cash and Cash Equivalents:</t>
  </si>
  <si>
    <t>Beginning of Period</t>
  </si>
  <si>
    <t>End of Period</t>
  </si>
  <si>
    <t>8,756.3</t>
  </si>
  <si>
    <t>Interest, net of capitalized interest</t>
  </si>
  <si>
    <t>Income taxes</t>
  </si>
  <si>
    <t>1,699.1</t>
  </si>
  <si>
    <t>Capex</t>
  </si>
  <si>
    <t>FCFF</t>
  </si>
  <si>
    <t>Share Price</t>
  </si>
  <si>
    <t>Channel Development</t>
  </si>
  <si>
    <t>Net New store Opening Sales</t>
  </si>
  <si>
    <t>Same store sales</t>
  </si>
  <si>
    <t>Operating Margin</t>
  </si>
  <si>
    <t>%</t>
  </si>
  <si>
    <t>North America</t>
  </si>
  <si>
    <t>International</t>
  </si>
  <si>
    <t>Breakup of Revenue by company operated and licensed</t>
  </si>
  <si>
    <t>Company-operated stores</t>
  </si>
  <si>
    <t>Licensed stores</t>
  </si>
  <si>
    <t>Net Revenues</t>
  </si>
  <si>
    <t xml:space="preserve">Same Store Sales </t>
  </si>
  <si>
    <t>% Y</t>
  </si>
  <si>
    <t>Average ticket</t>
  </si>
  <si>
    <t>Comparable transactions</t>
  </si>
  <si>
    <t>%Y</t>
  </si>
  <si>
    <t>Net new store opening sales</t>
  </si>
  <si>
    <t>Growth</t>
  </si>
  <si>
    <t>Others</t>
  </si>
  <si>
    <t>Total Operating Expenses</t>
  </si>
  <si>
    <t>% of Total Revenue</t>
  </si>
  <si>
    <t>Land</t>
  </si>
  <si>
    <t>Buildings</t>
  </si>
  <si>
    <t>PPE Gross</t>
  </si>
  <si>
    <t>PPE Net</t>
  </si>
  <si>
    <t>Accumulated Depreciation</t>
  </si>
  <si>
    <t>Leasehold improvements</t>
  </si>
  <si>
    <t>Store Equoipment</t>
  </si>
  <si>
    <t>Roasting Equoipment</t>
  </si>
  <si>
    <t>Furniture, fixtures and other</t>
  </si>
  <si>
    <t>Work in progress</t>
  </si>
  <si>
    <t>% of Sales</t>
  </si>
  <si>
    <t>% of PPE Gross</t>
  </si>
  <si>
    <t>Amortization Expense</t>
  </si>
  <si>
    <t>Depreciation Expense</t>
  </si>
  <si>
    <t>Fiscal</t>
  </si>
  <si>
    <t>Year</t>
  </si>
  <si>
    <t>Thereafter</t>
  </si>
  <si>
    <t>Long term debt Maturities</t>
  </si>
  <si>
    <t>Fiscal Year</t>
  </si>
  <si>
    <t>Minimum future maturities of operating lease liabilities (in millions):</t>
  </si>
  <si>
    <t xml:space="preserve">% of Revenue </t>
  </si>
  <si>
    <t>Net Working Capital / (Deficit)</t>
  </si>
  <si>
    <t>(Increase) / Decrease in Working Capital</t>
  </si>
  <si>
    <t>Net Profit attr to Ownership interest</t>
  </si>
  <si>
    <t>Dividends Paid</t>
  </si>
  <si>
    <t>Share Buyback</t>
  </si>
  <si>
    <t>Ending Retained Deficit</t>
  </si>
  <si>
    <t>Retained Deficit - Beginning Balance</t>
  </si>
  <si>
    <t>Dividend Payout Ratio</t>
  </si>
  <si>
    <t>DPS</t>
  </si>
  <si>
    <t>% of COGS</t>
  </si>
  <si>
    <t>USD</t>
  </si>
  <si>
    <t>No. of Basic Shares Outstanding</t>
  </si>
  <si>
    <t>Dilution</t>
  </si>
  <si>
    <t>Diluted Shares O/s</t>
  </si>
  <si>
    <t>Total Debt Outstanding</t>
  </si>
  <si>
    <t>Interest rate</t>
  </si>
  <si>
    <t>Income Taxes Payable</t>
  </si>
  <si>
    <t>Net Debt to EBITDA</t>
  </si>
  <si>
    <t>Check</t>
  </si>
  <si>
    <t>Net Profit</t>
  </si>
  <si>
    <t>Add: Interest Exp</t>
  </si>
  <si>
    <t>Add: Non Cash Charges</t>
  </si>
  <si>
    <t>Less: Capex</t>
  </si>
  <si>
    <t>Less: Purchase of Investments</t>
  </si>
  <si>
    <t>Less: Change in Working Cap</t>
  </si>
  <si>
    <t>Free Cash Flow to the Firm Calculation</t>
  </si>
  <si>
    <t>WACC Calculation</t>
  </si>
  <si>
    <t>Risk Free Rate</t>
  </si>
  <si>
    <t>Beta</t>
  </si>
  <si>
    <t>Market Risk Premium</t>
  </si>
  <si>
    <t>Discounting Rate (WACC)</t>
  </si>
  <si>
    <t>PV of Cash Flows</t>
  </si>
  <si>
    <t>Terminal Value Calculation</t>
  </si>
  <si>
    <t>Terminal Growth rate</t>
  </si>
  <si>
    <t xml:space="preserve">Terminal Value  </t>
  </si>
  <si>
    <t>Enterprise Value</t>
  </si>
  <si>
    <t>PV of Terminal Value</t>
  </si>
  <si>
    <t>Net Debt</t>
  </si>
  <si>
    <t>Equity Value</t>
  </si>
  <si>
    <t>No of Period End shares</t>
  </si>
  <si>
    <t>Intrinsic Value</t>
  </si>
  <si>
    <t>Cost of Equity</t>
  </si>
  <si>
    <t>Cost of Debt</t>
  </si>
  <si>
    <t>Debt weighing</t>
  </si>
  <si>
    <t>WACC</t>
  </si>
  <si>
    <t>Trailing 12 M</t>
  </si>
  <si>
    <t>FY1</t>
  </si>
  <si>
    <t>FY2</t>
  </si>
  <si>
    <t>Price to Earnings</t>
  </si>
  <si>
    <t>EV/EBITDA</t>
  </si>
  <si>
    <t>EV/Sales</t>
  </si>
  <si>
    <t>Market Cap ($bn)</t>
  </si>
  <si>
    <t>Price USD</t>
  </si>
  <si>
    <t>Comparables</t>
  </si>
  <si>
    <t>EV $bn</t>
  </si>
  <si>
    <t>Dividend Yield</t>
  </si>
  <si>
    <t>Ratio Analysis</t>
  </si>
  <si>
    <t>Profitability Ratios</t>
  </si>
  <si>
    <t>Liquidity Ratios</t>
  </si>
  <si>
    <t>Solvency Ratios</t>
  </si>
  <si>
    <t>Net Profit Margin</t>
  </si>
  <si>
    <t xml:space="preserve">Debt to Equity </t>
  </si>
  <si>
    <t>Quick Ratio</t>
  </si>
  <si>
    <t>Current Ratio</t>
  </si>
  <si>
    <t>Equity weighing</t>
  </si>
  <si>
    <t>Corporate and Others</t>
  </si>
  <si>
    <t>Furniture and Fixtures</t>
  </si>
  <si>
    <t>Store Equipment</t>
  </si>
  <si>
    <t>Roasting Equipment</t>
  </si>
  <si>
    <t>WIP</t>
  </si>
  <si>
    <t>Useful Life</t>
  </si>
  <si>
    <t>Leasehold Improvements</t>
  </si>
  <si>
    <t>Amount $mn</t>
  </si>
  <si>
    <t>Proportion of Assets</t>
  </si>
  <si>
    <t>Total Capex</t>
  </si>
  <si>
    <t>FY2021</t>
  </si>
  <si>
    <t>FY2022</t>
  </si>
  <si>
    <t>FY2023</t>
  </si>
  <si>
    <t>FY2024</t>
  </si>
  <si>
    <t>FY2025</t>
  </si>
  <si>
    <t>Leasehold Improvements - straight line method</t>
  </si>
  <si>
    <t>Useful life</t>
  </si>
  <si>
    <t>Carrying Value</t>
  </si>
  <si>
    <t>Total Depreciation - Leasehold Imp</t>
  </si>
  <si>
    <t>Furnitures and Fixtues - straight line method</t>
  </si>
  <si>
    <t>Total Depreciation - Furnitures and Fixtures</t>
  </si>
  <si>
    <t>Store Equipment - straight line method</t>
  </si>
  <si>
    <t>Roasting Equipment - straight line method</t>
  </si>
  <si>
    <t>Buildings - straight line method</t>
  </si>
  <si>
    <t>WIP - straight line method</t>
  </si>
  <si>
    <t>Total Depreciation</t>
  </si>
  <si>
    <t>Cash Flow Available for Financing Activities</t>
  </si>
  <si>
    <t>Cash Available for Debt Repayment</t>
  </si>
  <si>
    <t>Long Term Debt Issuance</t>
  </si>
  <si>
    <t>Long Term (committed Payments)</t>
  </si>
  <si>
    <t>Beginning Balance</t>
  </si>
  <si>
    <t>Ending Balance</t>
  </si>
  <si>
    <t>Issuance</t>
  </si>
  <si>
    <t>(Repayment/ Amortization)</t>
  </si>
  <si>
    <t>Interest Expense Calculation</t>
  </si>
  <si>
    <t>Cash Balances</t>
  </si>
  <si>
    <t>Interest Rate</t>
  </si>
  <si>
    <t>Interest Earned</t>
  </si>
  <si>
    <t>Short Term Debt</t>
  </si>
  <si>
    <t>Long Term Debt</t>
  </si>
  <si>
    <t xml:space="preserve">Interest Expense </t>
  </si>
  <si>
    <t>Interst Rate</t>
  </si>
  <si>
    <t>Channel Dev/Others</t>
  </si>
  <si>
    <t>Total Average Debt</t>
  </si>
  <si>
    <t>Core Financial Statements</t>
  </si>
  <si>
    <t>Cash Flows</t>
  </si>
  <si>
    <t>Supporting Financial Modeling Schedules</t>
  </si>
  <si>
    <t>Working Capital</t>
  </si>
  <si>
    <t>Debt Schedule</t>
  </si>
  <si>
    <t>Valuations</t>
  </si>
  <si>
    <t>DCF Valuation</t>
  </si>
  <si>
    <t xml:space="preserve">Note: </t>
  </si>
  <si>
    <t>This Excel model is intended solely for educational purposes and should not be used for any other purpose.</t>
  </si>
  <si>
    <t>printed, or recorded for commercial use.</t>
  </si>
  <si>
    <t xml:space="preserve">Disclaimer: </t>
  </si>
  <si>
    <t>We do not recommend any sell or buy recommendation to investors.</t>
  </si>
  <si>
    <t>Historicals</t>
  </si>
  <si>
    <t>Forecasts</t>
  </si>
  <si>
    <t>(All Data is in Millions $, Except Per Share Information)</t>
  </si>
  <si>
    <t>Starbucks Financial Model</t>
  </si>
  <si>
    <t>Current Assets</t>
  </si>
  <si>
    <t>Total Assets</t>
  </si>
  <si>
    <t>Current liabilities</t>
  </si>
  <si>
    <t>Common Stock</t>
  </si>
  <si>
    <t>Cash flows from operating activities</t>
  </si>
  <si>
    <t>Cash flows from investing activities</t>
  </si>
  <si>
    <t>Adjustments for :</t>
  </si>
  <si>
    <t>Cash flows from financing activities</t>
  </si>
  <si>
    <t>Cash Flow available for Financing Activities</t>
  </si>
  <si>
    <t>Other supplemental information - cash flows</t>
  </si>
  <si>
    <t>FY2026</t>
  </si>
  <si>
    <t>FCFF in 2026</t>
  </si>
  <si>
    <t>After</t>
  </si>
  <si>
    <t>Cost Drivers</t>
  </si>
  <si>
    <t>Revenue Drivers</t>
  </si>
  <si>
    <t>PPE Schedule</t>
  </si>
  <si>
    <t>Shareholder's Equity Schedule</t>
  </si>
  <si>
    <t xml:space="preserve">Learn step by step Financial Modeling here - </t>
  </si>
  <si>
    <t>https://www.educba.com/finance/courses/financial-modeling-course/</t>
  </si>
  <si>
    <t>All content is Copyright material of EDUCBA.</t>
  </si>
  <si>
    <t xml:space="preserve">Without prior written permission from EDUCBA, no part of this excel model can be distributed, transmitted, </t>
  </si>
  <si>
    <t>The Starbucks Financial Model is only for educational purposes.</t>
  </si>
  <si>
    <t>Copyright of www.educba.com</t>
  </si>
  <si>
    <t xml:space="preserve"> Net new store opening sales</t>
  </si>
  <si>
    <t>No. of Shares Bought Back</t>
  </si>
  <si>
    <t>Opening Cash Balance</t>
  </si>
  <si>
    <t>Total Depreciation &amp; Amortization Exp</t>
  </si>
  <si>
    <t>Source: https://valueinvesting.io/</t>
  </si>
  <si>
    <t>No of Years</t>
  </si>
  <si>
    <t>FCFF = Net Profit + Interest Exp + Non cash charges - Capex - Change in Working Cap</t>
  </si>
  <si>
    <t>WACC = Wgt of Debt * Cost of Debt * (1- tax rate) + Wgt of Equity* Cost of Equity</t>
  </si>
  <si>
    <t>Cost of Equity = Risk Free Rate + Beta*(Market Risk Prem)</t>
  </si>
  <si>
    <t>Terminal Value = FCFF(n)* (1+g)/(WACC-g)</t>
  </si>
  <si>
    <t>Ent Value = Disc FCFF + Term Value</t>
  </si>
  <si>
    <t>Eq Value = (EV -Net Debt)/ no of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</si>
</sst>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0"/>
    <numFmt numFmtId="167" formatCode="#,##0.0"/>
    <numFmt numFmtId="168" formatCode="##0.0&quot;x&quot;"/>
    <numFmt numFmtId="169" formatCode="#,##0.0;\(#,##0.0\);\-"/>
    <numFmt numFmtId="170" formatCode="0.0%"/>
    <numFmt numFmtId="171" formatCode="&quot;FY&quot;\ 0"/>
    <numFmt numFmtId="172" formatCode="#,##0.00;\(#,##0.00\);\-"/>
    <numFmt numFmtId="173" formatCode="0.0"/>
    <numFmt numFmtId="174" formatCode="0.00_);\(0.00\)"/>
    <numFmt numFmtId="175" formatCode="0_);\(0\)"/>
  </numFmts>
  <fonts count="5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name val="Calibri"/>
      <family val="2"/>
      <scheme val="minor"/>
    </font>
    <font>
      <sz val="9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5"/>
      <color theme="0"/>
      <name val="Calibri"/>
      <family val="2"/>
      <scheme val="minor"/>
    </font>
    <font>
      <sz val="11"/>
      <color theme="1"/>
      <name val="Calibri Light"/>
      <family val="1"/>
      <scheme val="major"/>
    </font>
    <font>
      <u/>
      <sz val="12.65"/>
      <color theme="10"/>
      <name val="Calibri"/>
      <family val="2"/>
    </font>
    <font>
      <u/>
      <sz val="11"/>
      <color theme="0"/>
      <name val="Calibri"/>
      <family val="2"/>
      <scheme val="minor"/>
    </font>
    <font>
      <u/>
      <sz val="11"/>
      <color theme="0"/>
      <name val="Calibri Light"/>
      <family val="1"/>
      <scheme val="major"/>
    </font>
    <font>
      <b/>
      <sz val="12"/>
      <color rgb="FF0BA1A1"/>
      <name val="Calibri"/>
      <family val="2"/>
      <scheme val="minor"/>
    </font>
    <font>
      <u/>
      <sz val="11"/>
      <color rgb="FF9AC240"/>
      <name val="Calibri"/>
      <family val="2"/>
      <scheme val="minor"/>
    </font>
    <font>
      <sz val="11"/>
      <color rgb="FF9AC24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ED1D24"/>
      <name val="Calibri"/>
      <family val="2"/>
      <scheme val="minor"/>
    </font>
    <font>
      <i/>
      <sz val="11"/>
      <color theme="0"/>
      <name val="Calibri"/>
      <family val="2"/>
      <scheme val="minor"/>
    </font>
    <font>
      <u/>
      <sz val="11"/>
      <color theme="0"/>
      <name val="Calibri"/>
      <family val="2"/>
    </font>
    <font>
      <u/>
      <sz val="12.65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9"/>
      <name val="Geneva"/>
    </font>
    <font>
      <sz val="11"/>
      <color theme="1" tint="0.499984740745262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1"/>
      <color rgb="FF0BA1A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u val="singleAccounting"/>
      <sz val="11"/>
      <color theme="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9999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rgb="FF009999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04C55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/>
      <bottom style="medium">
        <color rgb="FF009999"/>
      </bottom>
      <diagonal/>
    </border>
    <border>
      <left/>
      <right/>
      <top style="thin">
        <color rgb="FF009999"/>
      </top>
      <bottom style="double">
        <color rgb="FF009999"/>
      </bottom>
      <diagonal/>
    </border>
  </borders>
  <cellStyleXfs count="21">
    <xf numFmtId="0" fontId="0" fillId="0" borderId="0"/>
    <xf numFmtId="0" fontId="23" fillId="0" borderId="0" applyNumberFormat="0" applyFill="0" applyBorder="0" applyAlignment="0" applyProtection="0">
      <alignment vertical="top"/>
      <protection locked="0"/>
    </xf>
    <xf numFmtId="169" fontId="16" fillId="6" borderId="4"/>
    <xf numFmtId="170" fontId="16" fillId="6" borderId="4"/>
    <xf numFmtId="165" fontId="35" fillId="0" borderId="0" applyFont="0" applyFill="0" applyBorder="0" applyAlignment="0" applyProtection="0"/>
    <xf numFmtId="170" fontId="35" fillId="0" borderId="0" applyFont="0" applyFill="0" applyBorder="0" applyAlignment="0" applyProtection="0"/>
    <xf numFmtId="165" fontId="36" fillId="0" borderId="0" applyFont="0" applyFill="0" applyBorder="0" applyAlignment="0" applyProtection="0"/>
    <xf numFmtId="165" fontId="37" fillId="0" borderId="0" applyFont="0" applyFill="0" applyBorder="0" applyAlignment="0" applyProtection="0"/>
    <xf numFmtId="43" fontId="19" fillId="0" borderId="0" applyFont="0" applyFill="0" applyBorder="0" applyAlignment="0" applyProtection="0"/>
    <xf numFmtId="164" fontId="35" fillId="0" borderId="0" applyFont="0" applyFill="0" applyBorder="0" applyAlignment="0" applyProtection="0"/>
    <xf numFmtId="164" fontId="37" fillId="0" borderId="0" applyFont="0" applyFill="0" applyBorder="0" applyAlignment="0" applyProtection="0"/>
    <xf numFmtId="169" fontId="19" fillId="3" borderId="4"/>
    <xf numFmtId="169" fontId="38" fillId="0" borderId="3">
      <alignment vertical="center"/>
    </xf>
    <xf numFmtId="0" fontId="35" fillId="0" borderId="0"/>
    <xf numFmtId="0" fontId="35" fillId="0" borderId="0"/>
    <xf numFmtId="0" fontId="19" fillId="0" borderId="0"/>
    <xf numFmtId="0" fontId="37" fillId="0" borderId="0"/>
    <xf numFmtId="9" fontId="3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327">
    <xf numFmtId="0" fontId="0" fillId="0" borderId="0" xfId="0"/>
    <xf numFmtId="0" fontId="0" fillId="0" borderId="0" xfId="0" applyFont="1"/>
    <xf numFmtId="0" fontId="0" fillId="0" borderId="0" xfId="0" applyFont="1" applyBorder="1"/>
    <xf numFmtId="0" fontId="6" fillId="0" borderId="0" xfId="0" applyFont="1" applyFill="1"/>
    <xf numFmtId="0" fontId="0" fillId="0" borderId="0" xfId="0" applyFont="1" applyFill="1"/>
    <xf numFmtId="4" fontId="7" fillId="0" borderId="0" xfId="0" applyNumberFormat="1" applyFont="1"/>
    <xf numFmtId="0" fontId="8" fillId="0" borderId="0" xfId="0" applyFont="1" applyFill="1" applyBorder="1"/>
    <xf numFmtId="0" fontId="7" fillId="0" borderId="0" xfId="0" applyFont="1"/>
    <xf numFmtId="0" fontId="0" fillId="0" borderId="0" xfId="0" applyFont="1" applyFill="1" applyBorder="1"/>
    <xf numFmtId="4" fontId="0" fillId="0" borderId="0" xfId="0" applyNumberFormat="1" applyFont="1" applyFill="1"/>
    <xf numFmtId="4" fontId="0" fillId="0" borderId="0" xfId="0" applyNumberFormat="1" applyFont="1"/>
    <xf numFmtId="0" fontId="9" fillId="0" borderId="0" xfId="0" applyFont="1"/>
    <xf numFmtId="167" fontId="0" fillId="0" borderId="0" xfId="0" applyNumberFormat="1" applyFont="1" applyFill="1"/>
    <xf numFmtId="9" fontId="8" fillId="0" borderId="0" xfId="0" applyNumberFormat="1" applyFont="1" applyFill="1" applyBorder="1"/>
    <xf numFmtId="0" fontId="7" fillId="0" borderId="0" xfId="0" applyFont="1" applyFill="1" applyBorder="1"/>
    <xf numFmtId="0" fontId="0" fillId="0" borderId="1" xfId="0" applyFont="1" applyBorder="1"/>
    <xf numFmtId="0" fontId="6" fillId="0" borderId="0" xfId="0" applyFont="1"/>
    <xf numFmtId="9" fontId="0" fillId="0" borderId="0" xfId="0" applyNumberFormat="1" applyFont="1"/>
    <xf numFmtId="0" fontId="0" fillId="0" borderId="2" xfId="0" applyFont="1" applyBorder="1"/>
    <xf numFmtId="166" fontId="0" fillId="0" borderId="0" xfId="0" applyNumberFormat="1" applyFont="1"/>
    <xf numFmtId="4" fontId="0" fillId="0" borderId="0" xfId="0" applyNumberFormat="1" applyFont="1" applyBorder="1"/>
    <xf numFmtId="0" fontId="0" fillId="0" borderId="0" xfId="0" applyFont="1" applyBorder="1" applyAlignment="1">
      <alignment horizontal="left" vertical="center" wrapText="1" indent="2"/>
    </xf>
    <xf numFmtId="9" fontId="0" fillId="0" borderId="0" xfId="0" applyNumberFormat="1" applyFont="1" applyBorder="1"/>
    <xf numFmtId="0" fontId="6" fillId="3" borderId="0" xfId="0" applyFont="1" applyFill="1"/>
    <xf numFmtId="0" fontId="6" fillId="3" borderId="1" xfId="0" applyFont="1" applyFill="1" applyBorder="1"/>
    <xf numFmtId="0" fontId="6" fillId="3" borderId="0" xfId="0" applyFont="1" applyFill="1" applyBorder="1"/>
    <xf numFmtId="0" fontId="0" fillId="3" borderId="0" xfId="0" applyFont="1" applyFill="1"/>
    <xf numFmtId="4" fontId="0" fillId="3" borderId="0" xfId="0" applyNumberFormat="1" applyFont="1" applyFill="1"/>
    <xf numFmtId="4" fontId="0" fillId="3" borderId="1" xfId="0" applyNumberFormat="1" applyFont="1" applyFill="1" applyBorder="1"/>
    <xf numFmtId="0" fontId="0" fillId="3" borderId="0" xfId="0" applyFont="1" applyFill="1" applyBorder="1"/>
    <xf numFmtId="4" fontId="6" fillId="3" borderId="0" xfId="0" applyNumberFormat="1" applyFont="1" applyFill="1"/>
    <xf numFmtId="4" fontId="6" fillId="3" borderId="1" xfId="0" applyNumberFormat="1" applyFont="1" applyFill="1" applyBorder="1"/>
    <xf numFmtId="0" fontId="0" fillId="3" borderId="1" xfId="0" applyFont="1" applyFill="1" applyBorder="1"/>
    <xf numFmtId="0" fontId="0" fillId="3" borderId="0" xfId="0" applyFont="1" applyFill="1" applyAlignment="1">
      <alignment horizontal="left"/>
    </xf>
    <xf numFmtId="9" fontId="0" fillId="3" borderId="0" xfId="0" applyNumberFormat="1" applyFont="1" applyFill="1"/>
    <xf numFmtId="9" fontId="0" fillId="3" borderId="1" xfId="0" applyNumberFormat="1" applyFont="1" applyFill="1" applyBorder="1"/>
    <xf numFmtId="0" fontId="0" fillId="0" borderId="0" xfId="0" applyFont="1" applyAlignment="1">
      <alignment horizontal="left" indent="1"/>
    </xf>
    <xf numFmtId="0" fontId="8" fillId="0" borderId="0" xfId="0" applyFont="1"/>
    <xf numFmtId="9" fontId="8" fillId="0" borderId="0" xfId="0" applyNumberFormat="1" applyFont="1"/>
    <xf numFmtId="9" fontId="10" fillId="0" borderId="0" xfId="0" applyNumberFormat="1" applyFont="1" applyAlignment="1">
      <alignment horizontal="center"/>
    </xf>
    <xf numFmtId="9" fontId="8" fillId="0" borderId="0" xfId="0" applyNumberFormat="1" applyFont="1" applyAlignment="1">
      <alignment horizontal="center"/>
    </xf>
    <xf numFmtId="9" fontId="0" fillId="0" borderId="0" xfId="0" applyNumberFormat="1" applyFont="1" applyAlignment="1">
      <alignment horizontal="center"/>
    </xf>
    <xf numFmtId="9" fontId="7" fillId="0" borderId="0" xfId="0" applyNumberFormat="1" applyFont="1" applyAlignment="1">
      <alignment horizontal="center"/>
    </xf>
    <xf numFmtId="0" fontId="0" fillId="0" borderId="0" xfId="0" applyFont="1" applyAlignment="1">
      <alignment horizontal="left" indent="2"/>
    </xf>
    <xf numFmtId="9" fontId="0" fillId="0" borderId="0" xfId="0" applyNumberFormat="1" applyFont="1" applyAlignment="1">
      <alignment horizontal="right" indent="1"/>
    </xf>
    <xf numFmtId="4" fontId="7" fillId="0" borderId="0" xfId="0" applyNumberFormat="1" applyFont="1" applyAlignment="1">
      <alignment horizontal="left" indent="1"/>
    </xf>
    <xf numFmtId="4" fontId="0" fillId="0" borderId="0" xfId="0" applyNumberFormat="1" applyFont="1" applyAlignment="1">
      <alignment horizontal="left" indent="1"/>
    </xf>
    <xf numFmtId="4" fontId="6" fillId="0" borderId="0" xfId="0" applyNumberFormat="1" applyFont="1"/>
    <xf numFmtId="4" fontId="9" fillId="0" borderId="0" xfId="0" applyNumberFormat="1" applyFont="1"/>
    <xf numFmtId="0" fontId="6" fillId="0" borderId="0" xfId="0" applyFont="1" applyBorder="1"/>
    <xf numFmtId="167" fontId="0" fillId="0" borderId="0" xfId="0" applyNumberFormat="1" applyFont="1" applyFill="1" applyBorder="1"/>
    <xf numFmtId="9" fontId="0" fillId="0" borderId="0" xfId="0" applyNumberFormat="1" applyFont="1" applyFill="1"/>
    <xf numFmtId="9" fontId="0" fillId="0" borderId="0" xfId="0" applyNumberFormat="1" applyFont="1" applyFill="1" applyBorder="1"/>
    <xf numFmtId="4" fontId="0" fillId="0" borderId="0" xfId="0" applyNumberFormat="1" applyFont="1" applyFill="1" applyBorder="1"/>
    <xf numFmtId="167" fontId="6" fillId="0" borderId="0" xfId="0" applyNumberFormat="1" applyFont="1" applyFill="1" applyBorder="1"/>
    <xf numFmtId="4" fontId="6" fillId="0" borderId="0" xfId="0" applyNumberFormat="1" applyFont="1" applyFill="1"/>
    <xf numFmtId="0" fontId="6" fillId="0" borderId="0" xfId="0" applyFont="1" applyFill="1" applyBorder="1"/>
    <xf numFmtId="0" fontId="11" fillId="0" borderId="0" xfId="0" applyFont="1" applyFill="1" applyBorder="1"/>
    <xf numFmtId="9" fontId="13" fillId="0" borderId="0" xfId="0" applyNumberFormat="1" applyFont="1" applyFill="1" applyBorder="1"/>
    <xf numFmtId="9" fontId="11" fillId="0" borderId="0" xfId="0" applyNumberFormat="1" applyFont="1" applyFill="1" applyBorder="1"/>
    <xf numFmtId="4" fontId="11" fillId="0" borderId="0" xfId="0" applyNumberFormat="1" applyFont="1" applyFill="1" applyBorder="1"/>
    <xf numFmtId="167" fontId="11" fillId="0" borderId="0" xfId="0" applyNumberFormat="1" applyFont="1" applyFill="1" applyBorder="1"/>
    <xf numFmtId="167" fontId="14" fillId="0" borderId="0" xfId="0" applyNumberFormat="1" applyFont="1" applyFill="1"/>
    <xf numFmtId="0" fontId="21" fillId="5" borderId="0" xfId="0" applyFont="1" applyFill="1"/>
    <xf numFmtId="0" fontId="0" fillId="5" borderId="0" xfId="0" applyFont="1" applyFill="1"/>
    <xf numFmtId="0" fontId="5" fillId="5" borderId="0" xfId="0" applyFont="1" applyFill="1"/>
    <xf numFmtId="0" fontId="20" fillId="5" borderId="0" xfId="0" applyFont="1" applyFill="1"/>
    <xf numFmtId="0" fontId="22" fillId="5" borderId="0" xfId="0" applyFont="1" applyFill="1"/>
    <xf numFmtId="0" fontId="24" fillId="5" borderId="0" xfId="1" applyFont="1" applyFill="1" applyAlignment="1" applyProtection="1"/>
    <xf numFmtId="0" fontId="25" fillId="5" borderId="0" xfId="1" applyFont="1" applyFill="1" applyAlignment="1" applyProtection="1"/>
    <xf numFmtId="0" fontId="26" fillId="3" borderId="0" xfId="0" applyFont="1" applyFill="1"/>
    <xf numFmtId="0" fontId="27" fillId="3" borderId="0" xfId="1" applyFont="1" applyFill="1" applyAlignment="1" applyProtection="1"/>
    <xf numFmtId="0" fontId="28" fillId="3" borderId="0" xfId="0" applyFont="1" applyFill="1"/>
    <xf numFmtId="0" fontId="29" fillId="0" borderId="0" xfId="1" applyFont="1" applyAlignment="1" applyProtection="1"/>
    <xf numFmtId="0" fontId="30" fillId="0" borderId="0" xfId="1" applyFont="1" applyFill="1" applyAlignment="1" applyProtection="1"/>
    <xf numFmtId="0" fontId="30" fillId="3" borderId="0" xfId="1" applyFont="1" applyFill="1" applyAlignment="1" applyProtection="1"/>
    <xf numFmtId="0" fontId="31" fillId="0" borderId="0" xfId="0" applyFont="1" applyFill="1"/>
    <xf numFmtId="0" fontId="29" fillId="0" borderId="0" xfId="1" applyFont="1" applyFill="1" applyAlignment="1" applyProtection="1"/>
    <xf numFmtId="0" fontId="5" fillId="5" borderId="0" xfId="0" applyFont="1" applyFill="1" applyAlignment="1">
      <alignment horizontal="left"/>
    </xf>
    <xf numFmtId="0" fontId="32" fillId="5" borderId="0" xfId="0" applyFont="1" applyFill="1"/>
    <xf numFmtId="0" fontId="33" fillId="5" borderId="0" xfId="1" applyFont="1" applyFill="1" applyAlignment="1" applyProtection="1"/>
    <xf numFmtId="0" fontId="34" fillId="5" borderId="0" xfId="1" applyFont="1" applyFill="1" applyAlignment="1" applyProtection="1"/>
    <xf numFmtId="171" fontId="20" fillId="5" borderId="0" xfId="0" applyNumberFormat="1" applyFont="1" applyFill="1" applyAlignment="1">
      <alignment vertical="center"/>
    </xf>
    <xf numFmtId="0" fontId="20" fillId="5" borderId="0" xfId="0" applyFont="1" applyFill="1" applyAlignment="1">
      <alignment vertical="center"/>
    </xf>
    <xf numFmtId="0" fontId="0" fillId="4" borderId="0" xfId="0" applyFont="1" applyFill="1"/>
    <xf numFmtId="0" fontId="15" fillId="0" borderId="0" xfId="0" applyFont="1" applyFill="1" applyBorder="1"/>
    <xf numFmtId="171" fontId="39" fillId="5" borderId="0" xfId="0" applyNumberFormat="1" applyFont="1" applyFill="1" applyBorder="1" applyAlignment="1">
      <alignment vertical="center"/>
    </xf>
    <xf numFmtId="0" fontId="40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vertical="center" wrapText="1" indent="2"/>
    </xf>
    <xf numFmtId="0" fontId="6" fillId="3" borderId="0" xfId="0" applyFont="1" applyFill="1" applyBorder="1" applyAlignment="1">
      <alignment vertical="center" wrapText="1"/>
    </xf>
    <xf numFmtId="0" fontId="32" fillId="5" borderId="0" xfId="0" applyFont="1" applyFill="1" applyBorder="1" applyAlignment="1">
      <alignment vertical="center"/>
    </xf>
    <xf numFmtId="0" fontId="0" fillId="4" borderId="0" xfId="0" applyFont="1" applyFill="1" applyBorder="1"/>
    <xf numFmtId="0" fontId="8" fillId="4" borderId="0" xfId="0" applyFont="1" applyFill="1" applyBorder="1"/>
    <xf numFmtId="0" fontId="6" fillId="4" borderId="0" xfId="0" applyFont="1" applyFill="1" applyBorder="1"/>
    <xf numFmtId="167" fontId="14" fillId="0" borderId="0" xfId="0" applyNumberFormat="1" applyFont="1" applyFill="1" applyBorder="1"/>
    <xf numFmtId="167" fontId="6" fillId="3" borderId="0" xfId="0" applyNumberFormat="1" applyFont="1" applyFill="1" applyBorder="1"/>
    <xf numFmtId="4" fontId="15" fillId="3" borderId="0" xfId="0" applyNumberFormat="1" applyFont="1" applyFill="1" applyBorder="1"/>
    <xf numFmtId="0" fontId="40" fillId="3" borderId="0" xfId="0" applyFont="1" applyFill="1" applyBorder="1" applyAlignment="1">
      <alignment vertical="center" wrapText="1"/>
    </xf>
    <xf numFmtId="4" fontId="41" fillId="0" borderId="0" xfId="0" applyNumberFormat="1" applyFont="1" applyFill="1" applyBorder="1"/>
    <xf numFmtId="0" fontId="41" fillId="0" borderId="0" xfId="0" applyFont="1" applyFill="1" applyBorder="1"/>
    <xf numFmtId="167" fontId="41" fillId="0" borderId="0" xfId="0" applyNumberFormat="1" applyFont="1" applyFill="1" applyBorder="1"/>
    <xf numFmtId="167" fontId="15" fillId="3" borderId="0" xfId="0" applyNumberFormat="1" applyFont="1" applyFill="1" applyBorder="1"/>
    <xf numFmtId="4" fontId="0" fillId="3" borderId="0" xfId="0" applyNumberFormat="1" applyFont="1" applyFill="1" applyBorder="1"/>
    <xf numFmtId="172" fontId="41" fillId="4" borderId="5" xfId="12" applyNumberFormat="1" applyFont="1" applyFill="1" applyBorder="1" applyAlignment="1">
      <alignment vertical="center"/>
    </xf>
    <xf numFmtId="172" fontId="14" fillId="4" borderId="5" xfId="12" applyNumberFormat="1" applyFont="1" applyFill="1" applyBorder="1" applyAlignment="1">
      <alignment vertical="center"/>
    </xf>
    <xf numFmtId="169" fontId="14" fillId="4" borderId="5" xfId="12" applyFont="1" applyFill="1" applyBorder="1" applyAlignment="1">
      <alignment vertical="center"/>
    </xf>
    <xf numFmtId="9" fontId="0" fillId="4" borderId="5" xfId="20" applyFont="1" applyFill="1" applyBorder="1" applyAlignment="1">
      <alignment vertical="center"/>
    </xf>
    <xf numFmtId="169" fontId="41" fillId="4" borderId="5" xfId="12" applyFont="1" applyFill="1" applyBorder="1" applyAlignment="1">
      <alignment vertical="center"/>
    </xf>
    <xf numFmtId="169" fontId="19" fillId="4" borderId="5" xfId="12" applyFont="1" applyFill="1" applyBorder="1" applyAlignment="1">
      <alignment vertical="center"/>
    </xf>
    <xf numFmtId="172" fontId="19" fillId="4" borderId="5" xfId="12" applyNumberFormat="1" applyFont="1" applyFill="1" applyBorder="1" applyAlignment="1">
      <alignment vertical="center"/>
    </xf>
    <xf numFmtId="0" fontId="0" fillId="0" borderId="5" xfId="0" applyFont="1" applyFill="1" applyBorder="1"/>
    <xf numFmtId="171" fontId="20" fillId="5" borderId="0" xfId="0" applyNumberFormat="1" applyFont="1" applyFill="1" applyBorder="1" applyAlignment="1">
      <alignment vertical="center"/>
    </xf>
    <xf numFmtId="0" fontId="5" fillId="0" borderId="0" xfId="0" applyFont="1" applyFill="1" applyBorder="1"/>
    <xf numFmtId="4" fontId="6" fillId="0" borderId="0" xfId="0" applyNumberFormat="1" applyFont="1" applyBorder="1"/>
    <xf numFmtId="0" fontId="6" fillId="3" borderId="0" xfId="0" applyFont="1" applyFill="1" applyBorder="1" applyAlignment="1">
      <alignment horizontal="center"/>
    </xf>
    <xf numFmtId="4" fontId="6" fillId="3" borderId="0" xfId="0" applyNumberFormat="1" applyFont="1" applyFill="1" applyBorder="1"/>
    <xf numFmtId="0" fontId="7" fillId="0" borderId="0" xfId="0" applyFont="1" applyBorder="1"/>
    <xf numFmtId="171" fontId="20" fillId="4" borderId="0" xfId="0" applyNumberFormat="1" applyFont="1" applyFill="1" applyBorder="1" applyAlignment="1">
      <alignment vertical="center"/>
    </xf>
    <xf numFmtId="4" fontId="14" fillId="4" borderId="0" xfId="0" applyNumberFormat="1" applyFont="1" applyFill="1" applyBorder="1"/>
    <xf numFmtId="4" fontId="0" fillId="4" borderId="0" xfId="0" applyNumberFormat="1" applyFont="1" applyFill="1" applyBorder="1"/>
    <xf numFmtId="0" fontId="14" fillId="4" borderId="0" xfId="0" applyFont="1" applyFill="1" applyBorder="1"/>
    <xf numFmtId="0" fontId="7" fillId="4" borderId="0" xfId="0" applyFont="1" applyFill="1" applyBorder="1"/>
    <xf numFmtId="171" fontId="39" fillId="5" borderId="0" xfId="0" applyNumberFormat="1" applyFont="1" applyFill="1" applyBorder="1" applyAlignment="1">
      <alignment vertical="top"/>
    </xf>
    <xf numFmtId="171" fontId="20" fillId="5" borderId="0" xfId="0" applyNumberFormat="1" applyFont="1" applyFill="1" applyAlignment="1">
      <alignment vertical="top"/>
    </xf>
    <xf numFmtId="0" fontId="0" fillId="4" borderId="0" xfId="0" applyFont="1" applyFill="1" applyBorder="1" applyAlignment="1">
      <alignment vertical="top"/>
    </xf>
    <xf numFmtId="0" fontId="32" fillId="5" borderId="0" xfId="0" applyFont="1" applyFill="1" applyBorder="1" applyAlignment="1">
      <alignment vertical="top"/>
    </xf>
    <xf numFmtId="0" fontId="20" fillId="5" borderId="0" xfId="0" applyFont="1" applyFill="1" applyAlignment="1">
      <alignment vertical="top"/>
    </xf>
    <xf numFmtId="0" fontId="6" fillId="4" borderId="0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40" fillId="0" borderId="0" xfId="0" applyFont="1" applyAlignment="1">
      <alignment vertical="top" wrapText="1"/>
    </xf>
    <xf numFmtId="0" fontId="15" fillId="0" borderId="0" xfId="0" applyFont="1" applyFill="1" applyAlignment="1">
      <alignment horizontal="center" vertical="top"/>
    </xf>
    <xf numFmtId="0" fontId="6" fillId="0" borderId="0" xfId="0" applyFont="1" applyFill="1" applyAlignment="1">
      <alignment vertical="top"/>
    </xf>
    <xf numFmtId="0" fontId="6" fillId="0" borderId="0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40" fillId="0" borderId="0" xfId="0" applyFont="1" applyAlignment="1">
      <alignment horizontal="left" vertical="top" wrapText="1"/>
    </xf>
    <xf numFmtId="0" fontId="11" fillId="0" borderId="0" xfId="0" applyFont="1" applyFill="1" applyBorder="1" applyAlignment="1">
      <alignment vertical="top"/>
    </xf>
    <xf numFmtId="4" fontId="0" fillId="4" borderId="0" xfId="0" applyNumberFormat="1" applyFont="1" applyFill="1" applyBorder="1" applyAlignment="1">
      <alignment vertical="top"/>
    </xf>
    <xf numFmtId="0" fontId="6" fillId="3" borderId="0" xfId="0" applyFont="1" applyFill="1" applyBorder="1" applyAlignment="1">
      <alignment vertical="top"/>
    </xf>
    <xf numFmtId="0" fontId="0" fillId="4" borderId="0" xfId="0" applyFont="1" applyFill="1" applyAlignment="1">
      <alignment vertical="top"/>
    </xf>
    <xf numFmtId="0" fontId="11" fillId="0" borderId="0" xfId="0" applyFont="1" applyFill="1" applyAlignment="1">
      <alignment vertical="top"/>
    </xf>
    <xf numFmtId="0" fontId="11" fillId="0" borderId="0" xfId="0" applyFont="1" applyFill="1" applyAlignment="1">
      <alignment horizontal="center" vertical="top"/>
    </xf>
    <xf numFmtId="0" fontId="0" fillId="0" borderId="0" xfId="0" applyFont="1" applyFill="1" applyBorder="1" applyAlignment="1">
      <alignment vertical="top"/>
    </xf>
    <xf numFmtId="0" fontId="40" fillId="0" borderId="0" xfId="0" applyFont="1" applyBorder="1" applyAlignment="1">
      <alignment vertical="top" wrapText="1"/>
    </xf>
    <xf numFmtId="0" fontId="40" fillId="0" borderId="0" xfId="0" applyFont="1" applyBorder="1" applyAlignment="1">
      <alignment horizontal="left" vertical="top" wrapText="1"/>
    </xf>
    <xf numFmtId="0" fontId="15" fillId="0" borderId="0" xfId="0" applyFont="1" applyFill="1" applyAlignment="1">
      <alignment vertical="top"/>
    </xf>
    <xf numFmtId="0" fontId="11" fillId="0" borderId="0" xfId="0" applyFont="1" applyBorder="1" applyAlignment="1">
      <alignment vertical="top"/>
    </xf>
    <xf numFmtId="0" fontId="11" fillId="0" borderId="0" xfId="0" applyFont="1" applyAlignment="1">
      <alignment vertical="top"/>
    </xf>
    <xf numFmtId="0" fontId="0" fillId="0" borderId="0" xfId="0" applyBorder="1" applyAlignment="1">
      <alignment horizontal="left" vertical="top" wrapText="1" indent="2"/>
    </xf>
    <xf numFmtId="0" fontId="6" fillId="0" borderId="0" xfId="0" applyFont="1" applyBorder="1" applyAlignment="1">
      <alignment horizontal="left" vertical="center" wrapText="1" indent="2"/>
    </xf>
    <xf numFmtId="174" fontId="6" fillId="0" borderId="0" xfId="0" applyNumberFormat="1" applyFont="1" applyFill="1" applyAlignment="1">
      <alignment horizontal="right" vertical="top"/>
    </xf>
    <xf numFmtId="174" fontId="6" fillId="0" borderId="0" xfId="0" applyNumberFormat="1" applyFont="1" applyFill="1" applyBorder="1" applyAlignment="1">
      <alignment horizontal="right" vertical="top"/>
    </xf>
    <xf numFmtId="174" fontId="0" fillId="0" borderId="0" xfId="0" applyNumberFormat="1" applyFont="1" applyBorder="1" applyAlignment="1">
      <alignment horizontal="right" vertical="top"/>
    </xf>
    <xf numFmtId="174" fontId="12" fillId="0" borderId="0" xfId="0" applyNumberFormat="1" applyFont="1" applyFill="1" applyBorder="1" applyAlignment="1">
      <alignment horizontal="right" vertical="top"/>
    </xf>
    <xf numFmtId="174" fontId="41" fillId="0" borderId="0" xfId="0" applyNumberFormat="1" applyFont="1" applyFill="1" applyBorder="1" applyAlignment="1">
      <alignment horizontal="right" vertical="top"/>
    </xf>
    <xf numFmtId="174" fontId="14" fillId="0" borderId="0" xfId="0" applyNumberFormat="1" applyFont="1" applyFill="1" applyBorder="1" applyAlignment="1">
      <alignment horizontal="right" vertical="top"/>
    </xf>
    <xf numFmtId="174" fontId="14" fillId="0" borderId="0" xfId="0" applyNumberFormat="1" applyFont="1" applyBorder="1" applyAlignment="1">
      <alignment horizontal="right" vertical="top"/>
    </xf>
    <xf numFmtId="174" fontId="41" fillId="0" borderId="5" xfId="0" applyNumberFormat="1" applyFont="1" applyFill="1" applyBorder="1" applyAlignment="1">
      <alignment horizontal="right" vertical="top"/>
    </xf>
    <xf numFmtId="174" fontId="14" fillId="0" borderId="5" xfId="0" applyNumberFormat="1" applyFont="1" applyFill="1" applyBorder="1" applyAlignment="1">
      <alignment horizontal="right" vertical="top"/>
    </xf>
    <xf numFmtId="174" fontId="14" fillId="0" borderId="5" xfId="0" applyNumberFormat="1" applyFont="1" applyBorder="1" applyAlignment="1">
      <alignment horizontal="right" vertical="top"/>
    </xf>
    <xf numFmtId="174" fontId="6" fillId="3" borderId="0" xfId="0" applyNumberFormat="1" applyFont="1" applyFill="1" applyBorder="1" applyAlignment="1">
      <alignment horizontal="right" vertical="top"/>
    </xf>
    <xf numFmtId="174" fontId="6" fillId="4" borderId="0" xfId="0" applyNumberFormat="1" applyFont="1" applyFill="1" applyBorder="1" applyAlignment="1">
      <alignment horizontal="right" vertical="top"/>
    </xf>
    <xf numFmtId="174" fontId="41" fillId="0" borderId="0" xfId="0" applyNumberFormat="1" applyFont="1" applyFill="1" applyAlignment="1">
      <alignment horizontal="right" vertical="top"/>
    </xf>
    <xf numFmtId="174" fontId="0" fillId="0" borderId="0" xfId="0" applyNumberFormat="1" applyFont="1" applyFill="1" applyAlignment="1">
      <alignment horizontal="right" vertical="top"/>
    </xf>
    <xf numFmtId="174" fontId="0" fillId="0" borderId="0" xfId="0" applyNumberFormat="1" applyFont="1" applyFill="1" applyBorder="1" applyAlignment="1">
      <alignment horizontal="right" vertical="top"/>
    </xf>
    <xf numFmtId="174" fontId="12" fillId="0" borderId="0" xfId="0" applyNumberFormat="1" applyFont="1" applyFill="1" applyAlignment="1">
      <alignment horizontal="right" vertical="top"/>
    </xf>
    <xf numFmtId="174" fontId="12" fillId="0" borderId="5" xfId="0" applyNumberFormat="1" applyFont="1" applyFill="1" applyBorder="1" applyAlignment="1">
      <alignment horizontal="right" vertical="top"/>
    </xf>
    <xf numFmtId="174" fontId="11" fillId="0" borderId="0" xfId="0" applyNumberFormat="1" applyFont="1" applyFill="1" applyBorder="1" applyAlignment="1">
      <alignment horizontal="right" vertical="top"/>
    </xf>
    <xf numFmtId="174" fontId="11" fillId="0" borderId="0" xfId="0" applyNumberFormat="1" applyFont="1" applyBorder="1" applyAlignment="1">
      <alignment horizontal="right" vertical="top"/>
    </xf>
    <xf numFmtId="174" fontId="0" fillId="0" borderId="0" xfId="0" applyNumberFormat="1" applyFont="1" applyAlignment="1">
      <alignment horizontal="right" vertical="top"/>
    </xf>
    <xf numFmtId="174" fontId="7" fillId="0" borderId="0" xfId="0" applyNumberFormat="1" applyFont="1" applyBorder="1" applyAlignment="1">
      <alignment horizontal="right" vertical="top"/>
    </xf>
    <xf numFmtId="0" fontId="40" fillId="0" borderId="0" xfId="0" applyFont="1" applyAlignment="1">
      <alignment vertical="center"/>
    </xf>
    <xf numFmtId="0" fontId="40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8" fillId="0" borderId="0" xfId="0" applyFont="1" applyFill="1" applyBorder="1" applyAlignment="1">
      <alignment vertical="top"/>
    </xf>
    <xf numFmtId="174" fontId="8" fillId="0" borderId="0" xfId="0" applyNumberFormat="1" applyFont="1" applyFill="1" applyBorder="1" applyAlignment="1">
      <alignment horizontal="right" vertical="top"/>
    </xf>
    <xf numFmtId="174" fontId="41" fillId="0" borderId="0" xfId="0" applyNumberFormat="1" applyFont="1" applyBorder="1" applyAlignment="1">
      <alignment horizontal="right" vertical="top"/>
    </xf>
    <xf numFmtId="0" fontId="15" fillId="0" borderId="0" xfId="0" applyFont="1" applyFill="1" applyBorder="1" applyAlignment="1">
      <alignment vertical="top"/>
    </xf>
    <xf numFmtId="0" fontId="3" fillId="0" borderId="0" xfId="0" applyFont="1" applyBorder="1"/>
    <xf numFmtId="0" fontId="4" fillId="0" borderId="0" xfId="0" applyFont="1" applyBorder="1"/>
    <xf numFmtId="4" fontId="3" fillId="0" borderId="0" xfId="0" applyNumberFormat="1" applyFont="1" applyBorder="1"/>
    <xf numFmtId="0" fontId="17" fillId="0" borderId="0" xfId="0" applyFont="1" applyBorder="1"/>
    <xf numFmtId="0" fontId="3" fillId="0" borderId="0" xfId="0" applyFont="1" applyBorder="1" applyAlignment="1">
      <alignment horizontal="right"/>
    </xf>
    <xf numFmtId="0" fontId="18" fillId="0" borderId="0" xfId="0" applyFont="1" applyFill="1" applyBorder="1" applyAlignment="1">
      <alignment horizontal="right"/>
    </xf>
    <xf numFmtId="0" fontId="18" fillId="0" borderId="0" xfId="0" applyFont="1" applyBorder="1" applyAlignment="1">
      <alignment horizontal="right"/>
    </xf>
    <xf numFmtId="0" fontId="17" fillId="0" borderId="0" xfId="0" applyFont="1" applyFill="1" applyBorder="1" applyAlignment="1">
      <alignment horizontal="right"/>
    </xf>
    <xf numFmtId="0" fontId="17" fillId="0" borderId="0" xfId="0" applyFont="1" applyBorder="1" applyAlignment="1">
      <alignment horizontal="right"/>
    </xf>
    <xf numFmtId="0" fontId="44" fillId="3" borderId="0" xfId="0" applyFont="1" applyFill="1" applyBorder="1" applyAlignment="1">
      <alignment vertical="top"/>
    </xf>
    <xf numFmtId="175" fontId="12" fillId="0" borderId="0" xfId="0" applyNumberFormat="1" applyFont="1" applyFill="1" applyBorder="1" applyAlignment="1">
      <alignment horizontal="right" vertical="top"/>
    </xf>
    <xf numFmtId="0" fontId="40" fillId="3" borderId="0" xfId="0" applyFont="1" applyFill="1" applyAlignment="1">
      <alignment vertical="center"/>
    </xf>
    <xf numFmtId="175" fontId="41" fillId="0" borderId="0" xfId="0" applyNumberFormat="1" applyFont="1" applyFill="1" applyBorder="1" applyAlignment="1">
      <alignment horizontal="right" vertical="top"/>
    </xf>
    <xf numFmtId="0" fontId="4" fillId="4" borderId="0" xfId="0" applyFont="1" applyFill="1" applyBorder="1"/>
    <xf numFmtId="0" fontId="40" fillId="4" borderId="0" xfId="0" applyFont="1" applyFill="1" applyAlignment="1">
      <alignment vertical="center"/>
    </xf>
    <xf numFmtId="0" fontId="31" fillId="4" borderId="0" xfId="0" applyFont="1" applyFill="1" applyAlignment="1">
      <alignment horizontal="center" vertical="center"/>
    </xf>
    <xf numFmtId="172" fontId="6" fillId="4" borderId="0" xfId="0" applyNumberFormat="1" applyFont="1" applyFill="1" applyBorder="1" applyAlignment="1">
      <alignment horizontal="right" vertical="center"/>
    </xf>
    <xf numFmtId="0" fontId="0" fillId="3" borderId="0" xfId="0" applyFont="1" applyFill="1" applyBorder="1" applyAlignment="1">
      <alignment vertical="top"/>
    </xf>
    <xf numFmtId="0" fontId="8" fillId="0" borderId="0" xfId="0" applyFont="1" applyBorder="1" applyAlignment="1">
      <alignment horizontal="left" vertical="top" wrapText="1" indent="2"/>
    </xf>
    <xf numFmtId="0" fontId="40" fillId="4" borderId="0" xfId="0" applyFont="1" applyFill="1" applyBorder="1" applyAlignment="1">
      <alignment vertical="center"/>
    </xf>
    <xf numFmtId="0" fontId="41" fillId="0" borderId="0" xfId="0" applyFont="1" applyBorder="1"/>
    <xf numFmtId="0" fontId="8" fillId="0" borderId="0" xfId="0" applyFont="1" applyBorder="1"/>
    <xf numFmtId="9" fontId="41" fillId="0" borderId="0" xfId="0" applyNumberFormat="1" applyFont="1" applyBorder="1"/>
    <xf numFmtId="0" fontId="0" fillId="0" borderId="0" xfId="0" applyFont="1" applyBorder="1" applyAlignment="1">
      <alignment horizontal="left" indent="2"/>
    </xf>
    <xf numFmtId="4" fontId="41" fillId="0" borderId="0" xfId="0" applyNumberFormat="1" applyFont="1" applyBorder="1"/>
    <xf numFmtId="0" fontId="43" fillId="0" borderId="0" xfId="0" applyFont="1" applyBorder="1"/>
    <xf numFmtId="4" fontId="43" fillId="0" borderId="0" xfId="0" applyNumberFormat="1" applyFont="1" applyBorder="1"/>
    <xf numFmtId="0" fontId="9" fillId="0" borderId="0" xfId="0" applyFont="1" applyBorder="1"/>
    <xf numFmtId="4" fontId="7" fillId="0" borderId="0" xfId="0" applyNumberFormat="1" applyFont="1" applyBorder="1"/>
    <xf numFmtId="9" fontId="8" fillId="0" borderId="0" xfId="0" applyNumberFormat="1" applyFont="1" applyBorder="1"/>
    <xf numFmtId="9" fontId="8" fillId="0" borderId="0" xfId="0" applyNumberFormat="1" applyFont="1" applyBorder="1" applyAlignment="1">
      <alignment horizontal="center"/>
    </xf>
    <xf numFmtId="9" fontId="10" fillId="0" borderId="0" xfId="0" applyNumberFormat="1" applyFont="1" applyBorder="1" applyAlignment="1">
      <alignment horizontal="center"/>
    </xf>
    <xf numFmtId="9" fontId="0" fillId="0" borderId="0" xfId="0" applyNumberFormat="1" applyFont="1" applyBorder="1" applyAlignment="1">
      <alignment horizontal="center"/>
    </xf>
    <xf numFmtId="9" fontId="7" fillId="0" borderId="0" xfId="0" applyNumberFormat="1" applyFont="1" applyBorder="1" applyAlignment="1">
      <alignment horizontal="center"/>
    </xf>
    <xf numFmtId="9" fontId="0" fillId="0" borderId="0" xfId="0" applyNumberFormat="1" applyFont="1" applyBorder="1" applyAlignment="1">
      <alignment horizontal="left" indent="1"/>
    </xf>
    <xf numFmtId="4" fontId="0" fillId="0" borderId="0" xfId="0" applyNumberFormat="1" applyFont="1" applyBorder="1" applyAlignment="1">
      <alignment horizontal="center"/>
    </xf>
    <xf numFmtId="4" fontId="7" fillId="0" borderId="0" xfId="0" applyNumberFormat="1" applyFont="1" applyBorder="1" applyAlignment="1">
      <alignment horizontal="left" indent="1"/>
    </xf>
    <xf numFmtId="4" fontId="9" fillId="0" borderId="0" xfId="0" applyNumberFormat="1" applyFont="1" applyBorder="1"/>
    <xf numFmtId="0" fontId="40" fillId="3" borderId="0" xfId="0" applyFont="1" applyFill="1" applyBorder="1" applyAlignment="1">
      <alignment vertical="center"/>
    </xf>
    <xf numFmtId="9" fontId="0" fillId="4" borderId="0" xfId="0" applyNumberFormat="1" applyFont="1" applyFill="1" applyBorder="1"/>
    <xf numFmtId="9" fontId="7" fillId="4" borderId="0" xfId="0" applyNumberFormat="1" applyFont="1" applyFill="1" applyBorder="1"/>
    <xf numFmtId="0" fontId="9" fillId="4" borderId="0" xfId="0" applyFont="1" applyFill="1" applyBorder="1"/>
    <xf numFmtId="0" fontId="32" fillId="4" borderId="0" xfId="0" applyFont="1" applyFill="1" applyBorder="1" applyAlignment="1">
      <alignment vertical="top"/>
    </xf>
    <xf numFmtId="0" fontId="20" fillId="4" borderId="0" xfId="0" applyFont="1" applyFill="1" applyAlignment="1">
      <alignment vertical="top"/>
    </xf>
    <xf numFmtId="173" fontId="14" fillId="4" borderId="0" xfId="0" applyNumberFormat="1" applyFont="1" applyFill="1" applyBorder="1" applyAlignment="1">
      <alignment vertical="center"/>
    </xf>
    <xf numFmtId="2" fontId="41" fillId="4" borderId="0" xfId="0" applyNumberFormat="1" applyFont="1" applyFill="1" applyBorder="1" applyAlignment="1">
      <alignment vertical="center"/>
    </xf>
    <xf numFmtId="167" fontId="14" fillId="4" borderId="0" xfId="0" applyNumberFormat="1" applyFont="1" applyFill="1" applyBorder="1"/>
    <xf numFmtId="9" fontId="41" fillId="4" borderId="0" xfId="0" applyNumberFormat="1" applyFont="1" applyFill="1" applyBorder="1"/>
    <xf numFmtId="0" fontId="40" fillId="0" borderId="0" xfId="0" applyFont="1" applyBorder="1" applyAlignment="1">
      <alignment vertical="center"/>
    </xf>
    <xf numFmtId="0" fontId="14" fillId="0" borderId="0" xfId="0" applyFont="1" applyBorder="1"/>
    <xf numFmtId="4" fontId="14" fillId="0" borderId="0" xfId="0" applyNumberFormat="1" applyFont="1" applyFill="1" applyBorder="1"/>
    <xf numFmtId="9" fontId="7" fillId="0" borderId="0" xfId="0" applyNumberFormat="1" applyFont="1" applyFill="1" applyBorder="1"/>
    <xf numFmtId="4" fontId="7" fillId="0" borderId="0" xfId="0" applyNumberFormat="1" applyFont="1" applyFill="1" applyBorder="1"/>
    <xf numFmtId="0" fontId="9" fillId="0" borderId="0" xfId="0" applyFont="1" applyFill="1" applyBorder="1"/>
    <xf numFmtId="171" fontId="20" fillId="5" borderId="0" xfId="0" applyNumberFormat="1" applyFont="1" applyFill="1" applyBorder="1" applyAlignment="1">
      <alignment vertical="top"/>
    </xf>
    <xf numFmtId="0" fontId="20" fillId="5" borderId="0" xfId="0" applyFont="1" applyFill="1" applyBorder="1" applyAlignment="1">
      <alignment vertical="top"/>
    </xf>
    <xf numFmtId="0" fontId="6" fillId="0" borderId="0" xfId="0" applyFont="1" applyBorder="1" applyAlignment="1">
      <alignment vertical="center" wrapText="1"/>
    </xf>
    <xf numFmtId="0" fontId="0" fillId="3" borderId="0" xfId="0" applyFont="1" applyFill="1" applyBorder="1" applyAlignment="1">
      <alignment horizontal="left" vertical="center" wrapText="1" indent="1"/>
    </xf>
    <xf numFmtId="0" fontId="0" fillId="4" borderId="0" xfId="0" applyFont="1" applyFill="1" applyBorder="1" applyAlignment="1">
      <alignment horizontal="left" vertical="center" wrapText="1" indent="2"/>
    </xf>
    <xf numFmtId="4" fontId="14" fillId="0" borderId="0" xfId="0" applyNumberFormat="1" applyFont="1" applyBorder="1"/>
    <xf numFmtId="0" fontId="14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4" fontId="0" fillId="0" borderId="0" xfId="0" applyNumberFormat="1" applyFont="1" applyBorder="1" applyAlignment="1">
      <alignment horizontal="right"/>
    </xf>
    <xf numFmtId="9" fontId="0" fillId="0" borderId="0" xfId="0" applyNumberFormat="1" applyFont="1" applyBorder="1" applyAlignment="1">
      <alignment horizontal="right"/>
    </xf>
    <xf numFmtId="4" fontId="14" fillId="0" borderId="0" xfId="0" applyNumberFormat="1" applyFont="1" applyBorder="1" applyAlignment="1">
      <alignment horizontal="right"/>
    </xf>
    <xf numFmtId="0" fontId="41" fillId="0" borderId="0" xfId="0" applyFont="1" applyBorder="1" applyAlignment="1">
      <alignment horizontal="right"/>
    </xf>
    <xf numFmtId="0" fontId="0" fillId="3" borderId="0" xfId="0" applyFont="1" applyFill="1" applyBorder="1" applyAlignment="1">
      <alignment horizontal="right"/>
    </xf>
    <xf numFmtId="0" fontId="6" fillId="3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right"/>
    </xf>
    <xf numFmtId="2" fontId="0" fillId="0" borderId="0" xfId="0" applyNumberFormat="1" applyFont="1" applyBorder="1"/>
    <xf numFmtId="0" fontId="7" fillId="0" borderId="0" xfId="0" applyFont="1" applyBorder="1" applyAlignment="1">
      <alignment horizontal="right"/>
    </xf>
    <xf numFmtId="2" fontId="14" fillId="0" borderId="0" xfId="0" applyNumberFormat="1" applyFont="1" applyBorder="1" applyAlignment="1">
      <alignment horizontal="right"/>
    </xf>
    <xf numFmtId="9" fontId="41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horizontal="left" vertical="top" wrapText="1"/>
    </xf>
    <xf numFmtId="3" fontId="0" fillId="0" borderId="0" xfId="0" applyNumberFormat="1" applyFont="1" applyBorder="1"/>
    <xf numFmtId="3" fontId="6" fillId="0" borderId="0" xfId="0" applyNumberFormat="1" applyFont="1" applyBorder="1"/>
    <xf numFmtId="0" fontId="0" fillId="0" borderId="0" xfId="0" applyBorder="1" applyAlignment="1">
      <alignment horizontal="left" vertical="center" indent="2"/>
    </xf>
    <xf numFmtId="0" fontId="44" fillId="3" borderId="0" xfId="0" applyFont="1" applyFill="1" applyBorder="1" applyAlignment="1">
      <alignment horizontal="left" vertical="center" indent="2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/>
    <xf numFmtId="9" fontId="0" fillId="0" borderId="0" xfId="0" applyNumberFormat="1" applyFont="1" applyBorder="1" applyAlignment="1"/>
    <xf numFmtId="0" fontId="7" fillId="0" borderId="0" xfId="0" applyFont="1" applyBorder="1" applyAlignment="1"/>
    <xf numFmtId="167" fontId="0" fillId="0" borderId="0" xfId="0" applyNumberFormat="1" applyFont="1" applyBorder="1" applyAlignment="1"/>
    <xf numFmtId="4" fontId="0" fillId="0" borderId="0" xfId="0" applyNumberFormat="1" applyFont="1" applyBorder="1" applyAlignment="1"/>
    <xf numFmtId="0" fontId="41" fillId="0" borderId="0" xfId="0" applyFont="1" applyFill="1" applyBorder="1" applyAlignment="1"/>
    <xf numFmtId="0" fontId="0" fillId="0" borderId="0" xfId="0" applyFont="1" applyFill="1" applyBorder="1" applyAlignment="1"/>
    <xf numFmtId="9" fontId="41" fillId="0" borderId="0" xfId="0" applyNumberFormat="1" applyFont="1" applyBorder="1" applyAlignment="1"/>
    <xf numFmtId="3" fontId="6" fillId="3" borderId="0" xfId="0" applyNumberFormat="1" applyFont="1" applyFill="1" applyBorder="1"/>
    <xf numFmtId="0" fontId="44" fillId="4" borderId="0" xfId="0" applyFont="1" applyFill="1" applyBorder="1" applyAlignment="1">
      <alignment horizontal="left" vertical="center" indent="2"/>
    </xf>
    <xf numFmtId="4" fontId="0" fillId="2" borderId="0" xfId="0" applyNumberFormat="1" applyFont="1" applyFill="1" applyBorder="1"/>
    <xf numFmtId="0" fontId="6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left"/>
    </xf>
    <xf numFmtId="167" fontId="14" fillId="0" borderId="5" xfId="0" applyNumberFormat="1" applyFont="1" applyFill="1" applyBorder="1"/>
    <xf numFmtId="4" fontId="0" fillId="0" borderId="0" xfId="0" applyNumberFormat="1" applyFont="1" applyFill="1" applyBorder="1" applyAlignment="1">
      <alignment vertical="top"/>
    </xf>
    <xf numFmtId="0" fontId="44" fillId="0" borderId="0" xfId="0" applyFont="1" applyFill="1" applyBorder="1" applyAlignment="1">
      <alignment horizontal="left" vertical="center" indent="2"/>
    </xf>
    <xf numFmtId="0" fontId="0" fillId="0" borderId="0" xfId="0" applyFont="1" applyBorder="1" applyAlignment="1">
      <alignment horizontal="left" vertical="center" indent="2"/>
    </xf>
    <xf numFmtId="4" fontId="14" fillId="0" borderId="0" xfId="0" applyNumberFormat="1" applyFont="1"/>
    <xf numFmtId="0" fontId="14" fillId="0" borderId="0" xfId="0" applyFont="1"/>
    <xf numFmtId="0" fontId="6" fillId="0" borderId="0" xfId="0" applyFont="1" applyBorder="1" applyAlignment="1">
      <alignment horizontal="left" vertical="center" indent="2"/>
    </xf>
    <xf numFmtId="168" fontId="0" fillId="0" borderId="0" xfId="0" applyNumberFormat="1" applyFont="1" applyFill="1"/>
    <xf numFmtId="0" fontId="6" fillId="2" borderId="0" xfId="0" applyFont="1" applyFill="1"/>
    <xf numFmtId="0" fontId="6" fillId="2" borderId="0" xfId="0" applyFont="1" applyFill="1" applyAlignment="1">
      <alignment horizontal="right"/>
    </xf>
    <xf numFmtId="0" fontId="41" fillId="0" borderId="0" xfId="0" applyFont="1"/>
    <xf numFmtId="0" fontId="6" fillId="0" borderId="1" xfId="0" applyFont="1" applyFill="1" applyBorder="1"/>
    <xf numFmtId="0" fontId="0" fillId="0" borderId="1" xfId="0" applyFont="1" applyFill="1" applyBorder="1"/>
    <xf numFmtId="0" fontId="0" fillId="4" borderId="0" xfId="0" applyFont="1" applyFill="1" applyBorder="1" applyAlignment="1">
      <alignment horizontal="left" vertical="center" indent="2"/>
    </xf>
    <xf numFmtId="4" fontId="15" fillId="0" borderId="0" xfId="0" applyNumberFormat="1" applyFont="1" applyFill="1" applyBorder="1"/>
    <xf numFmtId="9" fontId="14" fillId="0" borderId="0" xfId="0" applyNumberFormat="1" applyFont="1" applyFill="1"/>
    <xf numFmtId="9" fontId="14" fillId="0" borderId="1" xfId="0" applyNumberFormat="1" applyFont="1" applyFill="1" applyBorder="1"/>
    <xf numFmtId="4" fontId="14" fillId="0" borderId="0" xfId="0" applyNumberFormat="1" applyFont="1" applyFill="1"/>
    <xf numFmtId="4" fontId="14" fillId="0" borderId="1" xfId="0" applyNumberFormat="1" applyFont="1" applyFill="1" applyBorder="1"/>
    <xf numFmtId="173" fontId="6" fillId="3" borderId="0" xfId="0" applyNumberFormat="1" applyFont="1" applyFill="1" applyBorder="1" applyAlignment="1">
      <alignment horizontal="right"/>
    </xf>
    <xf numFmtId="171" fontId="20" fillId="5" borderId="0" xfId="0" applyNumberFormat="1" applyFont="1" applyFill="1" applyBorder="1" applyAlignment="1">
      <alignment horizontal="right" vertical="center"/>
    </xf>
    <xf numFmtId="0" fontId="45" fillId="5" borderId="0" xfId="0" applyFont="1" applyFill="1"/>
    <xf numFmtId="4" fontId="13" fillId="0" borderId="0" xfId="0" applyNumberFormat="1" applyFont="1" applyFill="1" applyBorder="1"/>
    <xf numFmtId="167" fontId="6" fillId="3" borderId="6" xfId="0" applyNumberFormat="1" applyFont="1" applyFill="1" applyBorder="1"/>
    <xf numFmtId="4" fontId="15" fillId="3" borderId="6" xfId="0" applyNumberFormat="1" applyFont="1" applyFill="1" applyBorder="1"/>
    <xf numFmtId="174" fontId="6" fillId="3" borderId="6" xfId="0" applyNumberFormat="1" applyFont="1" applyFill="1" applyBorder="1" applyAlignment="1">
      <alignment horizontal="right" vertical="top"/>
    </xf>
    <xf numFmtId="4" fontId="6" fillId="3" borderId="6" xfId="0" applyNumberFormat="1" applyFont="1" applyFill="1" applyBorder="1"/>
    <xf numFmtId="0" fontId="15" fillId="3" borderId="0" xfId="0" applyFont="1" applyFill="1" applyBorder="1"/>
    <xf numFmtId="173" fontId="15" fillId="3" borderId="0" xfId="0" applyNumberFormat="1" applyFont="1" applyFill="1" applyBorder="1"/>
    <xf numFmtId="0" fontId="0" fillId="0" borderId="5" xfId="0" applyFont="1" applyBorder="1"/>
    <xf numFmtId="9" fontId="0" fillId="0" borderId="5" xfId="0" applyNumberFormat="1" applyFont="1" applyBorder="1"/>
    <xf numFmtId="9" fontId="41" fillId="0" borderId="5" xfId="0" applyNumberFormat="1" applyFont="1" applyBorder="1"/>
    <xf numFmtId="0" fontId="46" fillId="0" borderId="0" xfId="0" applyFont="1" applyBorder="1" applyAlignment="1">
      <alignment horizontal="left" indent="1"/>
    </xf>
    <xf numFmtId="0" fontId="47" fillId="0" borderId="0" xfId="0" applyFont="1" applyBorder="1" applyAlignment="1">
      <alignment horizontal="left" vertical="top" wrapText="1" indent="2"/>
    </xf>
    <xf numFmtId="167" fontId="0" fillId="4" borderId="5" xfId="0" applyNumberFormat="1" applyFont="1" applyFill="1" applyBorder="1"/>
    <xf numFmtId="0" fontId="7" fillId="4" borderId="5" xfId="0" applyFont="1" applyFill="1" applyBorder="1"/>
    <xf numFmtId="0" fontId="44" fillId="4" borderId="0" xfId="0" applyFont="1" applyFill="1" applyBorder="1" applyAlignment="1">
      <alignment vertical="top"/>
    </xf>
    <xf numFmtId="9" fontId="41" fillId="0" borderId="0" xfId="0" applyNumberFormat="1" applyFont="1" applyFill="1" applyBorder="1"/>
    <xf numFmtId="174" fontId="0" fillId="0" borderId="0" xfId="0" applyNumberFormat="1" applyFont="1" applyFill="1" applyBorder="1"/>
    <xf numFmtId="174" fontId="7" fillId="0" borderId="0" xfId="0" applyNumberFormat="1" applyFont="1" applyFill="1" applyBorder="1"/>
    <xf numFmtId="174" fontId="6" fillId="0" borderId="0" xfId="0" applyNumberFormat="1" applyFont="1" applyFill="1" applyBorder="1"/>
    <xf numFmtId="174" fontId="6" fillId="3" borderId="0" xfId="0" applyNumberFormat="1" applyFont="1" applyFill="1" applyBorder="1"/>
    <xf numFmtId="0" fontId="0" fillId="3" borderId="0" xfId="0" applyFont="1" applyFill="1" applyBorder="1" applyAlignment="1">
      <alignment horizontal="center"/>
    </xf>
    <xf numFmtId="0" fontId="6" fillId="2" borderId="0" xfId="0" applyFont="1" applyFill="1" applyBorder="1"/>
    <xf numFmtId="0" fontId="6" fillId="2" borderId="0" xfId="0" applyFont="1" applyFill="1" applyBorder="1" applyAlignment="1">
      <alignment horizontal="right"/>
    </xf>
    <xf numFmtId="9" fontId="8" fillId="0" borderId="0" xfId="20" applyFont="1" applyFill="1" applyBorder="1"/>
    <xf numFmtId="9" fontId="13" fillId="0" borderId="0" xfId="20" applyFont="1" applyFill="1" applyBorder="1"/>
    <xf numFmtId="171" fontId="20" fillId="5" borderId="0" xfId="0" applyNumberFormat="1" applyFont="1" applyFill="1" applyBorder="1" applyAlignment="1">
      <alignment horizontal="center" vertical="top"/>
    </xf>
    <xf numFmtId="0" fontId="20" fillId="5" borderId="0" xfId="0" applyFont="1" applyFill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8" fillId="0" borderId="0" xfId="0" applyFont="1"/>
    <xf numFmtId="0" fontId="42" fillId="5" borderId="0" xfId="0" applyFont="1" applyFill="1" applyBorder="1" applyAlignment="1">
      <alignment horizontal="center"/>
    </xf>
    <xf numFmtId="174" fontId="42" fillId="5" borderId="0" xfId="0" applyNumberFormat="1" applyFont="1" applyFill="1" applyBorder="1" applyAlignment="1">
      <alignment horizontal="center"/>
    </xf>
    <xf numFmtId="173" fontId="44" fillId="3" borderId="0" xfId="0" applyNumberFormat="1" applyFont="1" applyFill="1" applyBorder="1" applyAlignment="1">
      <alignment horizontal="left" vertical="center" indent="2"/>
    </xf>
    <xf numFmtId="0" fontId="49" fillId="0" borderId="0" xfId="0" applyFont="1" applyBorder="1" applyAlignment="1">
      <alignment horizontal="left" vertical="center" indent="2"/>
    </xf>
    <xf numFmtId="0" fontId="50" fillId="0" borderId="0" xfId="0" applyFont="1" applyFill="1" applyBorder="1" applyAlignment="1">
      <alignment horizontal="left" vertical="center" indent="2"/>
    </xf>
  </cellXfs>
  <cellStyles count="21">
    <cellStyle name="Assume #" xfId="2"/>
    <cellStyle name="Assume %" xfId="3"/>
    <cellStyle name="Comma 2" xfId="4"/>
    <cellStyle name="Comma 2 2" xfId="5"/>
    <cellStyle name="Comma 3" xfId="6"/>
    <cellStyle name="Comma 4" xfId="7"/>
    <cellStyle name="Comma 5" xfId="8"/>
    <cellStyle name="Currency 2" xfId="9"/>
    <cellStyle name="Currency 3" xfId="10"/>
    <cellStyle name="Estimates" xfId="11"/>
    <cellStyle name="GivenData" xfId="12"/>
    <cellStyle name="Hyperlink" xfId="1" builtinId="8"/>
    <cellStyle name="Normal" xfId="0" builtinId="0"/>
    <cellStyle name="Normal 2" xfId="13"/>
    <cellStyle name="Normal 2 2" xfId="14"/>
    <cellStyle name="Normal 2 2 2" xfId="15"/>
    <cellStyle name="Normal 3" xfId="16"/>
    <cellStyle name="Percent" xfId="20" builtinId="5"/>
    <cellStyle name="Percent 2" xfId="17"/>
    <cellStyle name="Percent 2 2" xfId="18"/>
    <cellStyle name="Percent 3" xfId="19"/>
  </cellStyles>
  <dxfs count="0"/>
  <tableStyles count="0" defaultTableStyle="TableStyleMedium2" defaultPivotStyle="PivotStyleLight16"/>
  <colors>
    <mruColors>
      <color rgb="FF009999"/>
      <color rgb="FFFFFF9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108356</xdr:colOff>
      <xdr:row>3</xdr:row>
      <xdr:rowOff>57150</xdr:rowOff>
    </xdr:from>
    <xdr:to>
      <xdr:col>2</xdr:col>
      <xdr:colOff>224713</xdr:colOff>
      <xdr:row>5</xdr:row>
      <xdr:rowOff>133350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56" y="847725"/>
          <a:ext cx="1459382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347381</xdr:colOff>
      <xdr:row>41</xdr:row>
      <xdr:rowOff>123265</xdr:rowOff>
    </xdr:from>
    <xdr:to>
      <xdr:col>22</xdr:col>
      <xdr:colOff>47521</xdr:colOff>
      <xdr:row>52</xdr:row>
      <xdr:rowOff>56028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7999" y="1882589"/>
          <a:ext cx="6356434" cy="202826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ducba/Madhuri/WallStreetMojo%20Articles/Articles/Financial%20Models/M&amp;M%20With%20solu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arbucks%20Model_Without%20Solu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dex"/>
      <sheetName val="Overview"/>
      <sheetName val="Income Statement"/>
      <sheetName val="Balance Sheet"/>
      <sheetName val="Cash Flow Statement"/>
      <sheetName val="Ratio Analysis"/>
      <sheetName val="Revenue Buildup"/>
      <sheetName val="Cost Sheet"/>
      <sheetName val="Working Capital Management"/>
      <sheetName val="Depreciation Schedule"/>
      <sheetName val="Amortization Schedule"/>
      <sheetName val="Shareholder's Equity Schedule"/>
      <sheetName val="Debt Schedule"/>
      <sheetName val="DCF Valuation"/>
      <sheetName val="Relative Valuation"/>
      <sheetName val="Recommendation"/>
      <sheetName val="Recommendation detai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come Statement"/>
      <sheetName val="Balance Sheet"/>
      <sheetName val="Cash Flow Stat"/>
      <sheetName val="Ratio Analysis"/>
      <sheetName val="Revenue Drivers"/>
      <sheetName val="Cost Drivers"/>
      <sheetName val="Working Capital Forecast"/>
      <sheetName val="PPE Schedule"/>
      <sheetName val="Debt Schedule"/>
      <sheetName val="Shareholders Equity Schedule"/>
      <sheetName val="DCF Explanation"/>
      <sheetName val="DCF Valuation"/>
      <sheetName val="Compar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04C55"/>
  </sheetPr>
  <dimension ref="A1:H32"/>
  <sheetViews>
    <sheetView showGridLines="0" zoomScaleNormal="100" workbookViewId="0">
      <selection activeCell="J9" sqref="J9"/>
    </sheetView>
  </sheetViews>
  <sheetFormatPr defaultRowHeight="15"/>
  <cols>
    <col min="1" max="1" width="11" style="26" customWidth="1"/>
    <col min="2" max="2" width="9.140625" style="26"/>
    <col min="3" max="3" width="4.42578125" style="26" customWidth="1"/>
    <col min="4" max="4" width="9.140625" style="26"/>
    <col min="5" max="5" width="5.85546875" style="26" customWidth="1"/>
    <col min="6" max="6" width="26.140625" style="26" customWidth="1"/>
    <col min="7" max="7" width="11.28515625" style="26" customWidth="1"/>
    <col min="8" max="8" width="34.28515625" style="26" customWidth="1"/>
    <col min="9" max="16384" width="9.140625" style="26"/>
  </cols>
  <sheetData>
    <row r="1" spans="1:8" ht="32.25">
      <c r="A1" s="63" t="s">
        <v>296</v>
      </c>
      <c r="B1" s="64"/>
      <c r="C1" s="64"/>
      <c r="D1" s="64"/>
      <c r="E1" s="64"/>
      <c r="F1" s="64"/>
      <c r="G1" s="64"/>
      <c r="H1" s="64"/>
    </row>
    <row r="2" spans="1:8">
      <c r="A2" s="65" t="s">
        <v>314</v>
      </c>
      <c r="B2" s="68"/>
      <c r="C2" s="64"/>
      <c r="D2" s="64"/>
      <c r="E2" s="64"/>
      <c r="F2" s="68" t="s">
        <v>315</v>
      </c>
      <c r="G2" s="69"/>
      <c r="H2" s="67"/>
    </row>
    <row r="3" spans="1:8">
      <c r="A3" s="290" t="s">
        <v>319</v>
      </c>
      <c r="B3" s="68"/>
      <c r="C3" s="64"/>
      <c r="D3" s="64"/>
      <c r="E3" s="64"/>
      <c r="F3" s="68"/>
      <c r="G3" s="69"/>
      <c r="H3" s="67"/>
    </row>
    <row r="4" spans="1:8">
      <c r="A4" s="4"/>
      <c r="B4" s="4"/>
      <c r="C4" s="4"/>
      <c r="D4" s="4"/>
      <c r="E4" s="4"/>
      <c r="F4" s="4"/>
      <c r="G4" s="4"/>
      <c r="H4" s="4"/>
    </row>
    <row r="5" spans="1:8">
      <c r="A5" s="4"/>
      <c r="B5" s="4"/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 ht="15.75">
      <c r="B7" s="70" t="s">
        <v>281</v>
      </c>
      <c r="C7" s="71"/>
      <c r="D7" s="72"/>
      <c r="E7" s="72"/>
    </row>
    <row r="8" spans="1:8">
      <c r="A8" s="4"/>
      <c r="B8" s="4"/>
      <c r="C8" s="73" t="s">
        <v>0</v>
      </c>
      <c r="D8" s="4"/>
      <c r="E8" s="4"/>
      <c r="F8" s="4"/>
      <c r="G8" s="4"/>
      <c r="H8" s="4"/>
    </row>
    <row r="9" spans="1:8">
      <c r="A9" s="4"/>
      <c r="B9" s="4"/>
      <c r="C9" s="73" t="s">
        <v>50</v>
      </c>
      <c r="D9" s="4"/>
      <c r="E9" s="4"/>
      <c r="F9" s="4"/>
      <c r="G9" s="4"/>
      <c r="H9" s="4"/>
    </row>
    <row r="10" spans="1:8">
      <c r="A10" s="4"/>
      <c r="B10" s="4"/>
      <c r="C10" s="73" t="s">
        <v>282</v>
      </c>
      <c r="D10" s="4"/>
      <c r="E10" s="4"/>
      <c r="F10" s="4"/>
      <c r="G10" s="4"/>
      <c r="H10" s="4"/>
    </row>
    <row r="11" spans="1:8">
      <c r="A11" s="4"/>
      <c r="B11" s="4"/>
      <c r="C11" s="74"/>
      <c r="D11" s="4"/>
      <c r="E11" s="4"/>
      <c r="F11" s="4"/>
      <c r="G11" s="4"/>
      <c r="H11" s="4"/>
    </row>
    <row r="12" spans="1:8" ht="15.75">
      <c r="B12" s="70" t="s">
        <v>283</v>
      </c>
      <c r="C12" s="75"/>
    </row>
    <row r="13" spans="1:8">
      <c r="A13" s="4"/>
      <c r="B13" s="76"/>
      <c r="C13" s="73" t="s">
        <v>228</v>
      </c>
      <c r="D13" s="4"/>
      <c r="E13" s="4"/>
      <c r="F13" s="4"/>
      <c r="G13" s="4"/>
      <c r="H13" s="4"/>
    </row>
    <row r="14" spans="1:8">
      <c r="A14" s="4"/>
      <c r="B14" s="76"/>
      <c r="C14" s="73" t="s">
        <v>311</v>
      </c>
      <c r="D14" s="4"/>
      <c r="E14" s="4"/>
      <c r="F14" s="4"/>
      <c r="G14" s="4"/>
      <c r="H14" s="4"/>
    </row>
    <row r="15" spans="1:8">
      <c r="A15" s="4"/>
      <c r="B15" s="76"/>
      <c r="C15" s="73" t="s">
        <v>310</v>
      </c>
      <c r="D15" s="4"/>
      <c r="E15" s="4"/>
      <c r="F15" s="4"/>
      <c r="G15" s="4"/>
      <c r="H15" s="4"/>
    </row>
    <row r="16" spans="1:8">
      <c r="A16" s="4"/>
      <c r="B16" s="4"/>
      <c r="C16" s="73" t="s">
        <v>284</v>
      </c>
      <c r="D16" s="4"/>
      <c r="E16" s="4"/>
      <c r="F16" s="4"/>
      <c r="G16" s="4"/>
      <c r="H16" s="4"/>
    </row>
    <row r="17" spans="1:8">
      <c r="A17" s="4"/>
      <c r="B17" s="4"/>
      <c r="C17" s="73" t="s">
        <v>312</v>
      </c>
      <c r="D17" s="4"/>
      <c r="E17" s="4"/>
      <c r="F17" s="4"/>
      <c r="G17" s="4"/>
      <c r="H17" s="4"/>
    </row>
    <row r="18" spans="1:8">
      <c r="A18" s="4"/>
      <c r="B18" s="4"/>
      <c r="C18" s="73" t="s">
        <v>313</v>
      </c>
      <c r="D18" s="4"/>
      <c r="E18" s="4"/>
      <c r="F18" s="4"/>
      <c r="G18" s="4"/>
      <c r="H18" s="4"/>
    </row>
    <row r="19" spans="1:8">
      <c r="A19" s="4"/>
      <c r="B19" s="4"/>
      <c r="C19" s="73" t="s">
        <v>285</v>
      </c>
      <c r="D19" s="4"/>
      <c r="E19" s="4"/>
      <c r="F19" s="4"/>
      <c r="G19" s="4"/>
      <c r="H19" s="4"/>
    </row>
    <row r="20" spans="1:8">
      <c r="A20" s="4"/>
      <c r="B20" s="74"/>
      <c r="C20" s="74"/>
      <c r="D20" s="4"/>
      <c r="E20" s="4"/>
      <c r="F20" s="4"/>
      <c r="G20" s="4"/>
      <c r="H20" s="4"/>
    </row>
    <row r="21" spans="1:8" ht="15.75">
      <c r="B21" s="70" t="s">
        <v>286</v>
      </c>
    </row>
    <row r="22" spans="1:8">
      <c r="A22" s="4"/>
      <c r="B22" s="4"/>
      <c r="C22" s="73" t="s">
        <v>287</v>
      </c>
      <c r="D22" s="4"/>
      <c r="E22" s="4"/>
      <c r="F22" s="4"/>
      <c r="G22" s="4"/>
      <c r="H22" s="4"/>
    </row>
    <row r="23" spans="1:8">
      <c r="A23" s="4"/>
      <c r="B23" s="4"/>
      <c r="C23" s="77"/>
      <c r="D23" s="4"/>
      <c r="E23" s="4"/>
      <c r="F23" s="4"/>
      <c r="G23" s="4"/>
      <c r="H23" s="4"/>
    </row>
    <row r="24" spans="1:8">
      <c r="A24" s="78" t="s">
        <v>288</v>
      </c>
      <c r="B24" s="79" t="s">
        <v>289</v>
      </c>
      <c r="C24" s="80"/>
      <c r="D24" s="66"/>
      <c r="E24" s="66"/>
      <c r="F24" s="66"/>
      <c r="G24" s="66"/>
      <c r="H24" s="66"/>
    </row>
    <row r="25" spans="1:8">
      <c r="A25" s="66"/>
      <c r="B25" s="79" t="s">
        <v>316</v>
      </c>
      <c r="C25" s="80"/>
      <c r="D25" s="66"/>
      <c r="E25" s="66"/>
      <c r="F25" s="66"/>
      <c r="G25" s="66"/>
      <c r="H25" s="66"/>
    </row>
    <row r="26" spans="1:8">
      <c r="A26" s="66"/>
      <c r="B26" s="79" t="s">
        <v>317</v>
      </c>
      <c r="C26" s="80"/>
      <c r="D26" s="66"/>
      <c r="E26" s="66"/>
      <c r="F26" s="66"/>
      <c r="G26" s="66"/>
      <c r="H26" s="66"/>
    </row>
    <row r="27" spans="1:8">
      <c r="A27" s="66"/>
      <c r="B27" s="79" t="s">
        <v>290</v>
      </c>
      <c r="C27" s="80"/>
      <c r="D27" s="66"/>
      <c r="E27" s="66"/>
      <c r="F27" s="66"/>
      <c r="G27" s="66"/>
      <c r="H27" s="66"/>
    </row>
    <row r="28" spans="1:8">
      <c r="A28" s="66"/>
      <c r="B28" s="79"/>
      <c r="C28" s="80"/>
      <c r="D28" s="66"/>
      <c r="E28" s="66"/>
      <c r="F28" s="66"/>
      <c r="G28" s="66"/>
      <c r="H28" s="66"/>
    </row>
    <row r="29" spans="1:8">
      <c r="A29" s="65" t="s">
        <v>291</v>
      </c>
      <c r="B29" s="79" t="s">
        <v>318</v>
      </c>
      <c r="C29" s="80"/>
      <c r="D29" s="66"/>
      <c r="E29" s="66"/>
      <c r="F29" s="66"/>
      <c r="G29" s="66"/>
      <c r="H29" s="66"/>
    </row>
    <row r="30" spans="1:8" ht="14.25" customHeight="1">
      <c r="A30" s="81"/>
      <c r="B30" s="79" t="s">
        <v>292</v>
      </c>
      <c r="C30" s="64"/>
      <c r="D30" s="64"/>
      <c r="E30" s="64"/>
      <c r="F30" s="64"/>
      <c r="G30" s="64"/>
      <c r="H30" s="64"/>
    </row>
    <row r="31" spans="1:8" ht="9" customHeight="1">
      <c r="A31" s="81"/>
      <c r="B31" s="64"/>
      <c r="C31" s="64"/>
      <c r="D31" s="64"/>
      <c r="E31" s="64"/>
      <c r="F31" s="64"/>
      <c r="G31" s="64"/>
      <c r="H31" s="64"/>
    </row>
    <row r="32" spans="1:8">
      <c r="A32" s="4"/>
      <c r="B32" s="4"/>
      <c r="C32" s="77"/>
      <c r="D32" s="4"/>
      <c r="E32" s="4"/>
      <c r="F32" s="4"/>
      <c r="G32" s="4"/>
      <c r="H32" s="4"/>
    </row>
  </sheetData>
  <hyperlinks>
    <hyperlink ref="B21" location="Index!A1" display="Valuations"/>
    <hyperlink ref="C8" location="'Income Statement'!A1" display="Income Statement"/>
    <hyperlink ref="C10" location="'Cash Flow Stat'!A1" display="Cash Flows"/>
    <hyperlink ref="C13" location="'Ratio Analysis'!A1" display="Ratio Analysis"/>
    <hyperlink ref="C14" location="'Revenue Drivers'!A1" display="Revenue Built-up"/>
    <hyperlink ref="C15" location="'Cost Drivers'!A1" display="Cost Sheet"/>
    <hyperlink ref="C16" location="'Working Capital Forecast'!A1" display="Working Capital"/>
    <hyperlink ref="C17" location="'PPE Schedule'!A1" display="Depreciation Schedule"/>
    <hyperlink ref="C18" location="'Shareholders Equity Schedule'!A1" display="Shareholder's Equity"/>
    <hyperlink ref="C19" location="'Debt Schedule'!A1" display="Debt Schedule"/>
    <hyperlink ref="C22" location="'DCF Valuation'!A1" display="DCF Valuation"/>
    <hyperlink ref="C9" location="'Balance Sheet'!A1" display="Balance Sheet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showGridLines="0" zoomScale="90" zoomScaleNormal="90" workbookViewId="0">
      <pane xSplit="2" ySplit="2" topLeftCell="C9" activePane="bottomRight" state="frozen"/>
      <selection pane="topRight" activeCell="C1" sqref="C1"/>
      <selection pane="bottomLeft" activeCell="A5" sqref="A5"/>
      <selection pane="bottomRight" activeCell="K19" sqref="K19"/>
    </sheetView>
  </sheetViews>
  <sheetFormatPr defaultRowHeight="15"/>
  <cols>
    <col min="1" max="1" width="3.7109375" style="91" customWidth="1"/>
    <col min="2" max="2" width="48.7109375" style="2" customWidth="1"/>
    <col min="3" max="3" width="3.7109375" style="1" customWidth="1"/>
    <col min="4" max="5" width="12.7109375" style="1" customWidth="1"/>
    <col min="6" max="9" width="12.7109375" style="2" customWidth="1"/>
    <col min="10" max="11" width="12.7109375" style="1" customWidth="1"/>
    <col min="12" max="16384" width="9.140625" style="8"/>
  </cols>
  <sheetData>
    <row r="1" spans="1:12" ht="31.5">
      <c r="A1" s="86" t="s">
        <v>296</v>
      </c>
      <c r="B1" s="86"/>
      <c r="C1" s="82"/>
      <c r="D1" s="322" t="s">
        <v>293</v>
      </c>
      <c r="E1" s="322"/>
      <c r="F1" s="322"/>
      <c r="G1" s="322" t="s">
        <v>294</v>
      </c>
      <c r="H1" s="322"/>
      <c r="I1" s="322"/>
      <c r="J1" s="322"/>
      <c r="K1" s="322"/>
    </row>
    <row r="2" spans="1:12" s="112" customFormat="1" ht="16.5" customHeight="1">
      <c r="A2" s="90" t="s">
        <v>295</v>
      </c>
      <c r="B2" s="86"/>
      <c r="C2" s="83"/>
      <c r="D2" s="111">
        <v>2019</v>
      </c>
      <c r="E2" s="111">
        <f t="shared" ref="E2:K2" si="0">D2+1</f>
        <v>2020</v>
      </c>
      <c r="F2" s="111">
        <f t="shared" si="0"/>
        <v>2021</v>
      </c>
      <c r="G2" s="111">
        <f t="shared" si="0"/>
        <v>2022</v>
      </c>
      <c r="H2" s="111">
        <f t="shared" si="0"/>
        <v>2023</v>
      </c>
      <c r="I2" s="111">
        <f t="shared" si="0"/>
        <v>2024</v>
      </c>
      <c r="J2" s="111">
        <f t="shared" si="0"/>
        <v>2025</v>
      </c>
      <c r="K2" s="111">
        <f t="shared" si="0"/>
        <v>2026</v>
      </c>
    </row>
    <row r="3" spans="1:12">
      <c r="B3" s="87" t="s">
        <v>1</v>
      </c>
      <c r="C3" s="4"/>
      <c r="D3" s="8"/>
      <c r="E3" s="8"/>
      <c r="F3" s="8"/>
      <c r="G3" s="8"/>
      <c r="H3" s="8"/>
      <c r="I3" s="8"/>
      <c r="J3" s="8"/>
      <c r="K3" s="8"/>
    </row>
    <row r="4" spans="1:12">
      <c r="B4" s="21" t="s">
        <v>135</v>
      </c>
      <c r="C4" s="9"/>
      <c r="D4" s="12"/>
      <c r="E4" s="62">
        <f>'Revenue Drivers'!E57</f>
        <v>16296.199999999999</v>
      </c>
      <c r="F4" s="62">
        <f>'Revenue Drivers'!F57</f>
        <v>20447.900000000001</v>
      </c>
      <c r="G4" s="62">
        <f>'Revenue Drivers'!G57</f>
        <v>23650.803999999996</v>
      </c>
      <c r="H4" s="62">
        <f>'Revenue Drivers'!H57</f>
        <v>26629.631719999994</v>
      </c>
      <c r="I4" s="62">
        <f>'Revenue Drivers'!I57</f>
        <v>28473.116129199992</v>
      </c>
      <c r="J4" s="62">
        <f>'Revenue Drivers'!J57</f>
        <v>30444.409058371995</v>
      </c>
      <c r="K4" s="62">
        <f>'Revenue Drivers'!K57</f>
        <v>32552.382980593713</v>
      </c>
      <c r="L4" s="112"/>
    </row>
    <row r="5" spans="1:12">
      <c r="B5" s="21" t="s">
        <v>136</v>
      </c>
      <c r="C5" s="9"/>
      <c r="D5" s="50"/>
      <c r="E5" s="62">
        <f>'Revenue Drivers'!E75</f>
        <v>5230.6000000000004</v>
      </c>
      <c r="F5" s="62">
        <f>'Revenue Drivers'!F75</f>
        <v>6921.6</v>
      </c>
      <c r="G5" s="94">
        <f>'Revenue Drivers'!G75</f>
        <v>8445.5189999999984</v>
      </c>
      <c r="H5" s="94">
        <f>'Revenue Drivers'!H75</f>
        <v>10057.97352</v>
      </c>
      <c r="I5" s="94">
        <f>'Revenue Drivers'!I75</f>
        <v>11510.044645199998</v>
      </c>
      <c r="J5" s="94">
        <f>'Revenue Drivers'!J75</f>
        <v>13059.57826092</v>
      </c>
      <c r="K5" s="94">
        <f>'Revenue Drivers'!K75</f>
        <v>14819.859319380004</v>
      </c>
    </row>
    <row r="6" spans="1:12" ht="15.75" thickBot="1">
      <c r="B6" s="21" t="s">
        <v>279</v>
      </c>
      <c r="C6" s="9"/>
      <c r="D6" s="103"/>
      <c r="E6" s="104">
        <f>'Revenue Drivers'!E77+'Revenue Drivers'!E80</f>
        <v>1991.2</v>
      </c>
      <c r="F6" s="104">
        <f>'Revenue Drivers'!F77+'Revenue Drivers'!F80</f>
        <v>1691.1</v>
      </c>
      <c r="G6" s="105">
        <f>'Revenue Drivers'!G77+'Revenue Drivers'!G80</f>
        <v>1786.3799999999999</v>
      </c>
      <c r="H6" s="105">
        <f>'Revenue Drivers'!H77+'Revenue Drivers'!H80</f>
        <v>1868.0141999999998</v>
      </c>
      <c r="I6" s="105">
        <f>'Revenue Drivers'!I77+'Revenue Drivers'!I80</f>
        <v>1946.5688579999999</v>
      </c>
      <c r="J6" s="105">
        <f>'Revenue Drivers'!J77+'Revenue Drivers'!J80</f>
        <v>2028.5340886199999</v>
      </c>
      <c r="K6" s="105">
        <f>'Revenue Drivers'!K77+'Revenue Drivers'!K80</f>
        <v>2114.0651018058002</v>
      </c>
    </row>
    <row r="7" spans="1:12">
      <c r="B7" s="89" t="s">
        <v>23</v>
      </c>
      <c r="C7" s="102"/>
      <c r="D7" s="95">
        <v>26508.600000000002</v>
      </c>
      <c r="E7" s="95">
        <f t="shared" ref="E7:F7" si="1">SUM(E4:E6)</f>
        <v>23518</v>
      </c>
      <c r="F7" s="95">
        <f t="shared" si="1"/>
        <v>29060.6</v>
      </c>
      <c r="G7" s="95">
        <f>SUM(G4:G6)</f>
        <v>33882.702999999994</v>
      </c>
      <c r="H7" s="95">
        <f t="shared" ref="H7:J7" si="2">SUM(H4:H6)</f>
        <v>38555.619439999988</v>
      </c>
      <c r="I7" s="95">
        <f t="shared" si="2"/>
        <v>41929.729632399991</v>
      </c>
      <c r="J7" s="95">
        <f t="shared" si="2"/>
        <v>45532.521407911991</v>
      </c>
      <c r="K7" s="95">
        <f t="shared" ref="K7" si="3">SUM(K4:K6)</f>
        <v>49486.307401779515</v>
      </c>
    </row>
    <row r="8" spans="1:12" s="6" customFormat="1">
      <c r="A8" s="92"/>
      <c r="B8" s="21" t="s">
        <v>14</v>
      </c>
      <c r="E8" s="314">
        <f>E7/D7-1</f>
        <v>-0.11281621813298337</v>
      </c>
      <c r="F8" s="314">
        <f>F7/E7-1</f>
        <v>0.23567480227910531</v>
      </c>
      <c r="G8" s="315">
        <f t="shared" ref="G8:K8" si="4">G7/F7-1</f>
        <v>0.16593267172735571</v>
      </c>
      <c r="H8" s="315">
        <f t="shared" si="4"/>
        <v>0.13791451172003577</v>
      </c>
      <c r="I8" s="315">
        <f t="shared" si="4"/>
        <v>8.751279946755286E-2</v>
      </c>
      <c r="J8" s="315">
        <f t="shared" si="4"/>
        <v>8.5924517212437435E-2</v>
      </c>
      <c r="K8" s="315">
        <f t="shared" si="4"/>
        <v>8.6834330092260048E-2</v>
      </c>
    </row>
    <row r="9" spans="1:12" s="6" customFormat="1">
      <c r="A9" s="92"/>
      <c r="E9" s="13"/>
      <c r="F9" s="13"/>
      <c r="G9" s="58"/>
      <c r="H9" s="58"/>
      <c r="I9" s="58"/>
      <c r="J9" s="58"/>
      <c r="K9" s="58"/>
    </row>
    <row r="10" spans="1:12" s="56" customFormat="1">
      <c r="A10" s="93"/>
      <c r="B10" s="87" t="s">
        <v>2</v>
      </c>
      <c r="G10" s="85"/>
      <c r="H10" s="85"/>
      <c r="I10" s="85"/>
      <c r="J10" s="85"/>
      <c r="K10" s="85"/>
    </row>
    <row r="11" spans="1:12">
      <c r="B11" s="21" t="s">
        <v>24</v>
      </c>
      <c r="C11" s="8"/>
      <c r="D11" s="100">
        <v>8526.9</v>
      </c>
      <c r="E11" s="100">
        <v>7694.9</v>
      </c>
      <c r="F11" s="100">
        <v>8738.7000000000007</v>
      </c>
      <c r="G11" s="94">
        <f>+'Cost Drivers'!G5</f>
        <v>10188.735838423845</v>
      </c>
      <c r="H11" s="94">
        <f>+'Cost Drivers'!H5</f>
        <v>11593.910366624499</v>
      </c>
      <c r="I11" s="94">
        <f>+'Cost Drivers'!I5</f>
        <v>12608.525919583692</v>
      </c>
      <c r="J11" s="94">
        <f>+'Cost Drivers'!J5</f>
        <v>13691.907421984424</v>
      </c>
      <c r="K11" s="94">
        <f>+'Cost Drivers'!K5</f>
        <v>14880.835030657683</v>
      </c>
    </row>
    <row r="12" spans="1:12">
      <c r="B12" s="21" t="s">
        <v>25</v>
      </c>
      <c r="C12" s="8"/>
      <c r="D12" s="100">
        <v>10493.6</v>
      </c>
      <c r="E12" s="100">
        <v>10764</v>
      </c>
      <c r="F12" s="100">
        <v>11930.9</v>
      </c>
      <c r="G12" s="94">
        <f>+'Cost Drivers'!G8</f>
        <v>13910.626113111908</v>
      </c>
      <c r="H12" s="94">
        <f>+'Cost Drivers'!H8</f>
        <v>15829.103321221717</v>
      </c>
      <c r="I12" s="94">
        <f>+'Cost Drivers'!I8</f>
        <v>17214.35246592297</v>
      </c>
      <c r="J12" s="94">
        <f>+'Cost Drivers'!J8</f>
        <v>18693.48739068213</v>
      </c>
      <c r="K12" s="94">
        <f>+'Cost Drivers'!K8</f>
        <v>20316.723845340126</v>
      </c>
    </row>
    <row r="13" spans="1:12" ht="15.75" thickBot="1">
      <c r="B13" s="21" t="s">
        <v>26</v>
      </c>
      <c r="C13" s="8"/>
      <c r="D13" s="103">
        <v>371</v>
      </c>
      <c r="E13" s="103">
        <v>430.3</v>
      </c>
      <c r="F13" s="107">
        <v>359.5</v>
      </c>
      <c r="G13" s="105">
        <f>+'Cost Drivers'!G11</f>
        <v>419.15279548598443</v>
      </c>
      <c r="H13" s="105">
        <f>+'Cost Drivers'!H11</f>
        <v>476.96004861152204</v>
      </c>
      <c r="I13" s="105">
        <f>+'Cost Drivers'!I11</f>
        <v>518.70015769969643</v>
      </c>
      <c r="J13" s="105">
        <f>+'Cost Drivers'!J11</f>
        <v>563.26921832805795</v>
      </c>
      <c r="K13" s="105">
        <f>+'Cost Drivers'!K11</f>
        <v>612.18032356316587</v>
      </c>
    </row>
    <row r="14" spans="1:12">
      <c r="B14" s="89" t="s">
        <v>31</v>
      </c>
      <c r="C14" s="29"/>
      <c r="D14" s="95">
        <f>SUM(D11:D13)</f>
        <v>19391.5</v>
      </c>
      <c r="E14" s="95">
        <f t="shared" ref="E14:F14" si="5">SUM(E11:E13)</f>
        <v>18889.2</v>
      </c>
      <c r="F14" s="95">
        <f t="shared" si="5"/>
        <v>21029.1</v>
      </c>
      <c r="G14" s="101">
        <f>SUM(G11:G13)</f>
        <v>24518.514747021738</v>
      </c>
      <c r="H14" s="101">
        <f t="shared" ref="H14:J14" si="6">SUM(H11:H13)</f>
        <v>27899.973736457738</v>
      </c>
      <c r="I14" s="101">
        <f t="shared" si="6"/>
        <v>30341.578543206357</v>
      </c>
      <c r="J14" s="101">
        <f t="shared" si="6"/>
        <v>32948.664030994616</v>
      </c>
      <c r="K14" s="101">
        <f t="shared" ref="K14" si="7">SUM(K11:K13)</f>
        <v>35809.73919956098</v>
      </c>
    </row>
    <row r="15" spans="1:12" s="6" customFormat="1" ht="15.75" thickBot="1">
      <c r="A15" s="92"/>
      <c r="B15" s="21" t="s">
        <v>15</v>
      </c>
      <c r="D15" s="106">
        <f>D14/D7</f>
        <v>0.73151731890782612</v>
      </c>
      <c r="E15" s="106">
        <f t="shared" ref="E15:F15" si="8">E14/E7</f>
        <v>0.8031805425631432</v>
      </c>
      <c r="F15" s="106">
        <f t="shared" si="8"/>
        <v>0.72362924371829895</v>
      </c>
      <c r="G15" s="106">
        <f t="shared" ref="G15:J15" si="9">G14/G7</f>
        <v>0.72362924371829906</v>
      </c>
      <c r="H15" s="106">
        <f t="shared" si="9"/>
        <v>0.72362924371829895</v>
      </c>
      <c r="I15" s="106">
        <f t="shared" si="9"/>
        <v>0.72362924371829895</v>
      </c>
      <c r="J15" s="106">
        <f t="shared" si="9"/>
        <v>0.72362924371829906</v>
      </c>
      <c r="K15" s="106">
        <f t="shared" ref="K15" si="10">K14/K7</f>
        <v>0.72362924371829918</v>
      </c>
    </row>
    <row r="16" spans="1:12">
      <c r="B16" s="97" t="s">
        <v>3</v>
      </c>
      <c r="C16" s="29"/>
      <c r="D16" s="95">
        <f>D7-D14</f>
        <v>7117.1000000000022</v>
      </c>
      <c r="E16" s="95">
        <f t="shared" ref="E16:F16" si="11">E7-E14</f>
        <v>4628.7999999999993</v>
      </c>
      <c r="F16" s="95">
        <f t="shared" si="11"/>
        <v>8031.5</v>
      </c>
      <c r="G16" s="96">
        <f t="shared" ref="G16:J16" si="12">G7-G14</f>
        <v>9364.1882529782561</v>
      </c>
      <c r="H16" s="96">
        <f t="shared" si="12"/>
        <v>10655.64570354225</v>
      </c>
      <c r="I16" s="96">
        <f t="shared" si="12"/>
        <v>11588.151089193634</v>
      </c>
      <c r="J16" s="96">
        <f t="shared" si="12"/>
        <v>12583.857376917374</v>
      </c>
      <c r="K16" s="96">
        <f t="shared" ref="K16" si="13">K7-K14</f>
        <v>13676.568202218536</v>
      </c>
    </row>
    <row r="17" spans="1:11" s="6" customFormat="1">
      <c r="A17" s="92"/>
      <c r="B17" s="21" t="s">
        <v>4</v>
      </c>
      <c r="D17" s="13">
        <f>D16/D7</f>
        <v>0.26848268109217394</v>
      </c>
      <c r="E17" s="13">
        <f t="shared" ref="E17:G17" si="14">E16/E7</f>
        <v>0.19681945743685683</v>
      </c>
      <c r="F17" s="13">
        <f t="shared" si="14"/>
        <v>0.27637075628170099</v>
      </c>
      <c r="G17" s="58">
        <f t="shared" si="14"/>
        <v>0.27637075628170094</v>
      </c>
      <c r="H17" s="58">
        <f t="shared" ref="H17:J17" si="15">H16/H7</f>
        <v>0.27637075628170099</v>
      </c>
      <c r="I17" s="58">
        <f t="shared" si="15"/>
        <v>0.27637075628170099</v>
      </c>
      <c r="J17" s="58">
        <f t="shared" si="15"/>
        <v>0.27637075628170094</v>
      </c>
      <c r="K17" s="58">
        <f t="shared" ref="K17" si="16">K16/K7</f>
        <v>0.27637075628170088</v>
      </c>
    </row>
    <row r="18" spans="1:11" s="6" customFormat="1">
      <c r="A18" s="92"/>
      <c r="B18" s="21"/>
      <c r="D18" s="13"/>
      <c r="E18" s="13"/>
      <c r="F18" s="13"/>
      <c r="G18" s="58"/>
      <c r="H18" s="58"/>
      <c r="I18" s="58"/>
      <c r="J18" s="58"/>
      <c r="K18" s="58"/>
    </row>
    <row r="19" spans="1:11">
      <c r="B19" s="21" t="s">
        <v>27</v>
      </c>
      <c r="C19" s="8"/>
      <c r="D19" s="98">
        <v>1377.3</v>
      </c>
      <c r="E19" s="98">
        <v>1431.3</v>
      </c>
      <c r="F19" s="98">
        <v>1441.7</v>
      </c>
      <c r="G19" s="94">
        <f>+'PPE Schedule'!G20</f>
        <v>1820.2912485268325</v>
      </c>
      <c r="H19" s="94">
        <f>+'PPE Schedule'!H20</f>
        <v>1836.9082174379487</v>
      </c>
      <c r="I19" s="94">
        <f>+'PPE Schedule'!I20</f>
        <v>2047.3226780536563</v>
      </c>
      <c r="J19" s="94">
        <f>+'PPE Schedule'!J20</f>
        <v>2270.6290044871207</v>
      </c>
      <c r="K19" s="94">
        <f>+'PPE Schedule'!K20</f>
        <v>2506.7469761514681</v>
      </c>
    </row>
    <row r="20" spans="1:11">
      <c r="B20" s="21" t="s">
        <v>32</v>
      </c>
      <c r="C20" s="8"/>
      <c r="D20" s="98">
        <v>1824.1</v>
      </c>
      <c r="E20" s="98">
        <v>1679.6</v>
      </c>
      <c r="F20" s="98">
        <v>1932.6</v>
      </c>
      <c r="G20" s="94">
        <f>+'Cost Drivers'!G16</f>
        <v>2253.2814813802875</v>
      </c>
      <c r="H20" s="94">
        <f>+'Cost Drivers'!H16</f>
        <v>2564.0416966526491</v>
      </c>
      <c r="I20" s="94">
        <f>+'Cost Drivers'!I16</f>
        <v>2788.4281634782565</v>
      </c>
      <c r="J20" s="94">
        <f>+'Cost Drivers'!J16</f>
        <v>3028.0225072066892</v>
      </c>
      <c r="K20" s="94">
        <f>+'Cost Drivers'!K16</f>
        <v>3290.9588131242672</v>
      </c>
    </row>
    <row r="21" spans="1:11">
      <c r="B21" s="21" t="s">
        <v>5</v>
      </c>
      <c r="C21" s="8"/>
      <c r="D21" s="53">
        <f t="shared" ref="D21:E21" si="17">D19+D20+D14</f>
        <v>22592.9</v>
      </c>
      <c r="E21" s="53">
        <f t="shared" si="17"/>
        <v>22000.1</v>
      </c>
      <c r="F21" s="53">
        <f>F19+F20+F14</f>
        <v>24403.399999999998</v>
      </c>
      <c r="G21" s="61">
        <f t="shared" ref="G21:J21" si="18">G19+G20+G14</f>
        <v>28592.087476928857</v>
      </c>
      <c r="H21" s="61">
        <f t="shared" si="18"/>
        <v>32300.923650548335</v>
      </c>
      <c r="I21" s="61">
        <f t="shared" si="18"/>
        <v>35177.329384738267</v>
      </c>
      <c r="J21" s="61">
        <f t="shared" si="18"/>
        <v>38247.315542688426</v>
      </c>
      <c r="K21" s="61">
        <f t="shared" ref="K21" si="19">K19+K20+K14</f>
        <v>41607.444988836716</v>
      </c>
    </row>
    <row r="22" spans="1:11" s="6" customFormat="1">
      <c r="A22" s="92"/>
      <c r="B22" s="21" t="s">
        <v>15</v>
      </c>
      <c r="D22" s="13">
        <f>D21/D7</f>
        <v>0.85228567332865557</v>
      </c>
      <c r="E22" s="13">
        <f t="shared" ref="E22:J22" si="20">E21/E7</f>
        <v>0.9354579471043456</v>
      </c>
      <c r="F22" s="13">
        <f t="shared" si="20"/>
        <v>0.83974178096804608</v>
      </c>
      <c r="G22" s="58">
        <f t="shared" si="20"/>
        <v>0.84385497452575908</v>
      </c>
      <c r="H22" s="58">
        <f t="shared" si="20"/>
        <v>0.83777472959071064</v>
      </c>
      <c r="I22" s="58">
        <f t="shared" si="20"/>
        <v>0.83895912740529566</v>
      </c>
      <c r="J22" s="58">
        <f t="shared" si="20"/>
        <v>0.83999994641285902</v>
      </c>
      <c r="K22" s="58">
        <f t="shared" ref="K22" si="21">K21/K7</f>
        <v>0.84078702116578863</v>
      </c>
    </row>
    <row r="23" spans="1:11" s="6" customFormat="1" ht="15.75" thickBot="1">
      <c r="A23" s="92"/>
      <c r="B23" s="21" t="s">
        <v>33</v>
      </c>
      <c r="D23" s="103">
        <v>298</v>
      </c>
      <c r="E23" s="103">
        <v>322.5</v>
      </c>
      <c r="F23" s="107">
        <v>385.3</v>
      </c>
      <c r="G23" s="108">
        <f>+F23*(1+G8)</f>
        <v>449.23385841655016</v>
      </c>
      <c r="H23" s="108">
        <f>+G23*(1+H8)</f>
        <v>511.18972664817636</v>
      </c>
      <c r="I23" s="108">
        <f>+H23*(1+I8)</f>
        <v>555.92537068621141</v>
      </c>
      <c r="J23" s="108">
        <f>+I23*(1+J8)</f>
        <v>603.69298976856942</v>
      </c>
      <c r="K23" s="109">
        <f>+J23*(1+K8)</f>
        <v>656.11426611651677</v>
      </c>
    </row>
    <row r="24" spans="1:11">
      <c r="B24" s="97" t="s">
        <v>6</v>
      </c>
      <c r="C24" s="29"/>
      <c r="D24" s="95">
        <f t="shared" ref="D24:E24" si="22">D16-D19-D20+D23</f>
        <v>4213.7000000000025</v>
      </c>
      <c r="E24" s="95">
        <f t="shared" si="22"/>
        <v>1840.3999999999992</v>
      </c>
      <c r="F24" s="95">
        <f>F16-F19-F20+F23</f>
        <v>5042.5000000000009</v>
      </c>
      <c r="G24" s="96">
        <f t="shared" ref="G24:J24" si="23">G16-G19-G20+G23</f>
        <v>5739.8493814876856</v>
      </c>
      <c r="H24" s="96">
        <f t="shared" si="23"/>
        <v>6765.8855160998282</v>
      </c>
      <c r="I24" s="96">
        <f t="shared" si="23"/>
        <v>7308.3256183479316</v>
      </c>
      <c r="J24" s="96">
        <f t="shared" si="23"/>
        <v>7888.8988549921341</v>
      </c>
      <c r="K24" s="96">
        <f t="shared" ref="K24" si="24">K16-K19-K20+K23</f>
        <v>8534.9766790593167</v>
      </c>
    </row>
    <row r="25" spans="1:11">
      <c r="B25" s="21" t="s">
        <v>34</v>
      </c>
      <c r="C25" s="8"/>
      <c r="D25" s="13">
        <f>D24/D$7</f>
        <v>0.15895596146156349</v>
      </c>
      <c r="E25" s="13">
        <f t="shared" ref="E25:J25" si="25">E24/E$7</f>
        <v>7.8254953652521442E-2</v>
      </c>
      <c r="F25" s="13">
        <f t="shared" si="25"/>
        <v>0.17351672023289269</v>
      </c>
      <c r="G25" s="59">
        <f t="shared" si="25"/>
        <v>0.16940352667517955</v>
      </c>
      <c r="H25" s="59">
        <f t="shared" si="25"/>
        <v>0.1754837716102281</v>
      </c>
      <c r="I25" s="59">
        <f t="shared" si="25"/>
        <v>0.17429937379564292</v>
      </c>
      <c r="J25" s="59">
        <f t="shared" si="25"/>
        <v>0.17325855478807975</v>
      </c>
      <c r="K25" s="59">
        <f t="shared" ref="K25" si="26">K24/K$7</f>
        <v>0.17247148003515012</v>
      </c>
    </row>
    <row r="26" spans="1:11">
      <c r="B26" s="21" t="s">
        <v>14</v>
      </c>
      <c r="C26" s="8"/>
      <c r="D26" s="13"/>
      <c r="E26" s="13">
        <f>E24/D24-1</f>
        <v>-0.56323421221254533</v>
      </c>
      <c r="F26" s="13">
        <f t="shared" ref="F26:K26" si="27">F24/E24-1</f>
        <v>1.7398935014127379</v>
      </c>
      <c r="G26" s="13">
        <f t="shared" si="27"/>
        <v>0.13829437411753775</v>
      </c>
      <c r="H26" s="13">
        <f t="shared" si="27"/>
        <v>0.17875663043029344</v>
      </c>
      <c r="I26" s="13">
        <f t="shared" si="27"/>
        <v>8.017281713640223E-2</v>
      </c>
      <c r="J26" s="13">
        <f t="shared" si="27"/>
        <v>7.9439979410146133E-2</v>
      </c>
      <c r="K26" s="13">
        <f t="shared" si="27"/>
        <v>8.1897085504948786E-2</v>
      </c>
    </row>
    <row r="27" spans="1:11">
      <c r="B27" s="21"/>
      <c r="C27" s="8"/>
      <c r="D27" s="13"/>
      <c r="E27" s="13"/>
      <c r="F27" s="13"/>
      <c r="G27" s="59"/>
      <c r="H27" s="59"/>
      <c r="I27" s="59"/>
      <c r="J27" s="59"/>
      <c r="K27" s="59"/>
    </row>
    <row r="28" spans="1:11">
      <c r="B28" s="97" t="s">
        <v>7</v>
      </c>
      <c r="C28" s="29"/>
      <c r="D28" s="95">
        <f>D24+D19</f>
        <v>5591.0000000000027</v>
      </c>
      <c r="E28" s="95">
        <f t="shared" ref="E28:F28" si="28">E24+E19</f>
        <v>3271.6999999999989</v>
      </c>
      <c r="F28" s="95">
        <f t="shared" si="28"/>
        <v>6484.2000000000007</v>
      </c>
      <c r="G28" s="96">
        <f>G24+'PPE Schedule'!G20</f>
        <v>7560.1406300145181</v>
      </c>
      <c r="H28" s="96">
        <f t="shared" ref="H28:J28" si="29">H24+H19</f>
        <v>8602.7937335377774</v>
      </c>
      <c r="I28" s="96">
        <f t="shared" si="29"/>
        <v>9355.6482964015886</v>
      </c>
      <c r="J28" s="96">
        <f t="shared" si="29"/>
        <v>10159.527859479254</v>
      </c>
      <c r="K28" s="96">
        <f t="shared" ref="K28" si="30">K24+K19</f>
        <v>11041.723655210784</v>
      </c>
    </row>
    <row r="29" spans="1:11">
      <c r="B29" s="21" t="s">
        <v>35</v>
      </c>
      <c r="C29" s="8"/>
      <c r="D29" s="13">
        <f>D28/D$7</f>
        <v>0.21091268493998183</v>
      </c>
      <c r="E29" s="13">
        <f t="shared" ref="E29:F29" si="31">E28/E$7</f>
        <v>0.13911472063951011</v>
      </c>
      <c r="F29" s="13">
        <f t="shared" si="31"/>
        <v>0.22312684528192814</v>
      </c>
      <c r="G29" s="58">
        <f t="shared" ref="G29:J29" si="32">G28/G$7</f>
        <v>0.22312684528192805</v>
      </c>
      <c r="H29" s="58">
        <f t="shared" si="32"/>
        <v>0.22312684528192811</v>
      </c>
      <c r="I29" s="58">
        <f t="shared" si="32"/>
        <v>0.22312684528192811</v>
      </c>
      <c r="J29" s="58">
        <f t="shared" si="32"/>
        <v>0.22312684528192803</v>
      </c>
      <c r="K29" s="58">
        <f t="shared" ref="K29" si="33">K28/K$7</f>
        <v>0.22312684528192797</v>
      </c>
    </row>
    <row r="30" spans="1:11">
      <c r="B30" s="21" t="s">
        <v>14</v>
      </c>
      <c r="C30" s="8"/>
      <c r="D30" s="13"/>
      <c r="E30" s="13">
        <f>E28/D28-1</f>
        <v>-0.41482740118046912</v>
      </c>
      <c r="F30" s="13">
        <f t="shared" ref="F30:K30" si="34">F28/E28-1</f>
        <v>0.98190543142708764</v>
      </c>
      <c r="G30" s="13">
        <f t="shared" si="34"/>
        <v>0.16593267172735526</v>
      </c>
      <c r="H30" s="13">
        <f t="shared" si="34"/>
        <v>0.13791451172003621</v>
      </c>
      <c r="I30" s="13">
        <f t="shared" si="34"/>
        <v>8.751279946755286E-2</v>
      </c>
      <c r="J30" s="13">
        <f t="shared" si="34"/>
        <v>8.592451721243699E-2</v>
      </c>
      <c r="K30" s="13">
        <f t="shared" si="34"/>
        <v>8.6834330092259604E-2</v>
      </c>
    </row>
    <row r="31" spans="1:11">
      <c r="B31" s="21"/>
      <c r="C31" s="8"/>
      <c r="D31" s="13"/>
      <c r="E31" s="13"/>
      <c r="F31" s="13"/>
      <c r="G31" s="58"/>
      <c r="H31" s="58"/>
      <c r="I31" s="58"/>
      <c r="J31" s="58"/>
      <c r="K31" s="58"/>
    </row>
    <row r="32" spans="1:11">
      <c r="B32" s="21" t="s">
        <v>36</v>
      </c>
      <c r="C32" s="8"/>
      <c r="D32" s="99">
        <v>96.5</v>
      </c>
      <c r="E32" s="99">
        <v>39.700000000000003</v>
      </c>
      <c r="F32" s="99">
        <v>90.1</v>
      </c>
      <c r="G32" s="94">
        <f>'Debt Schedule'!G35</f>
        <v>133.68695442322277</v>
      </c>
      <c r="H32" s="94">
        <f>'Debt Schedule'!H35</f>
        <v>91.265921268876085</v>
      </c>
      <c r="I32" s="94">
        <f>'Debt Schedule'!I35</f>
        <v>87.286839689748234</v>
      </c>
      <c r="J32" s="94">
        <f>'Debt Schedule'!J35</f>
        <v>77.478006065788151</v>
      </c>
      <c r="K32" s="94">
        <f>'Debt Schedule'!K35</f>
        <v>130.16526610479445</v>
      </c>
    </row>
    <row r="33" spans="1:11" s="6" customFormat="1">
      <c r="A33" s="92"/>
      <c r="B33" s="21" t="s">
        <v>37</v>
      </c>
      <c r="C33" s="13"/>
      <c r="D33" s="13">
        <f>D32/('Balance Sheet'!D5+'Balance Sheet'!D6)</f>
        <v>3.500054404990751E-2</v>
      </c>
      <c r="E33" s="13">
        <f>E32/('Balance Sheet'!D5+'Balance Sheet'!D6)</f>
        <v>1.4399187552138117E-2</v>
      </c>
      <c r="F33" s="13">
        <f>F32/('Balance Sheet'!E5+'Balance Sheet'!E6)</f>
        <v>1.9451220828565877E-2</v>
      </c>
      <c r="G33" s="58">
        <f>G32/'Balance Sheet'!F5</f>
        <v>2.0708359190052632E-2</v>
      </c>
      <c r="H33" s="58">
        <f>H32/'Balance Sheet'!G5</f>
        <v>2.0708359190052632E-2</v>
      </c>
      <c r="I33" s="58">
        <f>I32/'Balance Sheet'!H5</f>
        <v>2.0708359190052636E-2</v>
      </c>
      <c r="J33" s="58">
        <f>J32/'Balance Sheet'!I5</f>
        <v>2.0708359190052632E-2</v>
      </c>
      <c r="K33" s="58">
        <f>K32/'Balance Sheet'!J5</f>
        <v>2.0708359190052632E-2</v>
      </c>
    </row>
    <row r="34" spans="1:11">
      <c r="B34" s="21" t="s">
        <v>8</v>
      </c>
      <c r="C34" s="8"/>
      <c r="D34" s="99">
        <v>331</v>
      </c>
      <c r="E34" s="99">
        <v>437</v>
      </c>
      <c r="F34" s="99">
        <v>469.8</v>
      </c>
      <c r="G34" s="94">
        <f>'Debt Schedule'!G29</f>
        <v>485.1302023956776</v>
      </c>
      <c r="H34" s="94">
        <f>'Debt Schedule'!H29</f>
        <v>556.90480201265348</v>
      </c>
      <c r="I34" s="94">
        <f>'Debt Schedule'!I29</f>
        <v>636.05622705003555</v>
      </c>
      <c r="J34" s="94">
        <f>'Debt Schedule'!J29</f>
        <v>716.72185853940539</v>
      </c>
      <c r="K34" s="94">
        <f>'Debt Schedule'!K29</f>
        <v>818.07658740283114</v>
      </c>
    </row>
    <row r="35" spans="1:11">
      <c r="B35" s="21" t="s">
        <v>9</v>
      </c>
      <c r="C35" s="8"/>
      <c r="D35" s="8">
        <f>D34-D32</f>
        <v>234.5</v>
      </c>
      <c r="E35" s="8">
        <f>E34-E32</f>
        <v>397.3</v>
      </c>
      <c r="F35" s="8">
        <f>F34-F32</f>
        <v>379.70000000000005</v>
      </c>
      <c r="G35" s="61">
        <f t="shared" ref="G35:J35" si="35">G34-G32</f>
        <v>351.44324797245486</v>
      </c>
      <c r="H35" s="61">
        <f t="shared" si="35"/>
        <v>465.63888074377741</v>
      </c>
      <c r="I35" s="61">
        <f t="shared" si="35"/>
        <v>548.76938736028728</v>
      </c>
      <c r="J35" s="61">
        <f t="shared" si="35"/>
        <v>639.24385247361727</v>
      </c>
      <c r="K35" s="61">
        <f t="shared" ref="K35" si="36">K34-K32</f>
        <v>687.91132129803668</v>
      </c>
    </row>
    <row r="36" spans="1:11" ht="15.75" thickBot="1">
      <c r="B36" s="21" t="s">
        <v>39</v>
      </c>
      <c r="C36" s="8"/>
      <c r="D36" s="110">
        <f>-135.8+622.8</f>
        <v>486.99999999999994</v>
      </c>
      <c r="E36" s="110">
        <f>-278.7+0</f>
        <v>-278.7</v>
      </c>
      <c r="F36" s="110">
        <f>-170.4+864.5</f>
        <v>694.1</v>
      </c>
      <c r="G36" s="269">
        <f>+-'Cash Flow Stat'!G10</f>
        <v>0</v>
      </c>
      <c r="H36" s="269">
        <f>+-'Cash Flow Stat'!H10</f>
        <v>0</v>
      </c>
      <c r="I36" s="269">
        <f>+-'Cash Flow Stat'!I10</f>
        <v>0</v>
      </c>
      <c r="J36" s="269">
        <f>+-'Cash Flow Stat'!J10</f>
        <v>0</v>
      </c>
      <c r="K36" s="269">
        <f>+-'Cash Flow Stat'!K10</f>
        <v>0</v>
      </c>
    </row>
    <row r="37" spans="1:11">
      <c r="B37" s="97" t="s">
        <v>38</v>
      </c>
      <c r="C37" s="29"/>
      <c r="D37" s="95">
        <f t="shared" ref="D37:J37" si="37">+D24-D35+D36</f>
        <v>4466.2000000000025</v>
      </c>
      <c r="E37" s="95">
        <f t="shared" si="37"/>
        <v>1164.3999999999992</v>
      </c>
      <c r="F37" s="95">
        <f t="shared" si="37"/>
        <v>5356.9000000000015</v>
      </c>
      <c r="G37" s="96">
        <f t="shared" si="37"/>
        <v>5388.406133515231</v>
      </c>
      <c r="H37" s="96">
        <f t="shared" si="37"/>
        <v>6300.2466353560512</v>
      </c>
      <c r="I37" s="96">
        <f t="shared" si="37"/>
        <v>6759.5562309876441</v>
      </c>
      <c r="J37" s="96">
        <f t="shared" si="37"/>
        <v>7249.655002518517</v>
      </c>
      <c r="K37" s="96">
        <f t="shared" ref="K37" si="38">+K24-K35+K36</f>
        <v>7847.0653577612802</v>
      </c>
    </row>
    <row r="38" spans="1:11">
      <c r="B38" s="56"/>
      <c r="C38" s="8"/>
      <c r="D38" s="54"/>
      <c r="E38" s="54"/>
      <c r="F38" s="54"/>
      <c r="G38" s="283"/>
      <c r="H38" s="283"/>
      <c r="I38" s="283"/>
      <c r="J38" s="283"/>
      <c r="K38" s="283"/>
    </row>
    <row r="39" spans="1:11">
      <c r="B39" s="21" t="s">
        <v>10</v>
      </c>
      <c r="C39" s="8"/>
      <c r="D39" s="99">
        <v>871.6</v>
      </c>
      <c r="E39" s="99">
        <v>239.7</v>
      </c>
      <c r="F39" s="98">
        <v>1156.5999999999999</v>
      </c>
      <c r="G39" s="61">
        <f>+G37*G40</f>
        <v>1163.402440595067</v>
      </c>
      <c r="H39" s="61">
        <f t="shared" ref="H39:J39" si="39">+H37*H40</f>
        <v>1360.2765141131636</v>
      </c>
      <c r="I39" s="61">
        <f t="shared" si="39"/>
        <v>1459.4453390506276</v>
      </c>
      <c r="J39" s="61">
        <f t="shared" si="39"/>
        <v>1565.2618073723447</v>
      </c>
      <c r="K39" s="61">
        <f t="shared" ref="K39" si="40">+K37*K40</f>
        <v>1694.2477538850255</v>
      </c>
    </row>
    <row r="40" spans="1:11" s="6" customFormat="1">
      <c r="A40" s="92"/>
      <c r="B40" s="21" t="s">
        <v>11</v>
      </c>
      <c r="D40" s="13">
        <f>D39/D37</f>
        <v>0.19515471765706854</v>
      </c>
      <c r="E40" s="13">
        <f t="shared" ref="E40:F40" si="41">E39/E37</f>
        <v>0.20585709378220557</v>
      </c>
      <c r="F40" s="13">
        <f t="shared" si="41"/>
        <v>0.21590845451660468</v>
      </c>
      <c r="G40" s="58">
        <f>+F40</f>
        <v>0.21590845451660468</v>
      </c>
      <c r="H40" s="58">
        <f t="shared" ref="H40:K40" si="42">+G40</f>
        <v>0.21590845451660468</v>
      </c>
      <c r="I40" s="58">
        <f t="shared" si="42"/>
        <v>0.21590845451660468</v>
      </c>
      <c r="J40" s="58">
        <f t="shared" si="42"/>
        <v>0.21590845451660468</v>
      </c>
      <c r="K40" s="58">
        <f t="shared" si="42"/>
        <v>0.21590845451660468</v>
      </c>
    </row>
    <row r="41" spans="1:11">
      <c r="B41" s="21" t="s">
        <v>40</v>
      </c>
      <c r="C41" s="8"/>
      <c r="D41" s="8"/>
      <c r="E41" s="8"/>
      <c r="F41" s="8"/>
      <c r="G41" s="57"/>
      <c r="H41" s="57"/>
      <c r="I41" s="57"/>
      <c r="J41" s="57"/>
      <c r="K41" s="57"/>
    </row>
    <row r="42" spans="1:11">
      <c r="B42" s="97" t="s">
        <v>41</v>
      </c>
      <c r="C42" s="29"/>
      <c r="D42" s="95">
        <f>D37-D39</f>
        <v>3594.6000000000026</v>
      </c>
      <c r="E42" s="95">
        <f t="shared" ref="E42:K42" si="43">E37-E39</f>
        <v>924.69999999999914</v>
      </c>
      <c r="F42" s="95">
        <f t="shared" si="43"/>
        <v>4200.3000000000011</v>
      </c>
      <c r="G42" s="95">
        <f t="shared" si="43"/>
        <v>4225.0036929201642</v>
      </c>
      <c r="H42" s="95">
        <f t="shared" si="43"/>
        <v>4939.9701212428881</v>
      </c>
      <c r="I42" s="95">
        <f t="shared" si="43"/>
        <v>5300.1108919370163</v>
      </c>
      <c r="J42" s="95">
        <f t="shared" si="43"/>
        <v>5684.3931951461727</v>
      </c>
      <c r="K42" s="95">
        <f t="shared" si="43"/>
        <v>6152.8176038762549</v>
      </c>
    </row>
    <row r="43" spans="1:11" s="6" customFormat="1">
      <c r="A43" s="92"/>
      <c r="B43" s="21" t="s">
        <v>42</v>
      </c>
      <c r="D43" s="99">
        <v>-4.5999999999999996</v>
      </c>
      <c r="E43" s="99">
        <v>-3.6</v>
      </c>
      <c r="F43" s="99">
        <v>1</v>
      </c>
      <c r="G43" s="291">
        <f>+F43/F42*G42</f>
        <v>1.0058814115468331</v>
      </c>
      <c r="H43" s="291">
        <f t="shared" ref="H43:K43" si="44">+G43/G42*H42</f>
        <v>1.1760993551038941</v>
      </c>
      <c r="I43" s="291">
        <f t="shared" si="44"/>
        <v>1.2618410332445336</v>
      </c>
      <c r="J43" s="291">
        <f t="shared" si="44"/>
        <v>1.3533302847763662</v>
      </c>
      <c r="K43" s="291">
        <f t="shared" si="44"/>
        <v>1.4648519400700553</v>
      </c>
    </row>
    <row r="44" spans="1:11" ht="15.75" thickBot="1">
      <c r="B44" s="97" t="s">
        <v>43</v>
      </c>
      <c r="C44" s="29"/>
      <c r="D44" s="292">
        <f>+D42-D43</f>
        <v>3599.2000000000025</v>
      </c>
      <c r="E44" s="292">
        <f t="shared" ref="E44:J44" si="45">+E42-E43</f>
        <v>928.29999999999916</v>
      </c>
      <c r="F44" s="292">
        <f t="shared" si="45"/>
        <v>4199.3000000000011</v>
      </c>
      <c r="G44" s="293">
        <f t="shared" si="45"/>
        <v>4223.9978115086178</v>
      </c>
      <c r="H44" s="293">
        <f t="shared" si="45"/>
        <v>4938.7940218877839</v>
      </c>
      <c r="I44" s="293">
        <f t="shared" si="45"/>
        <v>5298.849050903772</v>
      </c>
      <c r="J44" s="293">
        <f t="shared" si="45"/>
        <v>5683.0398648613964</v>
      </c>
      <c r="K44" s="293">
        <f t="shared" ref="K44" si="46">+K42-K43</f>
        <v>6151.3527519361851</v>
      </c>
    </row>
    <row r="45" spans="1:11" ht="15.75" thickTop="1">
      <c r="B45" s="21" t="s">
        <v>232</v>
      </c>
      <c r="C45" s="6"/>
      <c r="D45" s="13">
        <f>D44/D$7</f>
        <v>0.13577480515757159</v>
      </c>
      <c r="E45" s="13">
        <f t="shared" ref="E45:K45" si="47">E44/E$7</f>
        <v>3.9471893868526196E-2</v>
      </c>
      <c r="F45" s="13">
        <f t="shared" si="47"/>
        <v>0.14450148998988324</v>
      </c>
      <c r="G45" s="58">
        <f t="shared" si="47"/>
        <v>0.1246653140839625</v>
      </c>
      <c r="H45" s="58">
        <f t="shared" si="47"/>
        <v>0.12809530993461288</v>
      </c>
      <c r="I45" s="58">
        <f t="shared" si="47"/>
        <v>0.12637451033810718</v>
      </c>
      <c r="J45" s="58">
        <f t="shared" si="47"/>
        <v>0.12481276435251132</v>
      </c>
      <c r="K45" s="58">
        <f t="shared" si="47"/>
        <v>0.12430413734436334</v>
      </c>
    </row>
    <row r="46" spans="1:11">
      <c r="B46" s="21" t="s">
        <v>14</v>
      </c>
      <c r="C46" s="6"/>
      <c r="D46" s="13"/>
      <c r="E46" s="13">
        <f>E44/D44-1</f>
        <v>-0.74208157368304106</v>
      </c>
      <c r="F46" s="13">
        <f t="shared" ref="F46:K46" si="48">F44/E44-1</f>
        <v>3.5236453732629593</v>
      </c>
      <c r="G46" s="13">
        <f t="shared" si="48"/>
        <v>5.8814115468333039E-3</v>
      </c>
      <c r="H46" s="13">
        <f t="shared" si="48"/>
        <v>0.16922267536021129</v>
      </c>
      <c r="I46" s="13">
        <f t="shared" si="48"/>
        <v>7.2903430963165095E-2</v>
      </c>
      <c r="J46" s="13">
        <f t="shared" si="48"/>
        <v>7.2504577931333358E-2</v>
      </c>
      <c r="K46" s="13">
        <f t="shared" si="48"/>
        <v>8.2405349638737801E-2</v>
      </c>
    </row>
    <row r="47" spans="1:11">
      <c r="B47" s="8"/>
      <c r="C47" s="8"/>
      <c r="D47" s="8"/>
      <c r="E47" s="8"/>
      <c r="F47" s="8"/>
      <c r="G47" s="57"/>
      <c r="H47" s="57"/>
      <c r="I47" s="57"/>
      <c r="J47" s="57"/>
      <c r="K47" s="57"/>
    </row>
    <row r="48" spans="1:11">
      <c r="B48" s="21" t="s">
        <v>13</v>
      </c>
      <c r="C48" s="8"/>
      <c r="D48" s="53">
        <f t="shared" ref="D48:J48" si="49">D$44/D54</f>
        <v>2.9472649852604014</v>
      </c>
      <c r="E48" s="53">
        <f t="shared" si="49"/>
        <v>0.79152455661664323</v>
      </c>
      <c r="F48" s="53">
        <f t="shared" si="49"/>
        <v>3.5659816576086967</v>
      </c>
      <c r="G48" s="60">
        <f t="shared" si="49"/>
        <v>3.7635032900260166</v>
      </c>
      <c r="H48" s="60">
        <f t="shared" si="49"/>
        <v>4.5684926961001366</v>
      </c>
      <c r="I48" s="60">
        <f t="shared" si="49"/>
        <v>5.0830480958107058</v>
      </c>
      <c r="J48" s="60">
        <f t="shared" si="49"/>
        <v>5.5475821133850971</v>
      </c>
      <c r="K48" s="60">
        <f t="shared" ref="K48" si="50">K$44/K54</f>
        <v>6.1051981900668864</v>
      </c>
    </row>
    <row r="49" spans="2:11">
      <c r="B49" s="21" t="s">
        <v>14</v>
      </c>
      <c r="C49" s="8"/>
      <c r="D49" s="53"/>
      <c r="E49" s="13">
        <f>E48/D48-1</f>
        <v>-0.73143760042780503</v>
      </c>
      <c r="F49" s="13">
        <f>F48/E48-1</f>
        <v>3.5052066013610723</v>
      </c>
      <c r="G49" s="13">
        <f t="shared" ref="G49:K49" si="51">G48/F48-1</f>
        <v>5.5390535168869937E-2</v>
      </c>
      <c r="H49" s="13">
        <f t="shared" si="51"/>
        <v>0.21389363686953367</v>
      </c>
      <c r="I49" s="13">
        <f t="shared" si="51"/>
        <v>0.11263132808547893</v>
      </c>
      <c r="J49" s="13">
        <f t="shared" si="51"/>
        <v>9.1388869201777911E-2</v>
      </c>
      <c r="K49" s="13">
        <f t="shared" si="51"/>
        <v>0.1005151551225143</v>
      </c>
    </row>
    <row r="50" spans="2:11">
      <c r="B50" s="21" t="s">
        <v>44</v>
      </c>
      <c r="C50" s="8"/>
      <c r="D50" s="53">
        <f>D$44/D55</f>
        <v>2.9185857930587109</v>
      </c>
      <c r="E50" s="53">
        <f t="shared" ref="E50:F50" si="52">E$44/E55</f>
        <v>0.78549669994922933</v>
      </c>
      <c r="F50" s="53">
        <f t="shared" si="52"/>
        <v>3.5422184732180524</v>
      </c>
      <c r="G50" s="60">
        <f t="shared" ref="G50:J50" si="53">G$44/G55</f>
        <v>3.7371980769795101</v>
      </c>
      <c r="H50" s="60">
        <f t="shared" si="53"/>
        <v>4.5353498419882019</v>
      </c>
      <c r="I50" s="60">
        <f t="shared" si="53"/>
        <v>5.0448171369040855</v>
      </c>
      <c r="J50" s="60">
        <f t="shared" si="53"/>
        <v>5.5051282159575248</v>
      </c>
      <c r="K50" s="60">
        <f t="shared" ref="K50" si="54">K$44/K55</f>
        <v>6.0577014187210043</v>
      </c>
    </row>
    <row r="51" spans="2:11">
      <c r="B51" s="21" t="s">
        <v>14</v>
      </c>
      <c r="C51" s="8"/>
      <c r="D51" s="53"/>
      <c r="E51" s="13">
        <f>E50/D50-1</f>
        <v>-0.73086393354706902</v>
      </c>
      <c r="F51" s="13">
        <f>F50/E50-1</f>
        <v>3.5095268680912399</v>
      </c>
      <c r="G51" s="13">
        <f t="shared" ref="G51" si="55">G50/F50-1</f>
        <v>5.5044488428835248E-2</v>
      </c>
      <c r="H51" s="13">
        <f t="shared" ref="H51" si="56">H50/G50-1</f>
        <v>0.21356956430143947</v>
      </c>
      <c r="I51" s="13">
        <f t="shared" ref="I51" si="57">I50/H50-1</f>
        <v>0.11233252398728832</v>
      </c>
      <c r="J51" s="13">
        <f t="shared" ref="J51" si="58">J50/I50-1</f>
        <v>9.1244353672633505E-2</v>
      </c>
      <c r="K51" s="13">
        <f t="shared" ref="K51" si="59">K50/J50-1</f>
        <v>0.10037426579125897</v>
      </c>
    </row>
    <row r="52" spans="2:11">
      <c r="B52" s="8"/>
      <c r="C52" s="8"/>
      <c r="D52" s="8"/>
      <c r="E52" s="8"/>
      <c r="F52" s="8"/>
      <c r="G52" s="57"/>
      <c r="H52" s="57"/>
      <c r="I52" s="57"/>
      <c r="J52" s="57"/>
      <c r="K52" s="57"/>
    </row>
    <row r="53" spans="2:11">
      <c r="B53" s="21" t="s">
        <v>12</v>
      </c>
      <c r="C53" s="8"/>
      <c r="D53" s="8"/>
      <c r="E53" s="8"/>
      <c r="F53" s="8"/>
      <c r="G53" s="57"/>
      <c r="H53" s="57"/>
      <c r="I53" s="57"/>
      <c r="J53" s="57"/>
      <c r="K53" s="57"/>
    </row>
    <row r="54" spans="2:11">
      <c r="B54" s="21" t="s">
        <v>21</v>
      </c>
      <c r="C54" s="8"/>
      <c r="D54" s="98">
        <v>1221.2</v>
      </c>
      <c r="E54" s="98">
        <v>1172.8</v>
      </c>
      <c r="F54" s="98">
        <v>1177.5999999999999</v>
      </c>
      <c r="G54" s="227">
        <f>+'Shareholders Equity Schedule'!G19</f>
        <v>1122.3579431172539</v>
      </c>
      <c r="H54" s="227">
        <f>+'Shareholders Equity Schedule'!H19</f>
        <v>1081.055470681556</v>
      </c>
      <c r="I54" s="227">
        <f>+'Shareholders Equity Schedule'!I19</f>
        <v>1042.4550291528665</v>
      </c>
      <c r="J54" s="227">
        <f>+'Shareholders Equity Schedule'!J19</f>
        <v>1024.4174396534788</v>
      </c>
      <c r="K54" s="227">
        <f>+'Shareholders Equity Schedule'!K19</f>
        <v>1007.5598793736773</v>
      </c>
    </row>
    <row r="55" spans="2:11">
      <c r="B55" s="21" t="s">
        <v>22</v>
      </c>
      <c r="C55" s="8"/>
      <c r="D55" s="98">
        <v>1233.2</v>
      </c>
      <c r="E55" s="98">
        <v>1181.8</v>
      </c>
      <c r="F55" s="98">
        <v>1185.5</v>
      </c>
      <c r="G55" s="227">
        <f>+'Shareholders Equity Schedule'!G22</f>
        <v>1130.2579431172539</v>
      </c>
      <c r="H55" s="227">
        <f>+'Shareholders Equity Schedule'!H22</f>
        <v>1088.9554706815561</v>
      </c>
      <c r="I55" s="227">
        <f>+'Shareholders Equity Schedule'!I22</f>
        <v>1050.3550291528666</v>
      </c>
      <c r="J55" s="227">
        <f>+'Shareholders Equity Schedule'!J22</f>
        <v>1032.3174396534789</v>
      </c>
      <c r="K55" s="227">
        <f>+'Shareholders Equity Schedule'!K22</f>
        <v>1015.4598793736774</v>
      </c>
    </row>
    <row r="56" spans="2:11">
      <c r="B56" s="8"/>
      <c r="C56" s="4"/>
      <c r="D56" s="8"/>
      <c r="E56" s="8"/>
      <c r="F56" s="8"/>
      <c r="G56" s="57"/>
      <c r="H56" s="57"/>
      <c r="I56" s="57"/>
      <c r="J56" s="57"/>
      <c r="K56" s="57"/>
    </row>
    <row r="57" spans="2:11">
      <c r="B57" s="8"/>
      <c r="C57" s="4"/>
      <c r="D57" s="4"/>
      <c r="E57" s="4"/>
      <c r="F57" s="8"/>
      <c r="G57" s="8"/>
      <c r="H57" s="8"/>
      <c r="I57" s="8"/>
      <c r="J57" s="4"/>
      <c r="K57" s="4"/>
    </row>
    <row r="58" spans="2:11">
      <c r="B58" s="8"/>
      <c r="C58" s="4"/>
      <c r="D58" s="4"/>
      <c r="E58" s="4"/>
      <c r="F58" s="8"/>
      <c r="G58" s="8"/>
      <c r="H58" s="8"/>
      <c r="I58" s="8"/>
      <c r="J58" s="4"/>
      <c r="K58" s="4"/>
    </row>
    <row r="59" spans="2:11">
      <c r="B59" s="8"/>
      <c r="C59" s="4"/>
      <c r="D59" s="4"/>
      <c r="E59" s="4"/>
      <c r="F59" s="8"/>
      <c r="G59" s="8"/>
      <c r="H59" s="8"/>
      <c r="I59" s="8"/>
      <c r="J59" s="4"/>
      <c r="K59" s="4"/>
    </row>
  </sheetData>
  <mergeCells count="2">
    <mergeCell ref="G1:K1"/>
    <mergeCell ref="D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showGridLines="0" zoomScale="90" zoomScaleNormal="90" workbookViewId="0">
      <pane xSplit="3" ySplit="2" topLeftCell="D3" activePane="bottomRight" state="frozen"/>
      <selection pane="topRight" activeCell="C1" sqref="C1"/>
      <selection pane="bottomLeft" activeCell="A5" sqref="A5"/>
      <selection pane="bottomRight" activeCell="F27" sqref="F27"/>
    </sheetView>
  </sheetViews>
  <sheetFormatPr defaultRowHeight="15"/>
  <cols>
    <col min="1" max="1" width="3.7109375" style="128" customWidth="1"/>
    <col min="2" max="2" width="48.7109375" style="146" customWidth="1"/>
    <col min="3" max="3" width="3.7109375" style="146" customWidth="1"/>
    <col min="4" max="6" width="12.7109375" style="168" customWidth="1"/>
    <col min="7" max="11" width="12.7109375" style="151" customWidth="1"/>
    <col min="12" max="12" width="9.140625" style="141"/>
    <col min="13" max="16384" width="9.140625" style="124"/>
  </cols>
  <sheetData>
    <row r="1" spans="1:12" ht="31.5">
      <c r="A1" s="122" t="s">
        <v>296</v>
      </c>
      <c r="B1" s="122"/>
      <c r="C1" s="123"/>
      <c r="D1" s="323" t="s">
        <v>293</v>
      </c>
      <c r="E1" s="323"/>
      <c r="F1" s="323"/>
      <c r="G1" s="323" t="s">
        <v>294</v>
      </c>
      <c r="H1" s="323"/>
      <c r="I1" s="323"/>
      <c r="J1" s="323"/>
      <c r="K1" s="323"/>
    </row>
    <row r="2" spans="1:12" s="127" customFormat="1" ht="18.75" customHeight="1">
      <c r="A2" s="125" t="s">
        <v>295</v>
      </c>
      <c r="B2" s="122"/>
      <c r="C2" s="126"/>
      <c r="D2" s="111">
        <v>2019</v>
      </c>
      <c r="E2" s="111">
        <f t="shared" ref="E2:J2" si="0">D2+1</f>
        <v>2020</v>
      </c>
      <c r="F2" s="111">
        <f t="shared" si="0"/>
        <v>2021</v>
      </c>
      <c r="G2" s="111">
        <f t="shared" si="0"/>
        <v>2022</v>
      </c>
      <c r="H2" s="111">
        <f t="shared" si="0"/>
        <v>2023</v>
      </c>
      <c r="I2" s="111">
        <f t="shared" si="0"/>
        <v>2024</v>
      </c>
      <c r="J2" s="111">
        <f t="shared" si="0"/>
        <v>2025</v>
      </c>
      <c r="K2" s="111">
        <f t="shared" ref="K2" si="1">J2+1</f>
        <v>2026</v>
      </c>
      <c r="L2" s="132"/>
    </row>
    <row r="3" spans="1:12">
      <c r="B3" s="129" t="s">
        <v>51</v>
      </c>
      <c r="C3" s="130"/>
      <c r="D3" s="149"/>
      <c r="E3" s="149"/>
      <c r="F3" s="150"/>
    </row>
    <row r="4" spans="1:12">
      <c r="B4" s="134" t="s">
        <v>297</v>
      </c>
      <c r="C4" s="130"/>
      <c r="D4" s="149"/>
      <c r="E4" s="149"/>
      <c r="F4" s="150"/>
    </row>
    <row r="5" spans="1:12">
      <c r="B5" s="88" t="s">
        <v>56</v>
      </c>
      <c r="C5" s="135"/>
      <c r="D5" s="153">
        <v>2686.6</v>
      </c>
      <c r="E5" s="153">
        <v>4350.8999999999996</v>
      </c>
      <c r="F5" s="153">
        <v>6455.7</v>
      </c>
      <c r="G5" s="154">
        <f>+'Cash Flow Stat'!G56</f>
        <v>4407.2019628052494</v>
      </c>
      <c r="H5" s="155">
        <f>+'Cash Flow Stat'!H56</f>
        <v>4215.0533940746454</v>
      </c>
      <c r="I5" s="155">
        <f>+'Cash Flow Stat'!I56</f>
        <v>3741.3879754898744</v>
      </c>
      <c r="J5" s="155">
        <f>+'Cash Flow Stat'!J56</f>
        <v>6285.63880460988</v>
      </c>
      <c r="K5" s="155">
        <f>+'Cash Flow Stat'!K56</f>
        <v>10153.325009444477</v>
      </c>
      <c r="L5" s="270"/>
    </row>
    <row r="6" spans="1:12">
      <c r="B6" s="88" t="s">
        <v>57</v>
      </c>
      <c r="C6" s="135"/>
      <c r="D6" s="153">
        <v>70.5</v>
      </c>
      <c r="E6" s="153">
        <v>281.2</v>
      </c>
      <c r="F6" s="153">
        <v>162.19999999999999</v>
      </c>
      <c r="G6" s="154">
        <f>+F6-'Cash Flow Stat'!G33</f>
        <v>162.19999999999999</v>
      </c>
      <c r="H6" s="154">
        <f>+G6-'Cash Flow Stat'!H33</f>
        <v>162.19999999999999</v>
      </c>
      <c r="I6" s="154">
        <f>+H6-'Cash Flow Stat'!I33</f>
        <v>162.19999999999999</v>
      </c>
      <c r="J6" s="154">
        <f>+I6-'Cash Flow Stat'!J33</f>
        <v>162.19999999999999</v>
      </c>
      <c r="K6" s="154">
        <f>+J6-'Cash Flow Stat'!K33</f>
        <v>162.19999999999999</v>
      </c>
      <c r="L6" s="270"/>
    </row>
    <row r="7" spans="1:12">
      <c r="B7" s="88" t="s">
        <v>58</v>
      </c>
      <c r="C7" s="135"/>
      <c r="D7" s="153">
        <v>879.2</v>
      </c>
      <c r="E7" s="153">
        <v>883.4</v>
      </c>
      <c r="F7" s="153">
        <v>940</v>
      </c>
      <c r="G7" s="154">
        <f>+'Working Capital Forecast'!G7</f>
        <v>1095.9767114237143</v>
      </c>
      <c r="H7" s="155">
        <f>+'Working Capital Forecast'!H7</f>
        <v>1247.1278044362466</v>
      </c>
      <c r="I7" s="155">
        <f>+'Working Capital Forecast'!I7</f>
        <v>1356.2674498962854</v>
      </c>
      <c r="J7" s="155">
        <f>+'Working Capital Forecast'!J7</f>
        <v>1472.8040757395672</v>
      </c>
      <c r="K7" s="155">
        <f>+'Working Capital Forecast'!K7</f>
        <v>1600.6940310135628</v>
      </c>
      <c r="L7" s="270"/>
    </row>
    <row r="8" spans="1:12">
      <c r="B8" s="88" t="s">
        <v>52</v>
      </c>
      <c r="C8" s="135"/>
      <c r="D8" s="153">
        <v>1529.4</v>
      </c>
      <c r="E8" s="153">
        <v>1551.4</v>
      </c>
      <c r="F8" s="153">
        <v>1603.9</v>
      </c>
      <c r="G8" s="154">
        <f>+'Working Capital Forecast'!G9</f>
        <v>1870.0394121835061</v>
      </c>
      <c r="H8" s="155">
        <f>+'Working Capital Forecast'!H9</f>
        <v>2127.9449846120169</v>
      </c>
      <c r="I8" s="155">
        <f>+'Working Capital Forecast'!I9</f>
        <v>2314.1674073283534</v>
      </c>
      <c r="J8" s="155">
        <f>+'Working Capital Forecast'!J9</f>
        <v>2513.0111245518005</v>
      </c>
      <c r="K8" s="155">
        <f>+'Working Capital Forecast'!K9</f>
        <v>2731.2267620666535</v>
      </c>
      <c r="L8" s="270"/>
    </row>
    <row r="9" spans="1:12" ht="15.75" thickBot="1">
      <c r="B9" s="88" t="s">
        <v>59</v>
      </c>
      <c r="C9" s="135"/>
      <c r="D9" s="156">
        <v>488.2</v>
      </c>
      <c r="E9" s="156">
        <v>739.5</v>
      </c>
      <c r="F9" s="156">
        <v>594.6</v>
      </c>
      <c r="G9" s="157">
        <f>+'Working Capital Forecast'!G11</f>
        <v>693.26356660908573</v>
      </c>
      <c r="H9" s="158">
        <f>+'Working Capital Forecast'!H11</f>
        <v>788.87467289126835</v>
      </c>
      <c r="I9" s="158">
        <f>+'Working Capital Forecast'!I11</f>
        <v>857.9113039450333</v>
      </c>
      <c r="J9" s="158">
        <f>+'Working Capital Forecast'!J11</f>
        <v>931.62691854760294</v>
      </c>
      <c r="K9" s="158">
        <f>+'Working Capital Forecast'!K11</f>
        <v>1012.5241179156005</v>
      </c>
      <c r="L9" s="270"/>
    </row>
    <row r="10" spans="1:12">
      <c r="B10" s="137" t="s">
        <v>60</v>
      </c>
      <c r="C10" s="137"/>
      <c r="D10" s="159">
        <f>SUM(D5:D9)</f>
        <v>5653.9000000000005</v>
      </c>
      <c r="E10" s="159">
        <f t="shared" ref="E10:K10" si="2">SUM(E5:E9)</f>
        <v>7806.4</v>
      </c>
      <c r="F10" s="159">
        <f t="shared" si="2"/>
        <v>9756.4</v>
      </c>
      <c r="G10" s="159">
        <f t="shared" si="2"/>
        <v>8228.6816530215547</v>
      </c>
      <c r="H10" s="159">
        <f t="shared" si="2"/>
        <v>8541.2008560141767</v>
      </c>
      <c r="I10" s="159">
        <f t="shared" si="2"/>
        <v>8431.9341366595454</v>
      </c>
      <c r="J10" s="159">
        <f t="shared" si="2"/>
        <v>11365.28092344885</v>
      </c>
      <c r="K10" s="159">
        <f t="shared" si="2"/>
        <v>15659.969920440295</v>
      </c>
    </row>
    <row r="11" spans="1:12">
      <c r="A11" s="138"/>
      <c r="B11" s="127"/>
      <c r="C11" s="127"/>
      <c r="D11" s="160"/>
      <c r="E11" s="160"/>
      <c r="F11" s="160"/>
      <c r="G11" s="160"/>
      <c r="H11" s="160"/>
      <c r="I11" s="160"/>
      <c r="J11" s="160"/>
      <c r="K11" s="160"/>
    </row>
    <row r="12" spans="1:12">
      <c r="B12" s="88" t="s">
        <v>61</v>
      </c>
      <c r="C12" s="135"/>
      <c r="D12" s="153">
        <v>220</v>
      </c>
      <c r="E12" s="153">
        <v>206.1</v>
      </c>
      <c r="F12" s="153">
        <v>281.7</v>
      </c>
      <c r="G12" s="154">
        <f>+F12-'Cash Flow Stat'!G28-'Cash Flow Stat'!G29-'Cash Flow Stat'!G30</f>
        <v>570.5</v>
      </c>
      <c r="H12" s="154">
        <f>+G12-'Cash Flow Stat'!H28-'Cash Flow Stat'!H29-'Cash Flow Stat'!H30</f>
        <v>859.3</v>
      </c>
      <c r="I12" s="154">
        <f>+H12-'Cash Flow Stat'!I28-'Cash Flow Stat'!I29-'Cash Flow Stat'!I30</f>
        <v>1148.0999999999999</v>
      </c>
      <c r="J12" s="154">
        <f>+I12-'Cash Flow Stat'!J28-'Cash Flow Stat'!J29-'Cash Flow Stat'!J30</f>
        <v>1436.8999999999999</v>
      </c>
      <c r="K12" s="154">
        <f>+J12-'Cash Flow Stat'!K28-'Cash Flow Stat'!K29-'Cash Flow Stat'!K30</f>
        <v>1725.6999999999998</v>
      </c>
      <c r="L12" s="270"/>
    </row>
    <row r="13" spans="1:12">
      <c r="B13" s="88" t="s">
        <v>62</v>
      </c>
      <c r="C13" s="135"/>
      <c r="D13" s="153">
        <v>396</v>
      </c>
      <c r="E13" s="153">
        <v>478.7</v>
      </c>
      <c r="F13" s="153">
        <v>268.5</v>
      </c>
      <c r="G13" s="154">
        <f>+F13+'Income Statement'!G23-'Cash Flow Stat'!G9</f>
        <v>283.1165925715722</v>
      </c>
      <c r="H13" s="155">
        <f>+G13+'Income Statement'!H23-'Cash Flow Stat'!H9</f>
        <v>299.74902537066333</v>
      </c>
      <c r="I13" s="155">
        <f>+H13+'Income Statement'!I23-'Cash Flow Stat'!I9</f>
        <v>317.83700892595891</v>
      </c>
      <c r="J13" s="155">
        <f>+I13+'Income Statement'!J23-'Cash Flow Stat'!J9</f>
        <v>337.47919373558977</v>
      </c>
      <c r="K13" s="155">
        <f>+J13+'Income Statement'!K23-'Cash Flow Stat'!K9</f>
        <v>358.8269945047133</v>
      </c>
      <c r="L13" s="270"/>
    </row>
    <row r="14" spans="1:12">
      <c r="B14" s="88" t="s">
        <v>63</v>
      </c>
      <c r="C14" s="135"/>
      <c r="D14" s="153">
        <v>6431.7</v>
      </c>
      <c r="E14" s="153">
        <v>6241.4</v>
      </c>
      <c r="F14" s="153">
        <v>6369.5</v>
      </c>
      <c r="G14" s="154">
        <f>+'PPE Schedule'!G15</f>
        <v>6457.4297789123812</v>
      </c>
      <c r="H14" s="155">
        <f>+'PPE Schedule'!H15</f>
        <v>6591.8171705396253</v>
      </c>
      <c r="I14" s="155">
        <f>+'PPE Schedule'!I15</f>
        <v>6685.8659300897361</v>
      </c>
      <c r="J14" s="155">
        <f>+'PPE Schedule'!J15</f>
        <v>6732.8518100038527</v>
      </c>
      <c r="K14" s="155">
        <f>+'PPE Schedule'!K15</f>
        <v>6730.7178397991265</v>
      </c>
      <c r="L14" s="270"/>
    </row>
    <row r="15" spans="1:12">
      <c r="B15" s="88" t="s">
        <v>64</v>
      </c>
      <c r="C15" s="135"/>
      <c r="D15" s="153" t="s">
        <v>20</v>
      </c>
      <c r="E15" s="153">
        <v>8134.1</v>
      </c>
      <c r="F15" s="153">
        <v>8236</v>
      </c>
      <c r="G15" s="154">
        <f t="shared" ref="G15:H16" si="3">+F15</f>
        <v>8236</v>
      </c>
      <c r="H15" s="155">
        <f t="shared" si="3"/>
        <v>8236</v>
      </c>
      <c r="I15" s="155">
        <f t="shared" ref="I15:K15" si="4">+H15</f>
        <v>8236</v>
      </c>
      <c r="J15" s="155">
        <f t="shared" si="4"/>
        <v>8236</v>
      </c>
      <c r="K15" s="155">
        <f t="shared" si="4"/>
        <v>8236</v>
      </c>
      <c r="L15" s="270"/>
    </row>
    <row r="16" spans="1:12">
      <c r="B16" s="88" t="s">
        <v>65</v>
      </c>
      <c r="C16" s="139"/>
      <c r="D16" s="161">
        <v>1765.8</v>
      </c>
      <c r="E16" s="161">
        <v>1789.9</v>
      </c>
      <c r="F16" s="153">
        <v>1874.8</v>
      </c>
      <c r="G16" s="154">
        <f t="shared" si="3"/>
        <v>1874.8</v>
      </c>
      <c r="H16" s="155">
        <f t="shared" si="3"/>
        <v>1874.8</v>
      </c>
      <c r="I16" s="155">
        <f t="shared" ref="I16:K16" si="5">+H16</f>
        <v>1874.8</v>
      </c>
      <c r="J16" s="155">
        <f t="shared" si="5"/>
        <v>1874.8</v>
      </c>
      <c r="K16" s="155">
        <f t="shared" si="5"/>
        <v>1874.8</v>
      </c>
      <c r="L16" s="270"/>
    </row>
    <row r="17" spans="1:12">
      <c r="B17" s="88" t="s">
        <v>66</v>
      </c>
      <c r="C17" s="139"/>
      <c r="D17" s="161">
        <v>479.6</v>
      </c>
      <c r="E17" s="161">
        <v>568.6</v>
      </c>
      <c r="F17" s="153">
        <f>578.5+437.6+1.2</f>
        <v>1017.3000000000001</v>
      </c>
      <c r="G17" s="154">
        <f>+F17-'Cash Flow Stat'!G10-'Cash Flow Stat'!G15-'Cash Flow Stat'!G32</f>
        <v>1017.3000000000001</v>
      </c>
      <c r="H17" s="154">
        <f>+G17-'Cash Flow Stat'!H10-'Cash Flow Stat'!H15-'Cash Flow Stat'!H32</f>
        <v>1017.3000000000001</v>
      </c>
      <c r="I17" s="154">
        <f>+H17-'Cash Flow Stat'!I10-'Cash Flow Stat'!I15-'Cash Flow Stat'!I32</f>
        <v>1017.3000000000001</v>
      </c>
      <c r="J17" s="154">
        <f>+I17-'Cash Flow Stat'!J10-'Cash Flow Stat'!J15-'Cash Flow Stat'!J32</f>
        <v>1017.3000000000001</v>
      </c>
      <c r="K17" s="154">
        <f>+J17-'Cash Flow Stat'!K10-'Cash Flow Stat'!K15-'Cash Flow Stat'!K32</f>
        <v>1017.3000000000001</v>
      </c>
      <c r="L17" s="270"/>
    </row>
    <row r="18" spans="1:12">
      <c r="B18" s="88" t="s">
        <v>67</v>
      </c>
      <c r="C18" s="139"/>
      <c r="D18" s="161">
        <v>781.8</v>
      </c>
      <c r="E18" s="161">
        <v>552.1</v>
      </c>
      <c r="F18" s="153">
        <v>349.9</v>
      </c>
      <c r="G18" s="154">
        <f>+F18-'PPE Schedule'!G25</f>
        <v>155.59999999999997</v>
      </c>
      <c r="H18" s="155">
        <f>+G18-'PPE Schedule'!H25</f>
        <v>134.59999999999997</v>
      </c>
      <c r="I18" s="155">
        <f>+H18-'PPE Schedule'!I25</f>
        <v>114.19999999999996</v>
      </c>
      <c r="J18" s="155">
        <f>+I18-'PPE Schedule'!J25</f>
        <v>99.799999999999955</v>
      </c>
      <c r="K18" s="155">
        <f>+J18-'PPE Schedule'!K25</f>
        <v>98.399999999999949</v>
      </c>
      <c r="L18" s="270"/>
    </row>
    <row r="19" spans="1:12">
      <c r="B19" s="88" t="s">
        <v>54</v>
      </c>
      <c r="C19" s="139"/>
      <c r="D19" s="153">
        <v>3490.8</v>
      </c>
      <c r="E19" s="153">
        <v>3597.2</v>
      </c>
      <c r="F19" s="153">
        <v>3677.3</v>
      </c>
      <c r="G19" s="154">
        <f>+F19-'Cash Flow Stat'!G12</f>
        <v>3677.3</v>
      </c>
      <c r="H19" s="155">
        <f>+G19-'Cash Flow Stat'!H12</f>
        <v>3677.3</v>
      </c>
      <c r="I19" s="155">
        <f>+H19-'Cash Flow Stat'!I12</f>
        <v>3677.3</v>
      </c>
      <c r="J19" s="155">
        <f>+I19-'Cash Flow Stat'!J12</f>
        <v>3677.3</v>
      </c>
      <c r="K19" s="155">
        <f>+J19-'Cash Flow Stat'!K12</f>
        <v>3677.3</v>
      </c>
      <c r="L19" s="270"/>
    </row>
    <row r="20" spans="1:12" ht="15.75" thickBot="1">
      <c r="B20" s="137" t="s">
        <v>298</v>
      </c>
      <c r="C20" s="137"/>
      <c r="D20" s="294">
        <f>D10+SUM(D12:D19)</f>
        <v>19219.600000000002</v>
      </c>
      <c r="E20" s="294">
        <f t="shared" ref="E20:K20" si="6">E10+SUM(E12:E19)</f>
        <v>29374.5</v>
      </c>
      <c r="F20" s="294">
        <f t="shared" si="6"/>
        <v>31831.4</v>
      </c>
      <c r="G20" s="294">
        <f t="shared" si="6"/>
        <v>30500.728024505504</v>
      </c>
      <c r="H20" s="294">
        <f t="shared" si="6"/>
        <v>31232.067051924463</v>
      </c>
      <c r="I20" s="294">
        <f t="shared" si="6"/>
        <v>31503.337075675241</v>
      </c>
      <c r="J20" s="294">
        <f t="shared" si="6"/>
        <v>34777.711927188291</v>
      </c>
      <c r="K20" s="294">
        <f t="shared" si="6"/>
        <v>39379.014754744137</v>
      </c>
    </row>
    <row r="21" spans="1:12" ht="15.75" thickTop="1">
      <c r="B21" s="139"/>
      <c r="C21" s="140"/>
      <c r="D21" s="162"/>
      <c r="E21" s="162"/>
      <c r="F21" s="163"/>
      <c r="G21" s="154"/>
      <c r="H21" s="155"/>
      <c r="I21" s="155"/>
      <c r="J21" s="155"/>
      <c r="K21" s="155"/>
    </row>
    <row r="22" spans="1:12">
      <c r="A22" s="133"/>
      <c r="B22" s="142" t="s">
        <v>55</v>
      </c>
      <c r="C22" s="130"/>
      <c r="D22" s="149"/>
      <c r="E22" s="149"/>
      <c r="F22" s="150"/>
      <c r="G22" s="154"/>
      <c r="H22" s="155"/>
      <c r="I22" s="155"/>
      <c r="J22" s="155"/>
      <c r="K22" s="155"/>
    </row>
    <row r="23" spans="1:12">
      <c r="A23" s="133"/>
      <c r="B23" s="143" t="s">
        <v>299</v>
      </c>
      <c r="C23" s="130"/>
      <c r="D23" s="149"/>
      <c r="E23" s="149"/>
      <c r="F23" s="150"/>
      <c r="G23" s="154"/>
      <c r="H23" s="155"/>
      <c r="I23" s="155"/>
      <c r="J23" s="155"/>
      <c r="K23" s="155"/>
    </row>
    <row r="24" spans="1:12">
      <c r="A24" s="133"/>
      <c r="B24" s="88" t="s">
        <v>68</v>
      </c>
      <c r="C24" s="139"/>
      <c r="D24" s="161">
        <v>1189.7</v>
      </c>
      <c r="E24" s="161">
        <v>997.9</v>
      </c>
      <c r="F24" s="153">
        <v>1211.5999999999999</v>
      </c>
      <c r="G24" s="154">
        <f>+'Working Capital Forecast'!G13</f>
        <v>1412.6440250648643</v>
      </c>
      <c r="H24" s="155">
        <f>+'Working Capital Forecast'!H13</f>
        <v>1607.4681360159111</v>
      </c>
      <c r="I24" s="155">
        <f>+'Working Capital Forecast'!I13</f>
        <v>1748.1421726535525</v>
      </c>
      <c r="J24" s="155">
        <f>+'Working Capital Forecast'!J13</f>
        <v>1898.3504448575106</v>
      </c>
      <c r="K24" s="155">
        <f>+'Working Capital Forecast'!K13</f>
        <v>2063.1924340170567</v>
      </c>
      <c r="L24" s="270"/>
    </row>
    <row r="25" spans="1:12">
      <c r="B25" s="88" t="s">
        <v>69</v>
      </c>
      <c r="C25" s="139"/>
      <c r="D25" s="161">
        <v>1753.7</v>
      </c>
      <c r="E25" s="161">
        <v>1160.7</v>
      </c>
      <c r="F25" s="153">
        <v>1973.2</v>
      </c>
      <c r="G25" s="154">
        <f>+'Working Capital Forecast'!G15</f>
        <v>2300.6183478524185</v>
      </c>
      <c r="H25" s="155">
        <f>+'Working Capital Forecast'!H15</f>
        <v>2617.90700395064</v>
      </c>
      <c r="I25" s="155">
        <f>+'Working Capital Forecast'!I15</f>
        <v>2847.0073746120747</v>
      </c>
      <c r="J25" s="155">
        <f>+'Working Capital Forecast'!J15</f>
        <v>3091.6351087758667</v>
      </c>
      <c r="K25" s="155">
        <f>+'Working Capital Forecast'!K15</f>
        <v>3360.0951723361309</v>
      </c>
      <c r="L25" s="270"/>
    </row>
    <row r="26" spans="1:12">
      <c r="B26" s="88" t="s">
        <v>70</v>
      </c>
      <c r="C26" s="139"/>
      <c r="D26" s="161">
        <v>664.6</v>
      </c>
      <c r="E26" s="161">
        <v>696</v>
      </c>
      <c r="F26" s="153">
        <v>772.3</v>
      </c>
      <c r="G26" s="154">
        <f>+F26</f>
        <v>772.3</v>
      </c>
      <c r="H26" s="155">
        <f>+G26</f>
        <v>772.3</v>
      </c>
      <c r="I26" s="155">
        <f t="shared" ref="I26:K26" si="7">+H26</f>
        <v>772.3</v>
      </c>
      <c r="J26" s="155">
        <f t="shared" si="7"/>
        <v>772.3</v>
      </c>
      <c r="K26" s="155">
        <f t="shared" si="7"/>
        <v>772.3</v>
      </c>
      <c r="L26" s="270"/>
    </row>
    <row r="27" spans="1:12">
      <c r="B27" s="88" t="s">
        <v>71</v>
      </c>
      <c r="C27" s="139"/>
      <c r="D27" s="161">
        <v>1291.7</v>
      </c>
      <c r="E27" s="161">
        <v>98.2</v>
      </c>
      <c r="F27" s="153">
        <v>348</v>
      </c>
      <c r="G27" s="154">
        <f>+'Working Capital Forecast'!G19</f>
        <v>405.74456976111981</v>
      </c>
      <c r="H27" s="155">
        <f>+'Working Capital Forecast'!H19</f>
        <v>461.70263398278064</v>
      </c>
      <c r="I27" s="155">
        <f>+'Working Capital Forecast'!I19</f>
        <v>502.10752400415669</v>
      </c>
      <c r="J27" s="155">
        <f>+'Working Capital Forecast'!J19</f>
        <v>545.25087059294617</v>
      </c>
      <c r="K27" s="155">
        <f>+'Working Capital Forecast'!K19</f>
        <v>592.5973646731062</v>
      </c>
      <c r="L27" s="270"/>
    </row>
    <row r="28" spans="1:12">
      <c r="B28" s="88" t="s">
        <v>72</v>
      </c>
      <c r="C28" s="139"/>
      <c r="D28" s="161">
        <v>0</v>
      </c>
      <c r="E28" s="161">
        <v>1248.8</v>
      </c>
      <c r="F28" s="153">
        <v>1251.3</v>
      </c>
      <c r="G28" s="154">
        <f>+'Debt Schedule'!D50</f>
        <v>1441.3</v>
      </c>
      <c r="H28" s="154">
        <f>+'Debt Schedule'!E50</f>
        <v>1310.2</v>
      </c>
      <c r="I28" s="154">
        <f>+'Debt Schedule'!F50</f>
        <v>1156.5999999999999</v>
      </c>
      <c r="J28" s="154">
        <f>+'Debt Schedule'!G50</f>
        <v>1012.5</v>
      </c>
      <c r="K28" s="154">
        <f>+'Debt Schedule'!H50</f>
        <v>1012.5</v>
      </c>
      <c r="L28" s="270"/>
    </row>
    <row r="29" spans="1:12" ht="16.5" customHeight="1">
      <c r="B29" s="147" t="s">
        <v>73</v>
      </c>
      <c r="C29" s="139"/>
      <c r="D29" s="161">
        <v>1269</v>
      </c>
      <c r="E29" s="161">
        <v>1456.5</v>
      </c>
      <c r="F29" s="153">
        <v>1596.1</v>
      </c>
      <c r="G29" s="154">
        <f>+'Working Capital Forecast'!G17</f>
        <v>1860.9451373440324</v>
      </c>
      <c r="H29" s="155">
        <f>+'Working Capital Forecast'!H17</f>
        <v>2117.5964772986099</v>
      </c>
      <c r="I29" s="155">
        <f>+'Working Capital Forecast'!I17</f>
        <v>2302.9132731696395</v>
      </c>
      <c r="J29" s="155">
        <f>+'Working Capital Forecast'!J17</f>
        <v>2500.7899843488549</v>
      </c>
      <c r="K29" s="155">
        <f>+'Working Capital Forecast'!K17</f>
        <v>2717.944407341221</v>
      </c>
      <c r="L29" s="270"/>
    </row>
    <row r="30" spans="1:12">
      <c r="B30" s="88" t="s">
        <v>74</v>
      </c>
      <c r="C30" s="139"/>
      <c r="D30" s="161">
        <v>0</v>
      </c>
      <c r="E30" s="164"/>
      <c r="F30" s="153">
        <v>438.8</v>
      </c>
      <c r="G30" s="154">
        <f>'Debt Schedule'!G17+'Cash Flow Stat'!G39</f>
        <v>304.09999999999997</v>
      </c>
      <c r="H30" s="155">
        <f>'Debt Schedule'!H17+'Cash Flow Stat'!H39</f>
        <v>169.39999999999992</v>
      </c>
      <c r="I30" s="155">
        <f>'Debt Schedule'!I17+'Cash Flow Stat'!I39</f>
        <v>34.699999999999875</v>
      </c>
      <c r="J30" s="155">
        <f>'Debt Schedule'!J17+'Cash Flow Stat'!J39</f>
        <v>249.79999999999987</v>
      </c>
      <c r="K30" s="155">
        <f>'Debt Schedule'!K17+'Cash Flow Stat'!K39</f>
        <v>464.89999999999986</v>
      </c>
      <c r="L30" s="270"/>
    </row>
    <row r="31" spans="1:12" ht="15.75" thickBot="1">
      <c r="A31" s="133"/>
      <c r="B31" s="88" t="s">
        <v>75</v>
      </c>
      <c r="C31" s="139"/>
      <c r="D31" s="156">
        <v>0</v>
      </c>
      <c r="E31" s="156">
        <v>1249.9000000000001</v>
      </c>
      <c r="F31" s="156">
        <v>998.9</v>
      </c>
      <c r="G31" s="157">
        <f>F31</f>
        <v>998.9</v>
      </c>
      <c r="H31" s="157">
        <f t="shared" ref="H31:K31" si="8">G31</f>
        <v>998.9</v>
      </c>
      <c r="I31" s="157">
        <f t="shared" si="8"/>
        <v>998.9</v>
      </c>
      <c r="J31" s="157">
        <f t="shared" si="8"/>
        <v>998.9</v>
      </c>
      <c r="K31" s="157">
        <f t="shared" si="8"/>
        <v>998.9</v>
      </c>
      <c r="L31" s="270"/>
    </row>
    <row r="32" spans="1:12">
      <c r="A32" s="133"/>
      <c r="B32" s="137" t="s">
        <v>76</v>
      </c>
      <c r="C32" s="137"/>
      <c r="D32" s="159">
        <f>SUM(D24:D31)</f>
        <v>6168.7</v>
      </c>
      <c r="E32" s="159">
        <f t="shared" ref="E32:K32" si="9">SUM(E24:E31)</f>
        <v>6908</v>
      </c>
      <c r="F32" s="159">
        <f t="shared" si="9"/>
        <v>8590.2000000000007</v>
      </c>
      <c r="G32" s="159">
        <f t="shared" si="9"/>
        <v>9496.5520800224367</v>
      </c>
      <c r="H32" s="159">
        <f t="shared" si="9"/>
        <v>10055.474251247941</v>
      </c>
      <c r="I32" s="159">
        <f t="shared" si="9"/>
        <v>10362.670344439422</v>
      </c>
      <c r="J32" s="159">
        <f t="shared" si="9"/>
        <v>11069.526408575177</v>
      </c>
      <c r="K32" s="159">
        <f t="shared" si="9"/>
        <v>11982.429378367515</v>
      </c>
    </row>
    <row r="33" spans="1:13">
      <c r="A33" s="124"/>
      <c r="B33" s="127"/>
      <c r="C33" s="127"/>
      <c r="D33" s="160"/>
      <c r="E33" s="160"/>
      <c r="F33" s="160"/>
      <c r="G33" s="160"/>
      <c r="H33" s="160"/>
      <c r="I33" s="160"/>
      <c r="J33" s="160"/>
      <c r="K33" s="160"/>
    </row>
    <row r="34" spans="1:13">
      <c r="A34" s="133"/>
      <c r="B34" s="88" t="s">
        <v>77</v>
      </c>
      <c r="C34" s="139"/>
      <c r="D34" s="164">
        <v>11167</v>
      </c>
      <c r="E34" s="161">
        <v>14659.6</v>
      </c>
      <c r="F34" s="153">
        <v>13616.9</v>
      </c>
      <c r="G34" s="154">
        <f>'Debt Schedule'!G23</f>
        <v>15616.900000000001</v>
      </c>
      <c r="H34" s="154">
        <f>'Debt Schedule'!H23</f>
        <v>18616.900000000001</v>
      </c>
      <c r="I34" s="154">
        <f>'Debt Schedule'!I23</f>
        <v>21103.100000000002</v>
      </c>
      <c r="J34" s="154">
        <f>'Debt Schedule'!J23</f>
        <v>23853.100000000002</v>
      </c>
      <c r="K34" s="154">
        <f>'Debt Schedule'!K23</f>
        <v>27353.100000000002</v>
      </c>
      <c r="L34" s="270"/>
    </row>
    <row r="35" spans="1:13">
      <c r="B35" s="88" t="s">
        <v>78</v>
      </c>
      <c r="C35" s="139"/>
      <c r="D35" s="161">
        <v>0</v>
      </c>
      <c r="E35" s="161">
        <v>7661.7</v>
      </c>
      <c r="F35" s="153">
        <v>7738</v>
      </c>
      <c r="G35" s="154">
        <f>+'Debt Schedule'!C52</f>
        <v>6233.4</v>
      </c>
      <c r="H35" s="154">
        <f>+'Debt Schedule'!D52</f>
        <v>4792.0999999999995</v>
      </c>
      <c r="I35" s="154">
        <f>+'Debt Schedule'!E52</f>
        <v>3481.8999999999996</v>
      </c>
      <c r="J35" s="154">
        <f>+'Debt Schedule'!F52</f>
        <v>2325.2999999999997</v>
      </c>
      <c r="K35" s="154">
        <f>+'Debt Schedule'!G52</f>
        <v>1312.7999999999997</v>
      </c>
      <c r="L35" s="270"/>
      <c r="M35" s="136"/>
    </row>
    <row r="36" spans="1:13">
      <c r="B36" s="88" t="s">
        <v>79</v>
      </c>
      <c r="C36" s="139"/>
      <c r="D36" s="164">
        <v>6744.4</v>
      </c>
      <c r="E36" s="161">
        <v>6598.5</v>
      </c>
      <c r="F36" s="153">
        <v>6463</v>
      </c>
      <c r="G36" s="154">
        <f>+F36+'Cash Flow Stat'!G22</f>
        <v>6463</v>
      </c>
      <c r="H36" s="154">
        <f>+G36+'Cash Flow Stat'!H22</f>
        <v>6463</v>
      </c>
      <c r="I36" s="154">
        <f>+H36+'Cash Flow Stat'!I22</f>
        <v>6463</v>
      </c>
      <c r="J36" s="154">
        <f>+I36+'Cash Flow Stat'!J22</f>
        <v>6463</v>
      </c>
      <c r="K36" s="154">
        <f>+J36+'Cash Flow Stat'!K22</f>
        <v>6463</v>
      </c>
      <c r="L36" s="270"/>
    </row>
    <row r="37" spans="1:13" ht="15.75" thickBot="1">
      <c r="B37" s="88" t="s">
        <v>80</v>
      </c>
      <c r="C37" s="139"/>
      <c r="D37" s="165">
        <v>1370.5</v>
      </c>
      <c r="E37" s="156">
        <v>1346.1</v>
      </c>
      <c r="F37" s="156">
        <v>737.8</v>
      </c>
      <c r="G37" s="157">
        <f>+F37+'Cash Flow Stat'!G48+'Cash Flow Stat'!G14</f>
        <v>737.8</v>
      </c>
      <c r="H37" s="157">
        <f>+G37+'Cash Flow Stat'!H48+'Cash Flow Stat'!H14</f>
        <v>737.8</v>
      </c>
      <c r="I37" s="157">
        <f>+H37+'Cash Flow Stat'!I48+'Cash Flow Stat'!I14</f>
        <v>737.8</v>
      </c>
      <c r="J37" s="157">
        <f>+I37+'Cash Flow Stat'!J48+'Cash Flow Stat'!J14</f>
        <v>737.8</v>
      </c>
      <c r="K37" s="157">
        <f>+J37+'Cash Flow Stat'!K48+'Cash Flow Stat'!K14</f>
        <v>737.8</v>
      </c>
      <c r="L37" s="270"/>
    </row>
    <row r="38" spans="1:13">
      <c r="B38" s="144" t="s">
        <v>81</v>
      </c>
      <c r="C38" s="144"/>
      <c r="D38" s="149">
        <f>SUM(D32:D37)</f>
        <v>25450.6</v>
      </c>
      <c r="E38" s="149">
        <f t="shared" ref="E38:K38" si="10">SUM(E32:E37)</f>
        <v>37173.9</v>
      </c>
      <c r="F38" s="149">
        <f t="shared" si="10"/>
        <v>37145.9</v>
      </c>
      <c r="G38" s="149">
        <f t="shared" si="10"/>
        <v>38547.652080022439</v>
      </c>
      <c r="H38" s="149">
        <f t="shared" si="10"/>
        <v>40665.274251247945</v>
      </c>
      <c r="I38" s="149">
        <f t="shared" si="10"/>
        <v>42148.470344439425</v>
      </c>
      <c r="J38" s="149">
        <f t="shared" si="10"/>
        <v>44448.726408575181</v>
      </c>
      <c r="K38" s="149">
        <f t="shared" si="10"/>
        <v>47849.129378367521</v>
      </c>
    </row>
    <row r="39" spans="1:13">
      <c r="B39" s="139"/>
      <c r="C39" s="140"/>
      <c r="D39" s="162"/>
      <c r="E39" s="162"/>
      <c r="F39" s="163"/>
      <c r="G39" s="154"/>
      <c r="H39" s="155"/>
      <c r="I39" s="155"/>
      <c r="J39" s="155"/>
      <c r="K39" s="155"/>
    </row>
    <row r="40" spans="1:13">
      <c r="B40" s="144" t="s">
        <v>53</v>
      </c>
      <c r="C40" s="130"/>
      <c r="D40" s="149"/>
      <c r="E40" s="149"/>
      <c r="F40" s="150"/>
      <c r="G40" s="154"/>
      <c r="H40" s="155"/>
      <c r="I40" s="155"/>
      <c r="J40" s="155"/>
      <c r="K40" s="155"/>
    </row>
    <row r="41" spans="1:13">
      <c r="B41" s="88" t="s">
        <v>300</v>
      </c>
      <c r="C41" s="130"/>
      <c r="D41" s="153">
        <v>1.2</v>
      </c>
      <c r="E41" s="153">
        <v>1.2</v>
      </c>
      <c r="F41" s="153">
        <v>1.2</v>
      </c>
      <c r="G41" s="154">
        <f>+F41</f>
        <v>1.2</v>
      </c>
      <c r="H41" s="154">
        <f t="shared" ref="H41:K41" si="11">+G41</f>
        <v>1.2</v>
      </c>
      <c r="I41" s="154">
        <f t="shared" si="11"/>
        <v>1.2</v>
      </c>
      <c r="J41" s="154">
        <f t="shared" si="11"/>
        <v>1.2</v>
      </c>
      <c r="K41" s="154">
        <f t="shared" si="11"/>
        <v>1.2</v>
      </c>
    </row>
    <row r="42" spans="1:13">
      <c r="B42" s="88" t="s">
        <v>82</v>
      </c>
      <c r="C42" s="139"/>
      <c r="D42" s="153">
        <v>41.1</v>
      </c>
      <c r="E42" s="153">
        <v>373.9</v>
      </c>
      <c r="F42" s="153">
        <v>846.1</v>
      </c>
      <c r="G42" s="154">
        <f>+F42+'Cash Flow Stat'!G11+'Cash Flow Stat'!G44+'Cash Flow Stat'!G47</f>
        <v>1068.2</v>
      </c>
      <c r="H42" s="155">
        <f>+G42+'Cash Flow Stat'!H11+'Cash Flow Stat'!H44+'Cash Flow Stat'!H47</f>
        <v>1290.3000000000002</v>
      </c>
      <c r="I42" s="155">
        <f>+H42+'Cash Flow Stat'!I11+'Cash Flow Stat'!I44+'Cash Flow Stat'!I47</f>
        <v>1512.4</v>
      </c>
      <c r="J42" s="155">
        <f>+I42+'Cash Flow Stat'!J11+'Cash Flow Stat'!J44+'Cash Flow Stat'!J47</f>
        <v>1734.5</v>
      </c>
      <c r="K42" s="155">
        <f>+J42+'Cash Flow Stat'!K11+'Cash Flow Stat'!K44+'Cash Flow Stat'!K47</f>
        <v>1956.6</v>
      </c>
      <c r="L42" s="270"/>
    </row>
    <row r="43" spans="1:13">
      <c r="B43" s="88" t="s">
        <v>83</v>
      </c>
      <c r="C43" s="139"/>
      <c r="D43" s="153">
        <v>-5771.2</v>
      </c>
      <c r="E43" s="153">
        <v>-7815.6</v>
      </c>
      <c r="F43" s="153">
        <v>-6315.7</v>
      </c>
      <c r="G43" s="154">
        <f>+'Shareholders Equity Schedule'!G12</f>
        <v>-9271.2299369284756</v>
      </c>
      <c r="H43" s="155">
        <f>+'Shareholders Equity Schedule'!H12</f>
        <v>-10880.789180090127</v>
      </c>
      <c r="I43" s="155">
        <f>+'Shareholders Equity Schedule'!I12</f>
        <v>-12316.077090564078</v>
      </c>
      <c r="J43" s="155">
        <f>+'Shareholders Equity Schedule'!J12</f>
        <v>-11565.411633471556</v>
      </c>
      <c r="K43" s="155">
        <f>+'Shareholders Equity Schedule'!K12</f>
        <v>-10588.076627648126</v>
      </c>
      <c r="L43" s="270"/>
    </row>
    <row r="44" spans="1:13" ht="15" customHeight="1">
      <c r="B44" s="88" t="s">
        <v>84</v>
      </c>
      <c r="C44" s="139"/>
      <c r="D44" s="153">
        <v>-503.3</v>
      </c>
      <c r="E44" s="153">
        <v>-364.6</v>
      </c>
      <c r="F44" s="153">
        <v>147.19999999999999</v>
      </c>
      <c r="G44" s="154">
        <f>+F44+'Cash Flow Stat'!G51</f>
        <v>147.19999999999999</v>
      </c>
      <c r="H44" s="155">
        <f>+G44+'Cash Flow Stat'!H51</f>
        <v>147.19999999999999</v>
      </c>
      <c r="I44" s="155">
        <f>+H44+'Cash Flow Stat'!I51</f>
        <v>147.19999999999999</v>
      </c>
      <c r="J44" s="155">
        <f>+I44+'Cash Flow Stat'!J51</f>
        <v>147.19999999999999</v>
      </c>
      <c r="K44" s="155">
        <f>+J44+'Cash Flow Stat'!K51</f>
        <v>147.19999999999999</v>
      </c>
      <c r="L44" s="270"/>
    </row>
    <row r="45" spans="1:13">
      <c r="B45" s="148" t="s">
        <v>85</v>
      </c>
      <c r="C45" s="144"/>
      <c r="D45" s="150">
        <f>SUM(D41:D44)</f>
        <v>-6232.2</v>
      </c>
      <c r="E45" s="150">
        <f t="shared" ref="E45:K45" si="12">SUM(E41:E44)</f>
        <v>-7805.1</v>
      </c>
      <c r="F45" s="150">
        <f t="shared" si="12"/>
        <v>-5321.2</v>
      </c>
      <c r="G45" s="150">
        <f t="shared" si="12"/>
        <v>-8054.6299369284761</v>
      </c>
      <c r="H45" s="150">
        <f t="shared" si="12"/>
        <v>-9442.0891800901263</v>
      </c>
      <c r="I45" s="150">
        <f t="shared" si="12"/>
        <v>-10655.277090564077</v>
      </c>
      <c r="J45" s="150">
        <f t="shared" si="12"/>
        <v>-9682.5116334715549</v>
      </c>
      <c r="K45" s="150">
        <f t="shared" si="12"/>
        <v>-8483.0766276481263</v>
      </c>
    </row>
    <row r="46" spans="1:13">
      <c r="B46" s="88" t="s">
        <v>86</v>
      </c>
      <c r="C46" s="139"/>
      <c r="D46" s="153">
        <v>1.2</v>
      </c>
      <c r="E46" s="153">
        <v>5.7</v>
      </c>
      <c r="F46" s="153">
        <v>6.7</v>
      </c>
      <c r="G46" s="154">
        <f>+F46+'Income Statement'!G43</f>
        <v>7.7058814115468337</v>
      </c>
      <c r="H46" s="155">
        <f>+G46+'Income Statement'!H43</f>
        <v>8.8819807666507273</v>
      </c>
      <c r="I46" s="155">
        <f>+H46+'Income Statement'!I43</f>
        <v>10.14382179989526</v>
      </c>
      <c r="J46" s="155">
        <f>+I46+'Income Statement'!J43</f>
        <v>11.497152084671626</v>
      </c>
      <c r="K46" s="155">
        <f>+J46+'Income Statement'!K43</f>
        <v>12.962004024741681</v>
      </c>
      <c r="L46" s="270"/>
    </row>
    <row r="47" spans="1:13">
      <c r="B47" s="148" t="s">
        <v>87</v>
      </c>
      <c r="C47" s="131"/>
      <c r="D47" s="163">
        <f>SUM(D45:D46)</f>
        <v>-6231</v>
      </c>
      <c r="E47" s="163">
        <f t="shared" ref="E47:K47" si="13">SUM(E45:E46)</f>
        <v>-7799.4000000000005</v>
      </c>
      <c r="F47" s="163">
        <f t="shared" si="13"/>
        <v>-5314.5</v>
      </c>
      <c r="G47" s="163">
        <f t="shared" si="13"/>
        <v>-8046.924055516929</v>
      </c>
      <c r="H47" s="163">
        <f t="shared" si="13"/>
        <v>-9433.2071993234749</v>
      </c>
      <c r="I47" s="163">
        <f t="shared" si="13"/>
        <v>-10645.133268764183</v>
      </c>
      <c r="J47" s="163">
        <f t="shared" si="13"/>
        <v>-9671.0144813868828</v>
      </c>
      <c r="K47" s="163">
        <f t="shared" si="13"/>
        <v>-8470.1146236233853</v>
      </c>
    </row>
    <row r="48" spans="1:13" ht="15.75" thickBot="1">
      <c r="B48" s="137" t="s">
        <v>88</v>
      </c>
      <c r="C48" s="137"/>
      <c r="D48" s="294">
        <f>D38+D47</f>
        <v>19219.599999999999</v>
      </c>
      <c r="E48" s="294">
        <f t="shared" ref="E48:K48" si="14">E38+E47</f>
        <v>29374.5</v>
      </c>
      <c r="F48" s="294">
        <f t="shared" si="14"/>
        <v>31831.4</v>
      </c>
      <c r="G48" s="294">
        <f t="shared" si="14"/>
        <v>30500.728024505508</v>
      </c>
      <c r="H48" s="294">
        <f t="shared" si="14"/>
        <v>31232.06705192447</v>
      </c>
      <c r="I48" s="294">
        <f t="shared" si="14"/>
        <v>31503.337075675241</v>
      </c>
      <c r="J48" s="294">
        <f t="shared" si="14"/>
        <v>34777.711927188298</v>
      </c>
      <c r="K48" s="294">
        <f t="shared" si="14"/>
        <v>39379.014754744137</v>
      </c>
    </row>
    <row r="49" spans="2:11" ht="15.75" thickTop="1">
      <c r="B49" s="139"/>
      <c r="C49" s="139"/>
      <c r="D49" s="162"/>
      <c r="E49" s="162"/>
      <c r="F49" s="162"/>
      <c r="G49" s="166"/>
      <c r="H49" s="167"/>
      <c r="I49" s="167"/>
      <c r="J49" s="167"/>
      <c r="K49" s="167"/>
    </row>
    <row r="50" spans="2:11">
      <c r="B50" s="135" t="s">
        <v>190</v>
      </c>
      <c r="C50" s="139"/>
      <c r="D50" s="167">
        <f t="shared" ref="D50:F50" si="15">+D48-D20</f>
        <v>0</v>
      </c>
      <c r="E50" s="167">
        <f t="shared" si="15"/>
        <v>0</v>
      </c>
      <c r="F50" s="167">
        <f t="shared" si="15"/>
        <v>0</v>
      </c>
      <c r="G50" s="167">
        <f t="shared" ref="G50:I50" si="16">+G48-G20</f>
        <v>0</v>
      </c>
      <c r="H50" s="167">
        <f t="shared" si="16"/>
        <v>0</v>
      </c>
      <c r="I50" s="167">
        <f t="shared" si="16"/>
        <v>0</v>
      </c>
      <c r="J50" s="167">
        <f>+J48-J20</f>
        <v>0</v>
      </c>
      <c r="K50" s="167">
        <f>+K48-K20</f>
        <v>0</v>
      </c>
    </row>
    <row r="51" spans="2:11">
      <c r="B51" s="139"/>
      <c r="C51" s="139"/>
      <c r="D51" s="162"/>
      <c r="E51" s="162"/>
      <c r="F51" s="162"/>
      <c r="G51" s="166"/>
      <c r="H51" s="167"/>
      <c r="I51" s="167"/>
      <c r="J51" s="167"/>
    </row>
    <row r="52" spans="2:11">
      <c r="B52" s="139"/>
      <c r="C52" s="139"/>
      <c r="D52" s="162"/>
      <c r="E52" s="162"/>
      <c r="F52" s="162"/>
      <c r="G52" s="166"/>
      <c r="H52" s="167"/>
      <c r="I52" s="167"/>
      <c r="J52" s="167"/>
    </row>
    <row r="53" spans="2:11">
      <c r="B53" s="139"/>
      <c r="C53" s="139"/>
      <c r="D53" s="162"/>
      <c r="E53" s="162"/>
      <c r="F53" s="162"/>
      <c r="G53" s="166"/>
      <c r="H53" s="167"/>
      <c r="I53" s="167"/>
      <c r="J53" s="167"/>
    </row>
    <row r="54" spans="2:11">
      <c r="G54" s="167"/>
      <c r="H54" s="167"/>
      <c r="I54" s="167"/>
      <c r="J54" s="167"/>
    </row>
    <row r="55" spans="2:11">
      <c r="G55" s="167"/>
      <c r="H55" s="167"/>
      <c r="I55" s="167"/>
      <c r="J55" s="167"/>
    </row>
    <row r="56" spans="2:11">
      <c r="G56" s="167"/>
      <c r="H56" s="167"/>
      <c r="I56" s="167"/>
      <c r="J56" s="167"/>
    </row>
    <row r="57" spans="2:11">
      <c r="G57" s="169"/>
      <c r="H57" s="169"/>
      <c r="I57" s="169"/>
      <c r="J57" s="169"/>
    </row>
    <row r="58" spans="2:11">
      <c r="G58" s="169"/>
      <c r="H58" s="169"/>
      <c r="I58" s="169"/>
      <c r="J58" s="169"/>
    </row>
    <row r="59" spans="2:11">
      <c r="G59" s="169"/>
      <c r="H59" s="169"/>
      <c r="I59" s="169"/>
      <c r="J59" s="169"/>
    </row>
    <row r="60" spans="2:11">
      <c r="G60" s="169"/>
      <c r="H60" s="169"/>
      <c r="I60" s="169"/>
      <c r="J60" s="169"/>
    </row>
    <row r="61" spans="2:11">
      <c r="G61" s="169"/>
      <c r="H61" s="169"/>
      <c r="I61" s="169"/>
      <c r="J61" s="169"/>
    </row>
    <row r="62" spans="2:11">
      <c r="G62" s="169"/>
      <c r="H62" s="169"/>
      <c r="I62" s="169"/>
      <c r="J62" s="169"/>
    </row>
    <row r="63" spans="2:11">
      <c r="G63" s="169"/>
      <c r="H63" s="169"/>
      <c r="I63" s="169"/>
      <c r="J63" s="169"/>
    </row>
    <row r="64" spans="2:11">
      <c r="G64" s="169"/>
      <c r="H64" s="169"/>
      <c r="I64" s="169"/>
      <c r="J64" s="169"/>
    </row>
    <row r="65" spans="7:10">
      <c r="G65" s="169"/>
      <c r="H65" s="169"/>
      <c r="I65" s="169"/>
      <c r="J65" s="169"/>
    </row>
    <row r="66" spans="7:10">
      <c r="G66" s="169"/>
      <c r="H66" s="169"/>
      <c r="I66" s="169"/>
      <c r="J66" s="169"/>
    </row>
    <row r="67" spans="7:10">
      <c r="G67" s="169"/>
      <c r="H67" s="169"/>
      <c r="I67" s="169"/>
      <c r="J67" s="169"/>
    </row>
    <row r="68" spans="7:10">
      <c r="G68" s="169"/>
      <c r="H68" s="169"/>
      <c r="I68" s="169"/>
      <c r="J68" s="169"/>
    </row>
    <row r="69" spans="7:10">
      <c r="G69" s="169"/>
      <c r="H69" s="169"/>
      <c r="I69" s="169"/>
      <c r="J69" s="169"/>
    </row>
    <row r="70" spans="7:10">
      <c r="G70" s="169"/>
      <c r="H70" s="169"/>
      <c r="I70" s="169"/>
      <c r="J70" s="169"/>
    </row>
  </sheetData>
  <mergeCells count="2">
    <mergeCell ref="D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6"/>
  <sheetViews>
    <sheetView showGridLines="0" zoomScale="90" zoomScaleNormal="90" workbookViewId="0">
      <pane xSplit="2" ySplit="2" topLeftCell="E9" activePane="bottomRight" state="frozen"/>
      <selection pane="topRight" activeCell="C1" sqref="C1"/>
      <selection pane="bottomLeft" activeCell="A5" sqref="A5"/>
      <selection pane="bottomRight" activeCell="G28" sqref="G28"/>
    </sheetView>
  </sheetViews>
  <sheetFormatPr defaultRowHeight="12"/>
  <cols>
    <col min="1" max="1" width="3.7109375" style="177" customWidth="1"/>
    <col min="2" max="2" width="48.7109375" style="180" customWidth="1"/>
    <col min="3" max="3" width="3.7109375" style="177" customWidth="1"/>
    <col min="4" max="6" width="12.7109375" style="177" customWidth="1"/>
    <col min="7" max="10" width="12.7109375" style="180" customWidth="1"/>
    <col min="11" max="11" width="12.7109375" style="177" customWidth="1"/>
    <col min="12" max="16384" width="9.140625" style="177"/>
  </cols>
  <sheetData>
    <row r="1" spans="1:11" s="124" customFormat="1" ht="31.5">
      <c r="A1" s="122" t="s">
        <v>296</v>
      </c>
      <c r="B1" s="122"/>
      <c r="C1" s="123"/>
      <c r="D1" s="323" t="s">
        <v>293</v>
      </c>
      <c r="E1" s="323"/>
      <c r="F1" s="323"/>
      <c r="G1" s="323" t="s">
        <v>294</v>
      </c>
      <c r="H1" s="323"/>
      <c r="I1" s="323"/>
      <c r="J1" s="323"/>
      <c r="K1" s="323"/>
    </row>
    <row r="2" spans="1:11" s="127" customFormat="1" ht="18.75" customHeight="1">
      <c r="A2" s="125" t="s">
        <v>295</v>
      </c>
      <c r="B2" s="122"/>
      <c r="C2" s="126"/>
      <c r="D2" s="111">
        <v>2019</v>
      </c>
      <c r="E2" s="111">
        <f t="shared" ref="E2:K2" si="0">D2+1</f>
        <v>2020</v>
      </c>
      <c r="F2" s="111">
        <f t="shared" si="0"/>
        <v>2021</v>
      </c>
      <c r="G2" s="111">
        <f t="shared" si="0"/>
        <v>2022</v>
      </c>
      <c r="H2" s="111">
        <f t="shared" si="0"/>
        <v>2023</v>
      </c>
      <c r="I2" s="111">
        <f t="shared" si="0"/>
        <v>2024</v>
      </c>
      <c r="J2" s="111">
        <f t="shared" si="0"/>
        <v>2025</v>
      </c>
      <c r="K2" s="111">
        <f t="shared" si="0"/>
        <v>2026</v>
      </c>
    </row>
    <row r="3" spans="1:11" ht="15">
      <c r="B3" s="171" t="s">
        <v>301</v>
      </c>
      <c r="C3" s="132"/>
      <c r="D3" s="132"/>
      <c r="E3" s="132"/>
      <c r="F3" s="132"/>
      <c r="G3" s="145"/>
      <c r="H3" s="145"/>
      <c r="I3" s="145"/>
      <c r="J3" s="145"/>
      <c r="K3" s="172"/>
    </row>
    <row r="4" spans="1:11" ht="15">
      <c r="B4" s="88" t="s">
        <v>89</v>
      </c>
      <c r="C4" s="141"/>
      <c r="D4" s="154">
        <f>+'Income Statement'!D42</f>
        <v>3594.6000000000026</v>
      </c>
      <c r="E4" s="154">
        <f>+'Income Statement'!E42</f>
        <v>924.69999999999914</v>
      </c>
      <c r="F4" s="154">
        <f>+'Income Statement'!F42</f>
        <v>4200.3000000000011</v>
      </c>
      <c r="G4" s="154">
        <f>+'Income Statement'!G42</f>
        <v>4225.0036929201642</v>
      </c>
      <c r="H4" s="154">
        <f>+'Income Statement'!H42</f>
        <v>4939.9701212428881</v>
      </c>
      <c r="I4" s="154">
        <f>+'Income Statement'!I42</f>
        <v>5300.1108919370163</v>
      </c>
      <c r="J4" s="154">
        <f>+'Income Statement'!J42</f>
        <v>5684.3931951461727</v>
      </c>
      <c r="K4" s="154">
        <f>+'Income Statement'!K42</f>
        <v>6152.8176038762549</v>
      </c>
    </row>
    <row r="5" spans="1:11" ht="15">
      <c r="B5" s="148" t="s">
        <v>303</v>
      </c>
      <c r="C5" s="173"/>
      <c r="D5" s="174"/>
      <c r="E5" s="174"/>
      <c r="F5" s="174"/>
      <c r="G5" s="154"/>
      <c r="H5" s="155"/>
      <c r="I5" s="155"/>
      <c r="J5" s="154"/>
      <c r="K5" s="154"/>
    </row>
    <row r="6" spans="1:11" ht="15">
      <c r="B6" s="88" t="s">
        <v>90</v>
      </c>
      <c r="C6" s="141"/>
      <c r="D6" s="153">
        <v>1449.3</v>
      </c>
      <c r="E6" s="153">
        <v>1503.2</v>
      </c>
      <c r="F6" s="153">
        <v>1524.1</v>
      </c>
      <c r="G6" s="154">
        <f>+'PPE Schedule'!G20</f>
        <v>1820.2912485268325</v>
      </c>
      <c r="H6" s="154">
        <f>+'PPE Schedule'!H20</f>
        <v>1836.9082174379487</v>
      </c>
      <c r="I6" s="154">
        <f>+'PPE Schedule'!I20</f>
        <v>2047.3226780536563</v>
      </c>
      <c r="J6" s="154">
        <f>+'PPE Schedule'!J20</f>
        <v>2270.6290044871207</v>
      </c>
      <c r="K6" s="154">
        <f>+'PPE Schedule'!K20</f>
        <v>2506.7469761514681</v>
      </c>
    </row>
    <row r="7" spans="1:11" ht="15">
      <c r="B7" s="88" t="s">
        <v>65</v>
      </c>
      <c r="C7" s="141"/>
      <c r="D7" s="153">
        <v>-1495.4</v>
      </c>
      <c r="E7" s="153">
        <v>-25.8</v>
      </c>
      <c r="F7" s="153">
        <v>-146.19999999999999</v>
      </c>
      <c r="G7" s="154">
        <f>+'Balance Sheet'!F16-'Balance Sheet'!G16</f>
        <v>0</v>
      </c>
      <c r="H7" s="154">
        <f>+'Balance Sheet'!G16-'Balance Sheet'!H16</f>
        <v>0</v>
      </c>
      <c r="I7" s="154">
        <f>+'Balance Sheet'!H16-'Balance Sheet'!I16</f>
        <v>0</v>
      </c>
      <c r="J7" s="154">
        <f>+'Balance Sheet'!I16-'Balance Sheet'!J16</f>
        <v>0</v>
      </c>
      <c r="K7" s="154">
        <f>+'Balance Sheet'!J16-'Balance Sheet'!K16</f>
        <v>0</v>
      </c>
    </row>
    <row r="8" spans="1:11" ht="15">
      <c r="B8" s="88" t="s">
        <v>91</v>
      </c>
      <c r="C8" s="141"/>
      <c r="D8" s="153">
        <v>-250.6</v>
      </c>
      <c r="E8" s="153">
        <v>-280.7</v>
      </c>
      <c r="F8" s="153">
        <v>-347.3</v>
      </c>
      <c r="G8" s="154">
        <f>-'Income Statement'!G23</f>
        <v>-449.23385841655016</v>
      </c>
      <c r="H8" s="155">
        <f>-'Income Statement'!H23</f>
        <v>-511.18972664817636</v>
      </c>
      <c r="I8" s="155">
        <f>-'Income Statement'!I23</f>
        <v>-555.92537068621141</v>
      </c>
      <c r="J8" s="154">
        <f>-'Income Statement'!J23</f>
        <v>-603.69298976856942</v>
      </c>
      <c r="K8" s="154">
        <f>-'Income Statement'!K23</f>
        <v>-656.11426611651677</v>
      </c>
    </row>
    <row r="9" spans="1:11" ht="14.25" customHeight="1">
      <c r="B9" s="88" t="s">
        <v>92</v>
      </c>
      <c r="C9" s="141"/>
      <c r="D9" s="153">
        <v>216.8</v>
      </c>
      <c r="E9" s="153">
        <v>227.7</v>
      </c>
      <c r="F9" s="153">
        <v>336</v>
      </c>
      <c r="G9" s="154">
        <f>+F9/F8*G8</f>
        <v>434.61726584497802</v>
      </c>
      <c r="H9" s="155">
        <f t="shared" ref="H9:K9" si="1">+G9/G8*H8</f>
        <v>494.55729384908517</v>
      </c>
      <c r="I9" s="155">
        <f t="shared" si="1"/>
        <v>537.83738713091577</v>
      </c>
      <c r="J9" s="154">
        <f t="shared" si="1"/>
        <v>584.05080495893856</v>
      </c>
      <c r="K9" s="154">
        <f t="shared" si="1"/>
        <v>634.76646534739325</v>
      </c>
    </row>
    <row r="10" spans="1:11" ht="16.5" customHeight="1">
      <c r="B10" s="147" t="s">
        <v>29</v>
      </c>
      <c r="C10" s="141"/>
      <c r="D10" s="153">
        <v>-622.79999999999995</v>
      </c>
      <c r="E10" s="189">
        <v>0</v>
      </c>
      <c r="F10" s="153">
        <v>-864.5</v>
      </c>
      <c r="G10" s="154">
        <v>0</v>
      </c>
      <c r="H10" s="155">
        <v>0</v>
      </c>
      <c r="I10" s="155">
        <v>0</v>
      </c>
      <c r="J10" s="154">
        <v>0</v>
      </c>
      <c r="K10" s="154">
        <v>0</v>
      </c>
    </row>
    <row r="11" spans="1:11" ht="15">
      <c r="B11" s="88" t="s">
        <v>93</v>
      </c>
      <c r="C11" s="141"/>
      <c r="D11" s="153">
        <v>308</v>
      </c>
      <c r="E11" s="153">
        <v>248.6</v>
      </c>
      <c r="F11" s="153">
        <v>319.10000000000002</v>
      </c>
      <c r="G11" s="154">
        <f>+F11</f>
        <v>319.10000000000002</v>
      </c>
      <c r="H11" s="155">
        <f t="shared" ref="H11:K11" si="2">+G11</f>
        <v>319.10000000000002</v>
      </c>
      <c r="I11" s="155">
        <f t="shared" si="2"/>
        <v>319.10000000000002</v>
      </c>
      <c r="J11" s="154">
        <f t="shared" si="2"/>
        <v>319.10000000000002</v>
      </c>
      <c r="K11" s="154">
        <f t="shared" si="2"/>
        <v>319.10000000000002</v>
      </c>
    </row>
    <row r="12" spans="1:11" ht="15">
      <c r="B12" s="88" t="s">
        <v>94</v>
      </c>
      <c r="C12" s="141"/>
      <c r="D12" s="153">
        <v>10.5</v>
      </c>
      <c r="E12" s="189">
        <v>0</v>
      </c>
      <c r="F12" s="187">
        <v>0</v>
      </c>
      <c r="G12" s="154">
        <v>0</v>
      </c>
      <c r="H12" s="155">
        <v>0</v>
      </c>
      <c r="I12" s="155">
        <v>0</v>
      </c>
      <c r="J12" s="154">
        <v>0</v>
      </c>
      <c r="K12" s="154">
        <v>0</v>
      </c>
    </row>
    <row r="13" spans="1:11" ht="15">
      <c r="B13" s="88" t="s">
        <v>95</v>
      </c>
      <c r="C13" s="141"/>
      <c r="D13" s="187">
        <v>0</v>
      </c>
      <c r="E13" s="153">
        <v>1197.5999999999999</v>
      </c>
      <c r="F13" s="153">
        <v>1248.5999999999999</v>
      </c>
      <c r="G13" s="154">
        <f>+'Balance Sheet'!F15-'Balance Sheet'!G15</f>
        <v>0</v>
      </c>
      <c r="H13" s="154">
        <f>+'Balance Sheet'!G15-'Balance Sheet'!H15</f>
        <v>0</v>
      </c>
      <c r="I13" s="154">
        <f>+'Balance Sheet'!H15-'Balance Sheet'!I15</f>
        <v>0</v>
      </c>
      <c r="J13" s="154">
        <f>+'Balance Sheet'!I15-'Balance Sheet'!J15</f>
        <v>0</v>
      </c>
      <c r="K13" s="154">
        <f>+'Balance Sheet'!J15-'Balance Sheet'!K15</f>
        <v>0</v>
      </c>
    </row>
    <row r="14" spans="1:11" ht="15">
      <c r="B14" s="88" t="s">
        <v>96</v>
      </c>
      <c r="C14" s="141"/>
      <c r="D14" s="153">
        <v>142.6</v>
      </c>
      <c r="E14" s="153">
        <v>454.4</v>
      </c>
      <c r="F14" s="153">
        <v>226.2</v>
      </c>
      <c r="G14" s="154">
        <v>0</v>
      </c>
      <c r="H14" s="155">
        <v>0</v>
      </c>
      <c r="I14" s="155">
        <v>0</v>
      </c>
      <c r="J14" s="154">
        <v>0</v>
      </c>
      <c r="K14" s="154">
        <v>0</v>
      </c>
    </row>
    <row r="15" spans="1:11" ht="15">
      <c r="B15" s="88" t="s">
        <v>18</v>
      </c>
      <c r="C15" s="141"/>
      <c r="D15" s="153">
        <v>45.3</v>
      </c>
      <c r="E15" s="153">
        <v>24.5</v>
      </c>
      <c r="F15" s="152">
        <v>-6</v>
      </c>
      <c r="G15" s="154">
        <v>0</v>
      </c>
      <c r="H15" s="155">
        <v>0</v>
      </c>
      <c r="I15" s="155">
        <v>0</v>
      </c>
      <c r="J15" s="154">
        <v>0</v>
      </c>
      <c r="K15" s="154">
        <v>0</v>
      </c>
    </row>
    <row r="16" spans="1:11" ht="30" customHeight="1">
      <c r="B16" s="148" t="s">
        <v>97</v>
      </c>
      <c r="C16" s="141"/>
      <c r="D16" s="163"/>
      <c r="E16" s="163"/>
      <c r="F16" s="163"/>
      <c r="G16" s="154"/>
      <c r="H16" s="155"/>
      <c r="I16" s="155"/>
      <c r="J16" s="154"/>
      <c r="K16" s="154"/>
    </row>
    <row r="17" spans="2:12" ht="15">
      <c r="B17" s="88" t="s">
        <v>100</v>
      </c>
      <c r="C17" s="141"/>
      <c r="D17" s="153">
        <v>-197.7</v>
      </c>
      <c r="E17" s="153">
        <v>-2.7</v>
      </c>
      <c r="F17" s="153">
        <v>-43</v>
      </c>
      <c r="G17" s="154">
        <f>+'Balance Sheet'!F7-'Balance Sheet'!G7</f>
        <v>-155.97671142371428</v>
      </c>
      <c r="H17" s="155">
        <f>+'Balance Sheet'!G7-'Balance Sheet'!H7</f>
        <v>-151.15109301253233</v>
      </c>
      <c r="I17" s="155">
        <f>+'Balance Sheet'!H7-'Balance Sheet'!I7</f>
        <v>-109.13964546003876</v>
      </c>
      <c r="J17" s="154">
        <f>+'Balance Sheet'!I7-'Balance Sheet'!J7</f>
        <v>-116.53662584328185</v>
      </c>
      <c r="K17" s="154">
        <f>+'Balance Sheet'!J7-'Balance Sheet'!K7</f>
        <v>-127.88995527399561</v>
      </c>
    </row>
    <row r="18" spans="2:12" ht="15">
      <c r="B18" s="88" t="s">
        <v>52</v>
      </c>
      <c r="C18" s="141"/>
      <c r="D18" s="153">
        <v>-173</v>
      </c>
      <c r="E18" s="153">
        <v>-10.9</v>
      </c>
      <c r="F18" s="153">
        <v>-49.8</v>
      </c>
      <c r="G18" s="154">
        <f>+'Balance Sheet'!F8-'Balance Sheet'!G8</f>
        <v>-266.13941218350601</v>
      </c>
      <c r="H18" s="155">
        <f>+'Balance Sheet'!G8-'Balance Sheet'!H8</f>
        <v>-257.90557242851082</v>
      </c>
      <c r="I18" s="155">
        <f>+'Balance Sheet'!H8-'Balance Sheet'!I8</f>
        <v>-186.2224227163365</v>
      </c>
      <c r="J18" s="154">
        <f>+'Balance Sheet'!I8-'Balance Sheet'!J8</f>
        <v>-198.84371722344713</v>
      </c>
      <c r="K18" s="154">
        <f>+'Balance Sheet'!J8-'Balance Sheet'!K8</f>
        <v>-218.21563751485292</v>
      </c>
    </row>
    <row r="19" spans="2:12" ht="15">
      <c r="B19" s="88" t="s">
        <v>59</v>
      </c>
      <c r="C19" s="141"/>
      <c r="D19" s="153">
        <v>922</v>
      </c>
      <c r="E19" s="153">
        <v>-317.5</v>
      </c>
      <c r="F19" s="153">
        <v>251.1</v>
      </c>
      <c r="G19" s="154">
        <f>+'Balance Sheet'!F9-'Balance Sheet'!G9</f>
        <v>-98.663566609085706</v>
      </c>
      <c r="H19" s="155">
        <f>+'Balance Sheet'!G9-'Balance Sheet'!H9</f>
        <v>-95.611106282182618</v>
      </c>
      <c r="I19" s="155">
        <f>+'Balance Sheet'!H9-'Balance Sheet'!I9</f>
        <v>-69.03663105376495</v>
      </c>
      <c r="J19" s="154">
        <f>+'Balance Sheet'!I9-'Balance Sheet'!J9</f>
        <v>-73.715614602569644</v>
      </c>
      <c r="K19" s="154">
        <f>+'Balance Sheet'!J9-'Balance Sheet'!K9</f>
        <v>-80.897199367997587</v>
      </c>
    </row>
    <row r="20" spans="2:12" ht="15">
      <c r="B20" s="88" t="s">
        <v>71</v>
      </c>
      <c r="C20" s="141"/>
      <c r="D20" s="153">
        <v>1237.0999999999999</v>
      </c>
      <c r="E20" s="153">
        <v>-1214.5999999999999</v>
      </c>
      <c r="F20" s="153">
        <v>286.10000000000002</v>
      </c>
      <c r="G20" s="154">
        <f>+'Balance Sheet'!G27-'Balance Sheet'!F27</f>
        <v>57.744569761119806</v>
      </c>
      <c r="H20" s="155">
        <f>+'Balance Sheet'!H27-'Balance Sheet'!G27</f>
        <v>55.958064221660834</v>
      </c>
      <c r="I20" s="155">
        <f>+'Balance Sheet'!I27-'Balance Sheet'!H27</f>
        <v>40.404890021376048</v>
      </c>
      <c r="J20" s="154">
        <f>+'Balance Sheet'!J27-'Balance Sheet'!I27</f>
        <v>43.143346588789484</v>
      </c>
      <c r="K20" s="154">
        <f>+'Balance Sheet'!K27-'Balance Sheet'!J27</f>
        <v>47.346494080160028</v>
      </c>
    </row>
    <row r="21" spans="2:12" ht="15">
      <c r="B21" s="88" t="s">
        <v>68</v>
      </c>
      <c r="C21" s="141"/>
      <c r="D21" s="153">
        <v>31.9</v>
      </c>
      <c r="E21" s="153">
        <v>-210.8</v>
      </c>
      <c r="F21" s="153">
        <v>189.9</v>
      </c>
      <c r="G21" s="154">
        <f>+'Balance Sheet'!G24-'Balance Sheet'!F24</f>
        <v>201.0440250648644</v>
      </c>
      <c r="H21" s="155">
        <f>+'Balance Sheet'!H24-'Balance Sheet'!G24</f>
        <v>194.8241109510468</v>
      </c>
      <c r="I21" s="155">
        <f>+'Balance Sheet'!I24-'Balance Sheet'!H24</f>
        <v>140.67403663764139</v>
      </c>
      <c r="J21" s="154">
        <f>+'Balance Sheet'!J24-'Balance Sheet'!I24</f>
        <v>150.20827220395813</v>
      </c>
      <c r="K21" s="154">
        <f>+'Balance Sheet'!K24-'Balance Sheet'!J24</f>
        <v>164.84198915954607</v>
      </c>
    </row>
    <row r="22" spans="2:12" ht="15">
      <c r="B22" s="88" t="s">
        <v>79</v>
      </c>
      <c r="C22" s="141"/>
      <c r="D22" s="153">
        <v>-30.5</v>
      </c>
      <c r="E22" s="153">
        <v>31</v>
      </c>
      <c r="F22" s="153">
        <v>-6.1</v>
      </c>
      <c r="G22" s="154">
        <v>0</v>
      </c>
      <c r="H22" s="155">
        <v>0</v>
      </c>
      <c r="I22" s="155">
        <v>0</v>
      </c>
      <c r="J22" s="154">
        <v>0</v>
      </c>
      <c r="K22" s="154">
        <v>0</v>
      </c>
    </row>
    <row r="23" spans="2:12" ht="15">
      <c r="B23" s="88" t="s">
        <v>78</v>
      </c>
      <c r="C23" s="141"/>
      <c r="D23" s="189">
        <v>0</v>
      </c>
      <c r="E23" s="153">
        <v>-1231.4000000000001</v>
      </c>
      <c r="F23" s="153">
        <v>-1488.1</v>
      </c>
      <c r="G23" s="154">
        <f>+'Balance Sheet'!G35-'Balance Sheet'!F35+'Balance Sheet'!G28-'Balance Sheet'!F28</f>
        <v>-1314.6000000000004</v>
      </c>
      <c r="H23" s="154">
        <f>+'Balance Sheet'!H35-'Balance Sheet'!G35+'Balance Sheet'!H28-'Balance Sheet'!G28</f>
        <v>-1572.4</v>
      </c>
      <c r="I23" s="154">
        <f>+'Balance Sheet'!I35-'Balance Sheet'!H35+'Balance Sheet'!I28-'Balance Sheet'!H28</f>
        <v>-1463.8</v>
      </c>
      <c r="J23" s="154">
        <f>+'Balance Sheet'!J35-'Balance Sheet'!I35+'Balance Sheet'!J28-'Balance Sheet'!I28</f>
        <v>-1300.6999999999998</v>
      </c>
      <c r="K23" s="154">
        <f>+'Balance Sheet'!K35-'Balance Sheet'!J35+'Balance Sheet'!K28-'Balance Sheet'!J28</f>
        <v>-1012.5</v>
      </c>
    </row>
    <row r="24" spans="2:12" ht="15.75" thickBot="1">
      <c r="B24" s="88" t="s">
        <v>98</v>
      </c>
      <c r="C24" s="141"/>
      <c r="D24" s="156">
        <v>-141.1</v>
      </c>
      <c r="E24" s="156">
        <v>280.5</v>
      </c>
      <c r="F24" s="156">
        <v>358.7</v>
      </c>
      <c r="G24" s="157">
        <f>+'Balance Sheet'!G25-'Balance Sheet'!F25+'Balance Sheet'!G26-'Balance Sheet'!F26+'Balance Sheet'!G29-'Balance Sheet'!F29</f>
        <v>592.2634851964508</v>
      </c>
      <c r="H24" s="157">
        <f>+'Balance Sheet'!H25-'Balance Sheet'!G25+'Balance Sheet'!H26-'Balance Sheet'!G26+'Balance Sheet'!H29-'Balance Sheet'!G29</f>
        <v>573.93999605279896</v>
      </c>
      <c r="I24" s="157">
        <f>+'Balance Sheet'!I25-'Balance Sheet'!H25+'Balance Sheet'!I26-'Balance Sheet'!H26+'Balance Sheet'!I29-'Balance Sheet'!H29</f>
        <v>414.41716653246431</v>
      </c>
      <c r="J24" s="157">
        <f>+'Balance Sheet'!J25-'Balance Sheet'!I25+'Balance Sheet'!J26-'Balance Sheet'!I26+'Balance Sheet'!J29-'Balance Sheet'!I29</f>
        <v>442.50444534300732</v>
      </c>
      <c r="K24" s="157">
        <f>+'Balance Sheet'!K25-'Balance Sheet'!J25+'Balance Sheet'!K26-'Balance Sheet'!J26+'Balance Sheet'!K29-'Balance Sheet'!J29</f>
        <v>485.6144865526303</v>
      </c>
    </row>
    <row r="25" spans="2:12" s="178" customFormat="1" ht="15">
      <c r="B25" s="186" t="s">
        <v>99</v>
      </c>
      <c r="C25" s="186"/>
      <c r="D25" s="159">
        <f>SUM(D4:D24)</f>
        <v>5047.0000000000018</v>
      </c>
      <c r="E25" s="159">
        <f t="shared" ref="E25:K25" si="3">SUM(E4:E24)</f>
        <v>1597.7999999999993</v>
      </c>
      <c r="F25" s="159">
        <f t="shared" si="3"/>
        <v>5989.1000000000013</v>
      </c>
      <c r="G25" s="159">
        <f t="shared" si="3"/>
        <v>5365.450738681553</v>
      </c>
      <c r="H25" s="159">
        <f t="shared" si="3"/>
        <v>5827.0003053840264</v>
      </c>
      <c r="I25" s="159">
        <f t="shared" si="3"/>
        <v>6415.7429803967188</v>
      </c>
      <c r="J25" s="159">
        <f t="shared" si="3"/>
        <v>7200.5401212901188</v>
      </c>
      <c r="K25" s="159">
        <f t="shared" si="3"/>
        <v>8215.6169568940932</v>
      </c>
    </row>
    <row r="26" spans="2:12" ht="15">
      <c r="B26" s="135"/>
      <c r="C26" s="141"/>
      <c r="D26" s="163"/>
      <c r="E26" s="163"/>
      <c r="F26" s="163"/>
      <c r="G26" s="154"/>
      <c r="H26" s="155"/>
      <c r="I26" s="155"/>
      <c r="J26" s="154"/>
      <c r="K26" s="154"/>
    </row>
    <row r="27" spans="2:12" ht="15">
      <c r="B27" s="170" t="s">
        <v>302</v>
      </c>
      <c r="C27" s="141"/>
      <c r="D27" s="163"/>
      <c r="E27" s="163"/>
      <c r="F27" s="163"/>
      <c r="G27" s="154"/>
      <c r="H27" s="155"/>
      <c r="I27" s="155"/>
      <c r="J27" s="154"/>
      <c r="K27" s="154"/>
    </row>
    <row r="28" spans="2:12" ht="15">
      <c r="B28" s="147" t="s">
        <v>101</v>
      </c>
      <c r="C28" s="141"/>
      <c r="D28" s="153">
        <v>-190.4</v>
      </c>
      <c r="E28" s="153">
        <v>-443.9</v>
      </c>
      <c r="F28" s="153">
        <v>-432</v>
      </c>
      <c r="G28" s="154">
        <f>+F28</f>
        <v>-432</v>
      </c>
      <c r="H28" s="155">
        <f t="shared" ref="H28:K28" si="4">+G28</f>
        <v>-432</v>
      </c>
      <c r="I28" s="155">
        <f t="shared" si="4"/>
        <v>-432</v>
      </c>
      <c r="J28" s="154">
        <f t="shared" si="4"/>
        <v>-432</v>
      </c>
      <c r="K28" s="154">
        <f t="shared" si="4"/>
        <v>-432</v>
      </c>
    </row>
    <row r="29" spans="2:12" ht="15">
      <c r="B29" s="147" t="s">
        <v>102</v>
      </c>
      <c r="C29" s="141"/>
      <c r="D29" s="153">
        <v>298.3</v>
      </c>
      <c r="E29" s="153">
        <v>186.7</v>
      </c>
      <c r="F29" s="153">
        <v>143.19999999999999</v>
      </c>
      <c r="G29" s="154">
        <f>+F29</f>
        <v>143.19999999999999</v>
      </c>
      <c r="H29" s="155">
        <f t="shared" ref="H29:K29" si="5">+G29</f>
        <v>143.19999999999999</v>
      </c>
      <c r="I29" s="155">
        <f t="shared" si="5"/>
        <v>143.19999999999999</v>
      </c>
      <c r="J29" s="154">
        <f t="shared" si="5"/>
        <v>143.19999999999999</v>
      </c>
      <c r="K29" s="154">
        <f t="shared" si="5"/>
        <v>143.19999999999999</v>
      </c>
    </row>
    <row r="30" spans="2:12" ht="15">
      <c r="B30" s="147" t="s">
        <v>103</v>
      </c>
      <c r="C30" s="141"/>
      <c r="D30" s="153">
        <v>59.8</v>
      </c>
      <c r="E30" s="153">
        <v>73.7</v>
      </c>
      <c r="F30" s="153">
        <v>345.5</v>
      </c>
      <c r="G30" s="154">
        <v>0</v>
      </c>
      <c r="H30" s="154">
        <v>0</v>
      </c>
      <c r="I30" s="154">
        <v>0</v>
      </c>
      <c r="J30" s="154">
        <v>0</v>
      </c>
      <c r="K30" s="154">
        <v>0</v>
      </c>
    </row>
    <row r="31" spans="2:12" ht="15">
      <c r="B31" s="147" t="s">
        <v>104</v>
      </c>
      <c r="C31" s="141"/>
      <c r="D31" s="153">
        <v>-1806.6</v>
      </c>
      <c r="E31" s="153">
        <v>-1483.6</v>
      </c>
      <c r="F31" s="153">
        <v>-1470</v>
      </c>
      <c r="G31" s="154">
        <f>+-'PPE Schedule'!G17</f>
        <v>-1713.921027439213</v>
      </c>
      <c r="H31" s="155">
        <f>+-'PPE Schedule'!H17</f>
        <v>-1950.2956090651942</v>
      </c>
      <c r="I31" s="155">
        <f>+-'PPE Schedule'!I17</f>
        <v>-2120.9714376037655</v>
      </c>
      <c r="J31" s="154">
        <f>+-'PPE Schedule'!J17</f>
        <v>-2303.2148844012386</v>
      </c>
      <c r="K31" s="154">
        <f>+-'PPE Schedule'!K17</f>
        <v>-2503.2130059467418</v>
      </c>
      <c r="L31" s="179"/>
    </row>
    <row r="32" spans="2:12" ht="15.75" customHeight="1">
      <c r="B32" s="147" t="s">
        <v>105</v>
      </c>
      <c r="C32" s="141"/>
      <c r="D32" s="153">
        <v>684.3</v>
      </c>
      <c r="E32" s="189">
        <v>0</v>
      </c>
      <c r="F32" s="153">
        <v>1175</v>
      </c>
      <c r="G32" s="154">
        <v>0</v>
      </c>
      <c r="H32" s="155">
        <v>0</v>
      </c>
      <c r="I32" s="155">
        <v>0</v>
      </c>
      <c r="J32" s="154">
        <v>0</v>
      </c>
      <c r="K32" s="154">
        <v>0</v>
      </c>
    </row>
    <row r="33" spans="2:11" ht="15.75" thickBot="1">
      <c r="B33" s="147" t="s">
        <v>18</v>
      </c>
      <c r="C33" s="141"/>
      <c r="D33" s="156">
        <v>-56.2</v>
      </c>
      <c r="E33" s="156">
        <v>-44.4</v>
      </c>
      <c r="F33" s="156">
        <v>-81.2</v>
      </c>
      <c r="G33" s="157">
        <v>0</v>
      </c>
      <c r="H33" s="158">
        <v>0</v>
      </c>
      <c r="I33" s="158">
        <v>0</v>
      </c>
      <c r="J33" s="157">
        <v>0</v>
      </c>
      <c r="K33" s="157">
        <v>0</v>
      </c>
    </row>
    <row r="34" spans="2:11" s="178" customFormat="1" ht="15">
      <c r="B34" s="188" t="s">
        <v>106</v>
      </c>
      <c r="C34" s="137"/>
      <c r="D34" s="159">
        <f>SUM(D28:D33)</f>
        <v>-1010.8</v>
      </c>
      <c r="E34" s="159">
        <f t="shared" ref="E34:K34" si="6">SUM(E28:E33)</f>
        <v>-1711.5</v>
      </c>
      <c r="F34" s="159">
        <f t="shared" si="6"/>
        <v>-319.49999999999994</v>
      </c>
      <c r="G34" s="159">
        <f t="shared" si="6"/>
        <v>-2002.721027439213</v>
      </c>
      <c r="H34" s="159">
        <f t="shared" si="6"/>
        <v>-2239.0956090651944</v>
      </c>
      <c r="I34" s="159">
        <f t="shared" si="6"/>
        <v>-2409.7714376037657</v>
      </c>
      <c r="J34" s="159">
        <f t="shared" si="6"/>
        <v>-2592.0148844012388</v>
      </c>
      <c r="K34" s="159">
        <f t="shared" si="6"/>
        <v>-2792.0130059467419</v>
      </c>
    </row>
    <row r="35" spans="2:11" s="190" customFormat="1" ht="15">
      <c r="B35" s="191"/>
      <c r="C35" s="127"/>
      <c r="D35" s="160"/>
      <c r="E35" s="160"/>
      <c r="F35" s="160"/>
      <c r="G35" s="160"/>
      <c r="H35" s="160"/>
      <c r="I35" s="160"/>
      <c r="J35" s="160"/>
      <c r="K35" s="160"/>
    </row>
    <row r="36" spans="2:11" ht="15">
      <c r="B36" s="191" t="s">
        <v>305</v>
      </c>
      <c r="C36" s="192"/>
      <c r="D36" s="193">
        <f>D34+D25</f>
        <v>4036.2000000000016</v>
      </c>
      <c r="E36" s="193">
        <f t="shared" ref="E36:K36" si="7">E34+E25</f>
        <v>-113.70000000000073</v>
      </c>
      <c r="F36" s="193">
        <f t="shared" si="7"/>
        <v>5669.6000000000013</v>
      </c>
      <c r="G36" s="193">
        <f t="shared" si="7"/>
        <v>3362.7297112423403</v>
      </c>
      <c r="H36" s="193">
        <f t="shared" si="7"/>
        <v>3587.9046963188321</v>
      </c>
      <c r="I36" s="193">
        <f t="shared" si="7"/>
        <v>4005.9715427929532</v>
      </c>
      <c r="J36" s="193">
        <f t="shared" si="7"/>
        <v>4608.5252368888796</v>
      </c>
      <c r="K36" s="193">
        <f t="shared" si="7"/>
        <v>5423.6039509473512</v>
      </c>
    </row>
    <row r="37" spans="2:11" ht="15">
      <c r="B37" s="191"/>
      <c r="C37" s="192"/>
      <c r="D37" s="193"/>
      <c r="E37" s="193"/>
      <c r="F37" s="193"/>
      <c r="G37" s="193"/>
      <c r="H37" s="193"/>
      <c r="I37" s="193"/>
      <c r="J37" s="193"/>
      <c r="K37" s="193"/>
    </row>
    <row r="38" spans="2:11" ht="15">
      <c r="B38" s="170" t="s">
        <v>304</v>
      </c>
      <c r="C38" s="132"/>
      <c r="D38" s="150"/>
      <c r="E38" s="150"/>
      <c r="F38" s="150"/>
      <c r="G38" s="154"/>
      <c r="H38" s="155"/>
      <c r="I38" s="155"/>
      <c r="J38" s="154"/>
      <c r="K38" s="154"/>
    </row>
    <row r="39" spans="2:11" ht="15">
      <c r="B39" s="147" t="s">
        <v>107</v>
      </c>
      <c r="C39" s="141"/>
      <c r="D39" s="189">
        <v>0</v>
      </c>
      <c r="E39" s="189">
        <v>0</v>
      </c>
      <c r="F39" s="153">
        <v>-296.5</v>
      </c>
      <c r="G39" s="154">
        <v>0</v>
      </c>
      <c r="H39" s="155">
        <v>0</v>
      </c>
      <c r="I39" s="155">
        <v>0</v>
      </c>
      <c r="J39" s="154">
        <v>0</v>
      </c>
      <c r="K39" s="154">
        <v>0</v>
      </c>
    </row>
    <row r="40" spans="2:11" ht="15">
      <c r="B40" s="147" t="s">
        <v>108</v>
      </c>
      <c r="C40" s="141"/>
      <c r="D40" s="189">
        <v>0</v>
      </c>
      <c r="E40" s="153">
        <v>1406.6</v>
      </c>
      <c r="F40" s="153">
        <v>215.1</v>
      </c>
      <c r="G40" s="154">
        <f>'Debt Schedule'!G15</f>
        <v>215.1</v>
      </c>
      <c r="H40" s="154">
        <f>'Debt Schedule'!H15</f>
        <v>215.1</v>
      </c>
      <c r="I40" s="154">
        <f>'Debt Schedule'!I15</f>
        <v>215.1</v>
      </c>
      <c r="J40" s="154">
        <f>'Debt Schedule'!J15</f>
        <v>215.1</v>
      </c>
      <c r="K40" s="154">
        <f>'Debt Schedule'!K15</f>
        <v>215.1</v>
      </c>
    </row>
    <row r="41" spans="2:11" ht="15">
      <c r="B41" s="147" t="s">
        <v>109</v>
      </c>
      <c r="C41" s="141"/>
      <c r="D41" s="189">
        <v>0</v>
      </c>
      <c r="E41" s="153">
        <v>-967.7</v>
      </c>
      <c r="F41" s="153">
        <v>-349.8</v>
      </c>
      <c r="G41" s="154">
        <f>'Debt Schedule'!G16</f>
        <v>-349.8</v>
      </c>
      <c r="H41" s="154">
        <f>'Debt Schedule'!H16</f>
        <v>-349.8</v>
      </c>
      <c r="I41" s="154">
        <f>'Debt Schedule'!I16</f>
        <v>-349.8</v>
      </c>
      <c r="J41" s="154">
        <f>'Debt Schedule'!J16</f>
        <v>0</v>
      </c>
      <c r="K41" s="154">
        <f>'Debt Schedule'!K16</f>
        <v>0</v>
      </c>
    </row>
    <row r="42" spans="2:11" ht="15">
      <c r="B42" s="147" t="s">
        <v>110</v>
      </c>
      <c r="C42" s="141"/>
      <c r="D42" s="153">
        <v>1996</v>
      </c>
      <c r="E42" s="153">
        <v>4727.6000000000004</v>
      </c>
      <c r="F42" s="153">
        <v>0</v>
      </c>
      <c r="G42" s="154">
        <f>'Debt Schedule'!G21</f>
        <v>3000</v>
      </c>
      <c r="H42" s="154">
        <f>'Debt Schedule'!H21</f>
        <v>4000</v>
      </c>
      <c r="I42" s="154">
        <f>'Debt Schedule'!I21</f>
        <v>4000</v>
      </c>
      <c r="J42" s="154">
        <f>'Debt Schedule'!J21</f>
        <v>4000</v>
      </c>
      <c r="K42" s="154">
        <f>'Debt Schedule'!K21</f>
        <v>4000</v>
      </c>
    </row>
    <row r="43" spans="2:11" ht="15">
      <c r="B43" s="147" t="s">
        <v>111</v>
      </c>
      <c r="C43" s="141"/>
      <c r="D43" s="153">
        <v>-350</v>
      </c>
      <c r="E43" s="189">
        <v>0</v>
      </c>
      <c r="F43" s="153">
        <v>-1250</v>
      </c>
      <c r="G43" s="154">
        <f>'Debt Schedule'!G22+'Balance Sheet'!G31-'Balance Sheet'!F31</f>
        <v>-1000</v>
      </c>
      <c r="H43" s="154">
        <f>'Debt Schedule'!H22+'Balance Sheet'!H31-'Balance Sheet'!G31</f>
        <v>-1000</v>
      </c>
      <c r="I43" s="154">
        <f>'Debt Schedule'!I22+'Balance Sheet'!I31-'Balance Sheet'!H31</f>
        <v>-1513.8</v>
      </c>
      <c r="J43" s="154">
        <f>'Debt Schedule'!J22+'Balance Sheet'!J31-'Balance Sheet'!I31</f>
        <v>-1250</v>
      </c>
      <c r="K43" s="154">
        <f>'Debt Schedule'!K22+'Balance Sheet'!K31-'Balance Sheet'!J31</f>
        <v>-500</v>
      </c>
    </row>
    <row r="44" spans="2:11" ht="15">
      <c r="B44" s="147" t="s">
        <v>112</v>
      </c>
      <c r="C44" s="141"/>
      <c r="D44" s="153">
        <v>409.8</v>
      </c>
      <c r="E44" s="153">
        <v>298.8</v>
      </c>
      <c r="F44" s="153">
        <v>246.2</v>
      </c>
      <c r="G44" s="154">
        <f>+'Balance Sheet'!G41-'Balance Sheet'!F41</f>
        <v>0</v>
      </c>
      <c r="H44" s="154">
        <f>+'Balance Sheet'!H41-'Balance Sheet'!G41</f>
        <v>0</v>
      </c>
      <c r="I44" s="154">
        <f>+'Balance Sheet'!I41-'Balance Sheet'!H41</f>
        <v>0</v>
      </c>
      <c r="J44" s="154">
        <f>+'Balance Sheet'!J41-'Balance Sheet'!I41</f>
        <v>0</v>
      </c>
      <c r="K44" s="154">
        <f>+'Balance Sheet'!K41-'Balance Sheet'!J41</f>
        <v>0</v>
      </c>
    </row>
    <row r="45" spans="2:11" ht="15">
      <c r="B45" s="147" t="s">
        <v>113</v>
      </c>
      <c r="C45" s="141"/>
      <c r="D45" s="153">
        <v>-1761.3</v>
      </c>
      <c r="E45" s="153">
        <v>-1923.5</v>
      </c>
      <c r="F45" s="153">
        <v>-2119</v>
      </c>
      <c r="G45" s="154">
        <f>+-'Shareholders Equity Schedule'!G6</f>
        <v>-2179.5277484370936</v>
      </c>
      <c r="H45" s="155">
        <f>+-'Shareholders Equity Schedule'!H6</f>
        <v>-2548.3532650494362</v>
      </c>
      <c r="I45" s="155">
        <f>+-'Shareholders Equity Schedule'!I6</f>
        <v>-2734.1369613777238</v>
      </c>
      <c r="J45" s="154">
        <f>+-'Shareholders Equity Schedule'!J6</f>
        <v>-2932.3744077688743</v>
      </c>
      <c r="K45" s="154">
        <f>+-'Shareholders Equity Schedule'!K6</f>
        <v>-3174.017746112755</v>
      </c>
    </row>
    <row r="46" spans="2:11" ht="15">
      <c r="B46" s="147" t="s">
        <v>114</v>
      </c>
      <c r="C46" s="141"/>
      <c r="D46" s="153">
        <v>-10222.299999999999</v>
      </c>
      <c r="E46" s="153">
        <v>-1698.9</v>
      </c>
      <c r="F46" s="153">
        <v>0</v>
      </c>
      <c r="G46" s="154">
        <f>+-'Shareholders Equity Schedule'!G7</f>
        <v>-5000</v>
      </c>
      <c r="H46" s="155">
        <f>+-'Shareholders Equity Schedule'!H7</f>
        <v>-4000</v>
      </c>
      <c r="I46" s="155">
        <f>+-'Shareholders Equity Schedule'!I7</f>
        <v>-4000</v>
      </c>
      <c r="J46" s="154">
        <f>+-'Shareholders Equity Schedule'!J7</f>
        <v>-2000</v>
      </c>
      <c r="K46" s="154">
        <f>+-'Shareholders Equity Schedule'!K7</f>
        <v>-2000</v>
      </c>
    </row>
    <row r="47" spans="2:11" ht="15" customHeight="1">
      <c r="B47" s="147" t="s">
        <v>115</v>
      </c>
      <c r="C47" s="141"/>
      <c r="D47" s="153">
        <v>-111.6</v>
      </c>
      <c r="E47" s="153">
        <v>-91.9</v>
      </c>
      <c r="F47" s="153">
        <v>-97</v>
      </c>
      <c r="G47" s="154">
        <f>+F47</f>
        <v>-97</v>
      </c>
      <c r="H47" s="155">
        <f t="shared" ref="H47:K47" si="8">+G47</f>
        <v>-97</v>
      </c>
      <c r="I47" s="155">
        <f t="shared" si="8"/>
        <v>-97</v>
      </c>
      <c r="J47" s="154">
        <f t="shared" si="8"/>
        <v>-97</v>
      </c>
      <c r="K47" s="154">
        <f t="shared" si="8"/>
        <v>-97</v>
      </c>
    </row>
    <row r="48" spans="2:11" ht="15.75" thickBot="1">
      <c r="B48" s="147" t="s">
        <v>18</v>
      </c>
      <c r="C48" s="141"/>
      <c r="D48" s="156">
        <v>-17.5</v>
      </c>
      <c r="E48" s="156">
        <v>-37.700000000000003</v>
      </c>
      <c r="F48" s="156">
        <v>0</v>
      </c>
      <c r="G48" s="157">
        <v>0</v>
      </c>
      <c r="H48" s="158">
        <v>0</v>
      </c>
      <c r="I48" s="158">
        <v>0</v>
      </c>
      <c r="J48" s="157">
        <v>0</v>
      </c>
      <c r="K48" s="157">
        <v>0</v>
      </c>
    </row>
    <row r="49" spans="2:11" ht="15.75" customHeight="1">
      <c r="B49" s="188" t="s">
        <v>116</v>
      </c>
      <c r="C49" s="194"/>
      <c r="D49" s="159">
        <f>SUM(D39:D48)</f>
        <v>-10056.9</v>
      </c>
      <c r="E49" s="159">
        <f t="shared" ref="E49:K49" si="9">SUM(E39:E48)</f>
        <v>1713.3</v>
      </c>
      <c r="F49" s="159">
        <f t="shared" si="9"/>
        <v>-3651</v>
      </c>
      <c r="G49" s="159">
        <f t="shared" si="9"/>
        <v>-5411.2277484370934</v>
      </c>
      <c r="H49" s="159">
        <f t="shared" si="9"/>
        <v>-3780.053265049436</v>
      </c>
      <c r="I49" s="159">
        <f t="shared" si="9"/>
        <v>-4479.6369613777242</v>
      </c>
      <c r="J49" s="159">
        <f t="shared" si="9"/>
        <v>-2064.274407768874</v>
      </c>
      <c r="K49" s="159">
        <f t="shared" si="9"/>
        <v>-1555.9177461127547</v>
      </c>
    </row>
    <row r="50" spans="2:11" ht="15.75" customHeight="1">
      <c r="B50" s="147"/>
      <c r="C50" s="141"/>
      <c r="D50" s="152"/>
      <c r="E50" s="152"/>
      <c r="F50" s="152"/>
      <c r="G50" s="154"/>
      <c r="H50" s="155"/>
      <c r="I50" s="155"/>
      <c r="J50" s="154"/>
      <c r="K50" s="154"/>
    </row>
    <row r="51" spans="2:11" ht="15" customHeight="1">
      <c r="B51" s="147" t="s">
        <v>117</v>
      </c>
      <c r="C51" s="141"/>
      <c r="D51" s="153" t="s">
        <v>119</v>
      </c>
      <c r="E51" s="153">
        <v>64.7</v>
      </c>
      <c r="F51" s="153">
        <v>86.2</v>
      </c>
      <c r="G51" s="154">
        <v>0</v>
      </c>
      <c r="H51" s="155">
        <v>0</v>
      </c>
      <c r="I51" s="155">
        <v>0</v>
      </c>
      <c r="J51" s="154">
        <v>0</v>
      </c>
      <c r="K51" s="154">
        <v>0</v>
      </c>
    </row>
    <row r="52" spans="2:11" s="178" customFormat="1" ht="15">
      <c r="B52" s="188" t="s">
        <v>118</v>
      </c>
      <c r="C52" s="137"/>
      <c r="D52" s="159">
        <f>D49+D34+D25+D51</f>
        <v>-6069.6999999999971</v>
      </c>
      <c r="E52" s="159">
        <f t="shared" ref="E52:K52" si="10">E49+E34+E25+E51</f>
        <v>1664.2999999999993</v>
      </c>
      <c r="F52" s="159">
        <f t="shared" si="10"/>
        <v>2104.8000000000011</v>
      </c>
      <c r="G52" s="159">
        <f t="shared" si="10"/>
        <v>-2048.4980371947531</v>
      </c>
      <c r="H52" s="159">
        <f t="shared" si="10"/>
        <v>-192.14856873060398</v>
      </c>
      <c r="I52" s="159">
        <f t="shared" si="10"/>
        <v>-473.66541858477103</v>
      </c>
      <c r="J52" s="159">
        <f t="shared" si="10"/>
        <v>2544.2508291200056</v>
      </c>
      <c r="K52" s="159">
        <f t="shared" si="10"/>
        <v>3867.6862048345965</v>
      </c>
    </row>
    <row r="53" spans="2:11" ht="15">
      <c r="B53" s="135"/>
      <c r="C53" s="141"/>
      <c r="D53" s="163"/>
      <c r="E53" s="163"/>
      <c r="F53" s="163"/>
      <c r="G53" s="154"/>
      <c r="H53" s="155"/>
      <c r="I53" s="155"/>
      <c r="J53" s="155"/>
      <c r="K53" s="155"/>
    </row>
    <row r="54" spans="2:11" ht="15">
      <c r="B54" s="191" t="s">
        <v>120</v>
      </c>
      <c r="C54" s="132"/>
      <c r="D54" s="150"/>
      <c r="E54" s="150"/>
      <c r="F54" s="150"/>
      <c r="G54" s="154"/>
      <c r="H54" s="155"/>
      <c r="I54" s="155"/>
      <c r="J54" s="155"/>
      <c r="K54" s="155"/>
    </row>
    <row r="55" spans="2:11" ht="15">
      <c r="B55" s="147" t="s">
        <v>121</v>
      </c>
      <c r="C55" s="141"/>
      <c r="D55" s="153" t="s">
        <v>123</v>
      </c>
      <c r="E55" s="153">
        <f>D56</f>
        <v>2686.6000000000022</v>
      </c>
      <c r="F55" s="154">
        <f t="shared" ref="F55:K55" si="11">E56</f>
        <v>4350.9000000000015</v>
      </c>
      <c r="G55" s="154">
        <f t="shared" si="11"/>
        <v>6455.7000000000025</v>
      </c>
      <c r="H55" s="154">
        <f t="shared" si="11"/>
        <v>4407.2019628052494</v>
      </c>
      <c r="I55" s="154">
        <f t="shared" si="11"/>
        <v>4215.0533940746454</v>
      </c>
      <c r="J55" s="154">
        <f t="shared" si="11"/>
        <v>3741.3879754898744</v>
      </c>
      <c r="K55" s="154">
        <f t="shared" si="11"/>
        <v>6285.63880460988</v>
      </c>
    </row>
    <row r="56" spans="2:11" ht="15.75" thickBot="1">
      <c r="B56" s="188" t="s">
        <v>122</v>
      </c>
      <c r="C56" s="137"/>
      <c r="D56" s="294">
        <f>D55+D52</f>
        <v>2686.6000000000022</v>
      </c>
      <c r="E56" s="294">
        <f t="shared" ref="E56:K56" si="12">E55+E52</f>
        <v>4350.9000000000015</v>
      </c>
      <c r="F56" s="294">
        <f t="shared" si="12"/>
        <v>6455.7000000000025</v>
      </c>
      <c r="G56" s="294">
        <f t="shared" si="12"/>
        <v>4407.2019628052494</v>
      </c>
      <c r="H56" s="294">
        <f t="shared" si="12"/>
        <v>4215.0533940746454</v>
      </c>
      <c r="I56" s="294">
        <f t="shared" si="12"/>
        <v>3741.3879754898744</v>
      </c>
      <c r="J56" s="294">
        <f t="shared" si="12"/>
        <v>6285.63880460988</v>
      </c>
      <c r="K56" s="294">
        <f t="shared" si="12"/>
        <v>10153.325009444477</v>
      </c>
    </row>
    <row r="57" spans="2:11" ht="15.75" thickTop="1">
      <c r="B57" s="135"/>
      <c r="C57" s="141"/>
      <c r="D57" s="163"/>
      <c r="E57" s="163"/>
      <c r="F57" s="163"/>
      <c r="G57" s="154"/>
      <c r="H57" s="155"/>
      <c r="I57" s="155"/>
      <c r="J57" s="155"/>
      <c r="K57" s="155"/>
    </row>
    <row r="58" spans="2:11" ht="15">
      <c r="B58" s="176" t="s">
        <v>306</v>
      </c>
      <c r="C58" s="141"/>
      <c r="D58" s="163"/>
      <c r="E58" s="163"/>
      <c r="F58" s="163"/>
      <c r="G58" s="154"/>
      <c r="H58" s="155"/>
      <c r="I58" s="155"/>
      <c r="J58" s="155"/>
      <c r="K58" s="155"/>
    </row>
    <row r="59" spans="2:11" ht="15">
      <c r="B59" s="135" t="s">
        <v>124</v>
      </c>
      <c r="C59" s="141"/>
      <c r="D59" s="153">
        <v>299.5</v>
      </c>
      <c r="E59" s="153">
        <v>396.9</v>
      </c>
      <c r="F59" s="153">
        <v>501.1</v>
      </c>
      <c r="G59" s="154"/>
      <c r="H59" s="155"/>
      <c r="I59" s="155"/>
      <c r="J59" s="155"/>
      <c r="K59" s="155"/>
    </row>
    <row r="60" spans="2:11" ht="15">
      <c r="B60" s="135" t="s">
        <v>125</v>
      </c>
      <c r="C60" s="141"/>
      <c r="D60" s="153">
        <v>470.1</v>
      </c>
      <c r="E60" s="152" t="s">
        <v>126</v>
      </c>
      <c r="F60" s="153">
        <v>756.3</v>
      </c>
      <c r="G60" s="154"/>
      <c r="H60" s="155"/>
      <c r="I60" s="155"/>
      <c r="J60" s="155"/>
      <c r="K60" s="155"/>
    </row>
    <row r="61" spans="2:11" ht="15">
      <c r="B61" s="135"/>
      <c r="C61" s="141"/>
      <c r="D61" s="163"/>
      <c r="E61" s="163"/>
      <c r="F61" s="163"/>
      <c r="G61" s="154"/>
      <c r="H61" s="155"/>
      <c r="I61" s="155"/>
      <c r="J61" s="155"/>
      <c r="K61" s="155"/>
    </row>
    <row r="62" spans="2:11" ht="15">
      <c r="B62" s="135" t="s">
        <v>189</v>
      </c>
      <c r="C62" s="141"/>
      <c r="D62" s="153">
        <f>('Balance Sheet'!D30+'Balance Sheet'!D31+'Balance Sheet'!D34-'Balance Sheet'!D5-'Balance Sheet'!D6)/'Income Statement'!D28</f>
        <v>1.504185297800035</v>
      </c>
      <c r="E62" s="153">
        <f>('Balance Sheet'!E30+'Balance Sheet'!E31+'Balance Sheet'!E34-'Balance Sheet'!E5-'Balance Sheet'!E6)/'Income Statement'!E28</f>
        <v>3.446954182840726</v>
      </c>
      <c r="F62" s="153">
        <f>('Balance Sheet'!F30+'Balance Sheet'!F31+'Balance Sheet'!F34-'Balance Sheet'!F5-'Balance Sheet'!F6)/'Income Statement'!F28</f>
        <v>1.3011165602541561</v>
      </c>
      <c r="G62" s="153">
        <f>('Balance Sheet'!G30+'Balance Sheet'!G31+'Balance Sheet'!G34-'Balance Sheet'!G5-'Balance Sheet'!G6)/'Income Statement'!G28</f>
        <v>1.6336333729245767</v>
      </c>
      <c r="H62" s="175">
        <f>('Balance Sheet'!H30+'Balance Sheet'!H31+'Balance Sheet'!H34-'Balance Sheet'!H5-'Balance Sheet'!H6)/'Income Statement'!H28</f>
        <v>1.7910398741583047</v>
      </c>
      <c r="I62" s="175">
        <f>('Balance Sheet'!I30+'Balance Sheet'!I31+'Balance Sheet'!I34-'Balance Sheet'!I5-'Balance Sheet'!I6)/'Income Statement'!I28</f>
        <v>1.9488881418856914</v>
      </c>
      <c r="J62" s="175">
        <f>('Balance Sheet'!J30+'Balance Sheet'!J31+'Balance Sheet'!J34-'Balance Sheet'!J5-'Balance Sheet'!J6)/'Income Statement'!J28</f>
        <v>1.8361051274627112</v>
      </c>
      <c r="K62" s="175">
        <f>('Balance Sheet'!K30+'Balance Sheet'!K31+'Balance Sheet'!K34-'Balance Sheet'!K5-'Balance Sheet'!K6)/'Income Statement'!K28</f>
        <v>1.675587577472508</v>
      </c>
    </row>
    <row r="63" spans="2:11" ht="15">
      <c r="B63" s="145"/>
      <c r="C63" s="133"/>
      <c r="D63" s="151"/>
      <c r="E63" s="151"/>
      <c r="F63" s="151"/>
      <c r="G63" s="154"/>
      <c r="H63" s="155"/>
      <c r="I63" s="155"/>
      <c r="J63" s="155"/>
      <c r="K63" s="155"/>
    </row>
    <row r="64" spans="2:11" ht="15">
      <c r="B64" s="145"/>
      <c r="C64" s="133"/>
      <c r="D64" s="151"/>
      <c r="E64" s="151"/>
      <c r="F64" s="151"/>
      <c r="G64" s="154"/>
      <c r="H64" s="155"/>
      <c r="I64" s="155"/>
      <c r="J64" s="155"/>
      <c r="K64" s="155"/>
    </row>
    <row r="65" spans="2:11" ht="15">
      <c r="B65" s="145"/>
      <c r="C65" s="133"/>
      <c r="D65" s="151"/>
      <c r="E65" s="151"/>
      <c r="F65" s="151"/>
      <c r="G65" s="154"/>
      <c r="H65" s="155"/>
      <c r="I65" s="155"/>
      <c r="J65" s="155"/>
      <c r="K65" s="155"/>
    </row>
    <row r="66" spans="2:11" ht="15">
      <c r="B66" s="145"/>
      <c r="C66" s="133"/>
      <c r="D66" s="151"/>
      <c r="E66" s="151"/>
      <c r="F66" s="151"/>
      <c r="G66" s="154"/>
      <c r="H66" s="155"/>
      <c r="I66" s="155"/>
      <c r="J66" s="155"/>
      <c r="K66" s="155"/>
    </row>
    <row r="67" spans="2:11">
      <c r="D67" s="181"/>
      <c r="E67" s="181"/>
      <c r="F67" s="181"/>
      <c r="G67" s="182"/>
      <c r="H67" s="183"/>
      <c r="I67" s="183"/>
      <c r="J67" s="183"/>
      <c r="K67" s="183"/>
    </row>
    <row r="68" spans="2:11">
      <c r="D68" s="181"/>
      <c r="E68" s="181"/>
      <c r="F68" s="181"/>
      <c r="G68" s="182"/>
      <c r="H68" s="183"/>
      <c r="I68" s="183"/>
      <c r="J68" s="183"/>
      <c r="K68" s="183"/>
    </row>
    <row r="69" spans="2:11">
      <c r="D69" s="181"/>
      <c r="E69" s="181"/>
      <c r="F69" s="181"/>
      <c r="G69" s="182"/>
      <c r="H69" s="183"/>
      <c r="I69" s="183"/>
      <c r="J69" s="183"/>
      <c r="K69" s="183"/>
    </row>
    <row r="70" spans="2:11">
      <c r="D70" s="181"/>
      <c r="E70" s="181"/>
      <c r="F70" s="181"/>
      <c r="G70" s="182"/>
      <c r="H70" s="183"/>
      <c r="I70" s="183"/>
      <c r="J70" s="183"/>
      <c r="K70" s="183"/>
    </row>
    <row r="71" spans="2:11">
      <c r="D71" s="181"/>
      <c r="E71" s="181"/>
      <c r="F71" s="181"/>
      <c r="G71" s="182"/>
      <c r="H71" s="183"/>
      <c r="I71" s="183"/>
      <c r="J71" s="183"/>
      <c r="K71" s="183"/>
    </row>
    <row r="72" spans="2:11">
      <c r="D72" s="181"/>
      <c r="E72" s="181"/>
      <c r="F72" s="181"/>
      <c r="G72" s="184"/>
      <c r="H72" s="185"/>
      <c r="I72" s="185"/>
      <c r="J72" s="185"/>
      <c r="K72" s="185"/>
    </row>
    <row r="73" spans="2:11">
      <c r="K73" s="180"/>
    </row>
    <row r="74" spans="2:11">
      <c r="K74" s="180"/>
    </row>
    <row r="75" spans="2:11">
      <c r="K75" s="180"/>
    </row>
    <row r="76" spans="2:11">
      <c r="K76" s="180"/>
    </row>
    <row r="77" spans="2:11">
      <c r="K77" s="180"/>
    </row>
    <row r="78" spans="2:11">
      <c r="K78" s="180"/>
    </row>
    <row r="79" spans="2:11">
      <c r="K79" s="180"/>
    </row>
    <row r="80" spans="2:11">
      <c r="K80" s="180"/>
    </row>
    <row r="81" spans="11:11">
      <c r="K81" s="180"/>
    </row>
    <row r="82" spans="11:11">
      <c r="K82" s="180"/>
    </row>
    <row r="83" spans="11:11">
      <c r="K83" s="180"/>
    </row>
    <row r="84" spans="11:11">
      <c r="K84" s="180"/>
    </row>
    <row r="85" spans="11:11">
      <c r="K85" s="180"/>
    </row>
    <row r="86" spans="11:11">
      <c r="K86" s="180"/>
    </row>
  </sheetData>
  <mergeCells count="2">
    <mergeCell ref="G1:K1"/>
    <mergeCell ref="D1:F1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showGridLines="0" zoomScale="90" zoomScaleNormal="90" workbookViewId="0">
      <selection activeCell="H16" sqref="H16"/>
    </sheetView>
  </sheetViews>
  <sheetFormatPr defaultRowHeight="15"/>
  <cols>
    <col min="1" max="1" width="3.7109375" style="4" customWidth="1"/>
    <col min="2" max="2" width="48.7109375" style="4" customWidth="1"/>
    <col min="3" max="3" width="3.7109375" style="4" customWidth="1"/>
    <col min="4" max="5" width="12.7109375" style="4" customWidth="1"/>
    <col min="6" max="6" width="12.7109375" style="281" customWidth="1"/>
    <col min="7" max="11" width="12.7109375" style="4" customWidth="1"/>
    <col min="12" max="16384" width="9.140625" style="4"/>
  </cols>
  <sheetData>
    <row r="1" spans="1:11" s="1" customFormat="1" ht="31.5">
      <c r="A1" s="122" t="s">
        <v>296</v>
      </c>
      <c r="B1" s="122"/>
      <c r="C1" s="123"/>
      <c r="D1" s="323" t="s">
        <v>293</v>
      </c>
      <c r="E1" s="323"/>
      <c r="F1" s="323"/>
      <c r="G1" s="323" t="s">
        <v>294</v>
      </c>
      <c r="H1" s="323"/>
      <c r="I1" s="323"/>
      <c r="J1" s="323"/>
      <c r="K1" s="323"/>
    </row>
    <row r="2" spans="1:11" s="1" customFormat="1">
      <c r="A2" s="125" t="s">
        <v>295</v>
      </c>
      <c r="B2" s="125"/>
      <c r="C2" s="126"/>
      <c r="D2" s="111">
        <v>2019</v>
      </c>
      <c r="E2" s="111">
        <f t="shared" ref="E2:K2" si="0">D2+1</f>
        <v>2020</v>
      </c>
      <c r="F2" s="111">
        <f t="shared" si="0"/>
        <v>2021</v>
      </c>
      <c r="G2" s="111">
        <f t="shared" si="0"/>
        <v>2022</v>
      </c>
      <c r="H2" s="111">
        <f t="shared" si="0"/>
        <v>2023</v>
      </c>
      <c r="I2" s="111">
        <f t="shared" si="0"/>
        <v>2024</v>
      </c>
      <c r="J2" s="111">
        <f t="shared" si="0"/>
        <v>2025</v>
      </c>
      <c r="K2" s="111">
        <f t="shared" si="0"/>
        <v>2026</v>
      </c>
    </row>
    <row r="3" spans="1:11" s="3" customFormat="1">
      <c r="F3" s="280"/>
    </row>
    <row r="4" spans="1:11">
      <c r="B4" s="225" t="s">
        <v>229</v>
      </c>
    </row>
    <row r="5" spans="1:11">
      <c r="B5" s="282" t="s">
        <v>4</v>
      </c>
      <c r="D5" s="284">
        <f>+'Income Statement'!D17</f>
        <v>0.26848268109217394</v>
      </c>
      <c r="E5" s="284">
        <f>+'Income Statement'!E17</f>
        <v>0.19681945743685683</v>
      </c>
      <c r="F5" s="285">
        <f>+'Income Statement'!F17</f>
        <v>0.27637075628170099</v>
      </c>
      <c r="G5" s="284">
        <f>+'Income Statement'!G17</f>
        <v>0.27637075628170094</v>
      </c>
      <c r="H5" s="284">
        <f>+'Income Statement'!H17</f>
        <v>0.27637075628170099</v>
      </c>
      <c r="I5" s="284">
        <f>+'Income Statement'!I17</f>
        <v>0.27637075628170099</v>
      </c>
      <c r="J5" s="284">
        <f>+'Income Statement'!J17</f>
        <v>0.27637075628170094</v>
      </c>
      <c r="K5" s="284">
        <f>+'Income Statement'!K17</f>
        <v>0.27637075628170088</v>
      </c>
    </row>
    <row r="6" spans="1:11">
      <c r="B6" s="282" t="s">
        <v>34</v>
      </c>
      <c r="D6" s="284">
        <f>+'Income Statement'!D25</f>
        <v>0.15895596146156349</v>
      </c>
      <c r="E6" s="284">
        <f>+'Income Statement'!E25</f>
        <v>7.8254953652521442E-2</v>
      </c>
      <c r="F6" s="285">
        <f>+'Income Statement'!F25</f>
        <v>0.17351672023289269</v>
      </c>
      <c r="G6" s="284">
        <f>+'Income Statement'!G25</f>
        <v>0.16940352667517955</v>
      </c>
      <c r="H6" s="284">
        <f>+'Income Statement'!H25</f>
        <v>0.1754837716102281</v>
      </c>
      <c r="I6" s="284">
        <f>+'Income Statement'!I25</f>
        <v>0.17429937379564292</v>
      </c>
      <c r="J6" s="284">
        <f>+'Income Statement'!J25</f>
        <v>0.17325855478807975</v>
      </c>
      <c r="K6" s="284">
        <f>+'Income Statement'!K25</f>
        <v>0.17247148003515012</v>
      </c>
    </row>
    <row r="7" spans="1:11">
      <c r="B7" s="282" t="s">
        <v>35</v>
      </c>
      <c r="D7" s="284">
        <f>+'Income Statement'!D29</f>
        <v>0.21091268493998183</v>
      </c>
      <c r="E7" s="284">
        <f>+'Income Statement'!E29</f>
        <v>0.13911472063951011</v>
      </c>
      <c r="F7" s="285">
        <f>+'Income Statement'!F29</f>
        <v>0.22312684528192814</v>
      </c>
      <c r="G7" s="284">
        <f>+'Income Statement'!G29</f>
        <v>0.22312684528192805</v>
      </c>
      <c r="H7" s="284">
        <f>+'Income Statement'!H29</f>
        <v>0.22312684528192811</v>
      </c>
      <c r="I7" s="284">
        <f>+'Income Statement'!I29</f>
        <v>0.22312684528192811</v>
      </c>
      <c r="J7" s="284">
        <f>+'Income Statement'!J29</f>
        <v>0.22312684528192803</v>
      </c>
      <c r="K7" s="284">
        <f>+'Income Statement'!K29</f>
        <v>0.22312684528192797</v>
      </c>
    </row>
    <row r="8" spans="1:11">
      <c r="B8" s="282" t="s">
        <v>232</v>
      </c>
      <c r="D8" s="284">
        <f>+'Income Statement'!D42/'Income Statement'!D7</f>
        <v>0.13560127656685009</v>
      </c>
      <c r="E8" s="284">
        <f>+'Income Statement'!E42/'Income Statement'!E7</f>
        <v>3.9318819627519312E-2</v>
      </c>
      <c r="F8" s="285">
        <f>+'Income Statement'!F42/'Income Statement'!F7</f>
        <v>0.14453590084168949</v>
      </c>
      <c r="G8" s="284">
        <f>+'Income Statement'!G42/'Income Statement'!G7</f>
        <v>0.12469500124946245</v>
      </c>
      <c r="H8" s="284">
        <f>+'Income Statement'!H42/'Income Statement'!H7</f>
        <v>0.12812581390192521</v>
      </c>
      <c r="I8" s="284">
        <f>+'Income Statement'!I42/'Income Statement'!I7</f>
        <v>0.12640460452293278</v>
      </c>
      <c r="J8" s="284">
        <f>+'Income Statement'!J42/'Income Statement'!J7</f>
        <v>0.12484248663107025</v>
      </c>
      <c r="K8" s="284">
        <f>+'Income Statement'!K42/'Income Statement'!K7</f>
        <v>0.12433373850106669</v>
      </c>
    </row>
    <row r="9" spans="1:11">
      <c r="G9" s="51"/>
      <c r="H9" s="51"/>
      <c r="I9" s="51"/>
      <c r="J9" s="51"/>
      <c r="K9" s="51"/>
    </row>
    <row r="10" spans="1:11">
      <c r="B10" s="225" t="s">
        <v>230</v>
      </c>
      <c r="G10" s="51"/>
      <c r="H10" s="51"/>
      <c r="I10" s="51"/>
      <c r="J10" s="51"/>
      <c r="K10" s="51"/>
    </row>
    <row r="11" spans="1:11">
      <c r="B11" s="282" t="s">
        <v>235</v>
      </c>
      <c r="D11" s="286">
        <f>+'Balance Sheet'!D10/'Balance Sheet'!D32</f>
        <v>0.91654643604000852</v>
      </c>
      <c r="E11" s="286">
        <f>+'Balance Sheet'!E10/'Balance Sheet'!E32</f>
        <v>1.1300521134916039</v>
      </c>
      <c r="F11" s="287">
        <f>+'Balance Sheet'!F10/'Balance Sheet'!F32</f>
        <v>1.1357593536821027</v>
      </c>
      <c r="G11" s="286">
        <f>+'Balance Sheet'!G10/'Balance Sheet'!G32</f>
        <v>0.86649149961826077</v>
      </c>
      <c r="H11" s="286">
        <f>+'Balance Sheet'!H10/'Balance Sheet'!H32</f>
        <v>0.84940805799926999</v>
      </c>
      <c r="I11" s="286">
        <f>+'Balance Sheet'!I10/'Balance Sheet'!I32</f>
        <v>0.81368352522997078</v>
      </c>
      <c r="J11" s="286">
        <f>+'Balance Sheet'!J10/'Balance Sheet'!J32</f>
        <v>1.0267179013769336</v>
      </c>
      <c r="K11" s="286">
        <f>+'Balance Sheet'!K10/'Balance Sheet'!K32</f>
        <v>1.3069110967356945</v>
      </c>
    </row>
    <row r="12" spans="1:11">
      <c r="B12" s="282" t="s">
        <v>234</v>
      </c>
      <c r="D12" s="286">
        <f>+('Balance Sheet'!D5+'Balance Sheet'!D6+'Balance Sheet'!D7)/'Balance Sheet'!D32</f>
        <v>0.58947590254024351</v>
      </c>
      <c r="E12" s="286">
        <f>+('Balance Sheet'!E5+'Balance Sheet'!E6+'Balance Sheet'!E7)/'Balance Sheet'!E32</f>
        <v>0.7984221192819918</v>
      </c>
      <c r="F12" s="287">
        <f>+('Balance Sheet'!F5+'Balance Sheet'!F6+'Balance Sheet'!F7)/'Balance Sheet'!F32</f>
        <v>0.87982817629391619</v>
      </c>
      <c r="G12" s="286">
        <f>+('Balance Sheet'!G5+'Balance Sheet'!G6+'Balance Sheet'!G7)/'Balance Sheet'!G32</f>
        <v>0.5965721691925453</v>
      </c>
      <c r="H12" s="286">
        <f>+('Balance Sheet'!H5+'Balance Sheet'!H6+'Balance Sheet'!H7)/'Balance Sheet'!H32</f>
        <v>0.55933524943518942</v>
      </c>
      <c r="I12" s="286">
        <f>+('Balance Sheet'!I5+'Balance Sheet'!I6+'Balance Sheet'!I7)/'Balance Sheet'!I32</f>
        <v>0.50757722194729293</v>
      </c>
      <c r="J12" s="286">
        <f>+('Balance Sheet'!J5+'Balance Sheet'!J6+'Balance Sheet'!J7)/'Balance Sheet'!J32</f>
        <v>0.71553584028794592</v>
      </c>
      <c r="K12" s="286">
        <f>+('Balance Sheet'!K5+'Balance Sheet'!K6+'Balance Sheet'!K7)/'Balance Sheet'!K32</f>
        <v>0.99447438112766962</v>
      </c>
    </row>
    <row r="13" spans="1:11">
      <c r="G13" s="51"/>
      <c r="H13" s="51"/>
      <c r="I13" s="51"/>
      <c r="J13" s="51"/>
      <c r="K13" s="51"/>
    </row>
    <row r="14" spans="1:11">
      <c r="B14" s="225" t="s">
        <v>231</v>
      </c>
      <c r="G14" s="51"/>
      <c r="H14" s="51"/>
      <c r="I14" s="51"/>
      <c r="J14" s="51"/>
      <c r="K14" s="51"/>
    </row>
    <row r="15" spans="1:11">
      <c r="B15" s="282" t="s">
        <v>189</v>
      </c>
      <c r="D15" s="286">
        <f>+('Balance Sheet'!D30+'Balance Sheet'!D31+'Balance Sheet'!D34-'Balance Sheet'!D5-'Balance Sheet'!D6)/'Income Statement'!D28</f>
        <v>1.504185297800035</v>
      </c>
      <c r="E15" s="286">
        <f>+('Balance Sheet'!E30+'Balance Sheet'!E31+'Balance Sheet'!E34-'Balance Sheet'!E5-'Balance Sheet'!E6)/'Income Statement'!E28</f>
        <v>3.446954182840726</v>
      </c>
      <c r="F15" s="287">
        <f>+('Balance Sheet'!F30+'Balance Sheet'!F31+'Balance Sheet'!F34-'Balance Sheet'!F5-'Balance Sheet'!F6)/'Income Statement'!F28</f>
        <v>1.3011165602541561</v>
      </c>
      <c r="G15" s="286">
        <f>+('Balance Sheet'!G30+'Balance Sheet'!G31+'Balance Sheet'!G34-'Balance Sheet'!G5-'Balance Sheet'!G6)/'Income Statement'!G28</f>
        <v>1.6336333729245767</v>
      </c>
      <c r="H15" s="286">
        <f>+('Balance Sheet'!H30+'Balance Sheet'!H31+'Balance Sheet'!H34-'Balance Sheet'!H5-'Balance Sheet'!H6)/'Income Statement'!H28</f>
        <v>1.7910398741583047</v>
      </c>
      <c r="I15" s="286">
        <f>+('Balance Sheet'!I30+'Balance Sheet'!I31+'Balance Sheet'!I34-'Balance Sheet'!I5-'Balance Sheet'!I6)/'Income Statement'!I28</f>
        <v>1.9488881418856914</v>
      </c>
      <c r="J15" s="286">
        <f>+('Balance Sheet'!J30+'Balance Sheet'!J31+'Balance Sheet'!J34-'Balance Sheet'!J5-'Balance Sheet'!J6)/'Income Statement'!J28</f>
        <v>1.8361051274627112</v>
      </c>
      <c r="K15" s="286">
        <f>+('Balance Sheet'!K30+'Balance Sheet'!K31+'Balance Sheet'!K34-'Balance Sheet'!K5-'Balance Sheet'!K6)/'Income Statement'!K28</f>
        <v>1.675587577472508</v>
      </c>
    </row>
    <row r="16" spans="1:11">
      <c r="B16" s="282" t="s">
        <v>233</v>
      </c>
      <c r="D16" s="286">
        <f>+('Balance Sheet'!D30+'Balance Sheet'!D31+'Balance Sheet'!D34)/'Balance Sheet'!D47</f>
        <v>-1.7921681913015568</v>
      </c>
      <c r="E16" s="286">
        <f>+('Balance Sheet'!E30+'Balance Sheet'!E31+'Balance Sheet'!E34)/'Balance Sheet'!E47</f>
        <v>-2.0398363976716158</v>
      </c>
      <c r="F16" s="287">
        <f>+('Balance Sheet'!F30+'Balance Sheet'!F31+'Balance Sheet'!F34)/'Balance Sheet'!F47</f>
        <v>-2.8327406152977703</v>
      </c>
      <c r="G16" s="286">
        <f>+('Balance Sheet'!G30+'Balance Sheet'!G31+'Balance Sheet'!G34)/'Balance Sheet'!G47</f>
        <v>-2.102654366223303</v>
      </c>
      <c r="H16" s="286">
        <f>+('Balance Sheet'!H30+'Balance Sheet'!H31+'Balance Sheet'!H34)/'Balance Sheet'!H47</f>
        <v>-2.0973990692602347</v>
      </c>
      <c r="I16" s="286">
        <f>+('Balance Sheet'!I30+'Balance Sheet'!I31+'Balance Sheet'!I34)/'Balance Sheet'!I47</f>
        <v>-2.0795136557806475</v>
      </c>
      <c r="J16" s="286">
        <f>+('Balance Sheet'!J30+'Balance Sheet'!J31+'Balance Sheet'!J34)/'Balance Sheet'!J47</f>
        <v>-2.5955705110680642</v>
      </c>
      <c r="K16" s="286">
        <f>+('Balance Sheet'!K30+'Balance Sheet'!K31+'Balance Sheet'!K34)/'Balance Sheet'!K47</f>
        <v>-3.4021853635402839</v>
      </c>
    </row>
  </sheetData>
  <mergeCells count="2">
    <mergeCell ref="D1:F1"/>
    <mergeCell ref="G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5"/>
  <sheetViews>
    <sheetView showGridLines="0" zoomScale="90" zoomScaleNormal="90" workbookViewId="0">
      <pane xSplit="3" ySplit="4" topLeftCell="D23" activePane="bottomRight" state="frozen"/>
      <selection pane="topRight" activeCell="D1" sqref="D1"/>
      <selection pane="bottomLeft" activeCell="A5" sqref="A5"/>
      <selection pane="bottomRight" activeCell="F49" sqref="F49"/>
    </sheetView>
  </sheetViews>
  <sheetFormatPr defaultRowHeight="15" outlineLevelRow="1"/>
  <cols>
    <col min="1" max="1" width="3.7109375" style="1" customWidth="1"/>
    <col min="2" max="2" width="48.7109375" style="2" customWidth="1"/>
    <col min="3" max="3" width="6.140625" style="318" bestFit="1" customWidth="1"/>
    <col min="4" max="10" width="12.7109375" style="2" customWidth="1"/>
    <col min="11" max="11" width="12.7109375" style="1" customWidth="1"/>
    <col min="12" max="16384" width="9.140625" style="1"/>
  </cols>
  <sheetData>
    <row r="1" spans="1:15" ht="31.5">
      <c r="A1" s="122" t="s">
        <v>296</v>
      </c>
      <c r="B1" s="122"/>
      <c r="C1" s="316"/>
      <c r="D1" s="323" t="s">
        <v>293</v>
      </c>
      <c r="E1" s="323"/>
      <c r="F1" s="323"/>
      <c r="G1" s="323" t="s">
        <v>294</v>
      </c>
      <c r="H1" s="323"/>
      <c r="I1" s="323"/>
      <c r="J1" s="323"/>
      <c r="K1" s="323"/>
    </row>
    <row r="2" spans="1:15" ht="31.5">
      <c r="A2" s="125" t="s">
        <v>295</v>
      </c>
      <c r="B2" s="122"/>
      <c r="C2" s="317"/>
      <c r="D2" s="111">
        <v>2019</v>
      </c>
      <c r="E2" s="111">
        <f t="shared" ref="E2:K2" si="0">D2+1</f>
        <v>2020</v>
      </c>
      <c r="F2" s="111">
        <f t="shared" si="0"/>
        <v>2021</v>
      </c>
      <c r="G2" s="111">
        <f t="shared" si="0"/>
        <v>2022</v>
      </c>
      <c r="H2" s="111">
        <f t="shared" si="0"/>
        <v>2023</v>
      </c>
      <c r="I2" s="111">
        <f t="shared" si="0"/>
        <v>2024</v>
      </c>
      <c r="J2" s="111">
        <f t="shared" si="0"/>
        <v>2025</v>
      </c>
      <c r="K2" s="111">
        <f t="shared" si="0"/>
        <v>2026</v>
      </c>
      <c r="L2" s="19"/>
      <c r="M2" s="19"/>
      <c r="N2" s="19"/>
      <c r="O2" s="19"/>
    </row>
    <row r="3" spans="1:15" s="25" customFormat="1">
      <c r="B3" s="25" t="s">
        <v>45</v>
      </c>
      <c r="C3" s="114"/>
    </row>
    <row r="4" spans="1:15" s="23" customFormat="1" hidden="1" outlineLevel="1">
      <c r="B4" s="23" t="s">
        <v>46</v>
      </c>
      <c r="C4" s="114" t="s">
        <v>16</v>
      </c>
      <c r="F4" s="24"/>
      <c r="H4" s="25"/>
      <c r="I4" s="25"/>
    </row>
    <row r="5" spans="1:15" s="26" customFormat="1" hidden="1" outlineLevel="1">
      <c r="B5" s="26" t="s">
        <v>47</v>
      </c>
      <c r="C5" s="311" t="s">
        <v>17</v>
      </c>
      <c r="D5" s="27">
        <v>15921.2</v>
      </c>
      <c r="E5" s="27">
        <v>14337.5</v>
      </c>
      <c r="F5" s="28">
        <v>18317</v>
      </c>
      <c r="H5" s="29"/>
      <c r="I5" s="29"/>
    </row>
    <row r="6" spans="1:15" s="26" customFormat="1" hidden="1" outlineLevel="1">
      <c r="B6" s="26" t="s">
        <v>48</v>
      </c>
      <c r="C6" s="311" t="s">
        <v>17</v>
      </c>
      <c r="D6" s="27">
        <v>4336.3</v>
      </c>
      <c r="E6" s="27">
        <v>3799.2</v>
      </c>
      <c r="F6" s="28">
        <v>5053.3999999999996</v>
      </c>
      <c r="H6" s="29"/>
      <c r="I6" s="29"/>
    </row>
    <row r="7" spans="1:15" s="26" customFormat="1" hidden="1" outlineLevel="1">
      <c r="B7" s="26" t="s">
        <v>18</v>
      </c>
      <c r="C7" s="311" t="s">
        <v>17</v>
      </c>
      <c r="D7" s="27">
        <v>6251.1</v>
      </c>
      <c r="E7" s="27">
        <v>5381.3</v>
      </c>
      <c r="F7" s="28">
        <v>5690.2</v>
      </c>
      <c r="H7" s="29"/>
      <c r="I7" s="29"/>
    </row>
    <row r="8" spans="1:15" s="23" customFormat="1" hidden="1" outlineLevel="1">
      <c r="B8" s="23" t="s">
        <v>23</v>
      </c>
      <c r="C8" s="114" t="s">
        <v>17</v>
      </c>
      <c r="D8" s="30">
        <f>SUM(D5:D7)</f>
        <v>26508.6</v>
      </c>
      <c r="E8" s="30">
        <f t="shared" ref="E8:F8" si="1">SUM(E5:E7)</f>
        <v>23518</v>
      </c>
      <c r="F8" s="31">
        <f t="shared" si="1"/>
        <v>29060.600000000002</v>
      </c>
      <c r="H8" s="25"/>
      <c r="I8" s="25"/>
    </row>
    <row r="9" spans="1:15" s="26" customFormat="1" hidden="1" outlineLevel="1">
      <c r="C9" s="311"/>
      <c r="F9" s="32"/>
      <c r="H9" s="29"/>
      <c r="I9" s="29"/>
    </row>
    <row r="10" spans="1:15" s="23" customFormat="1" hidden="1" outlineLevel="1">
      <c r="B10" s="23" t="s">
        <v>49</v>
      </c>
      <c r="C10" s="114"/>
      <c r="F10" s="24"/>
      <c r="H10" s="25"/>
      <c r="I10" s="25"/>
    </row>
    <row r="11" spans="1:15" s="26" customFormat="1" hidden="1" outlineLevel="1">
      <c r="B11" s="33" t="s">
        <v>135</v>
      </c>
      <c r="C11" s="311" t="s">
        <v>17</v>
      </c>
      <c r="D11" s="27"/>
      <c r="E11" s="27"/>
      <c r="F11" s="28"/>
      <c r="H11" s="29"/>
      <c r="I11" s="29"/>
    </row>
    <row r="12" spans="1:15" s="26" customFormat="1" hidden="1" outlineLevel="1">
      <c r="B12" s="26" t="s">
        <v>131</v>
      </c>
      <c r="C12" s="311" t="s">
        <v>134</v>
      </c>
      <c r="D12" s="34"/>
      <c r="E12" s="34"/>
      <c r="F12" s="35"/>
      <c r="H12" s="29"/>
      <c r="I12" s="29"/>
    </row>
    <row r="13" spans="1:15" s="26" customFormat="1" hidden="1" outlineLevel="1">
      <c r="B13" s="26" t="s">
        <v>132</v>
      </c>
      <c r="C13" s="311" t="s">
        <v>134</v>
      </c>
      <c r="D13" s="34"/>
      <c r="E13" s="34">
        <v>-0.12</v>
      </c>
      <c r="F13" s="35">
        <v>0.22</v>
      </c>
      <c r="H13" s="29"/>
      <c r="I13" s="29"/>
    </row>
    <row r="14" spans="1:15" s="26" customFormat="1" hidden="1" outlineLevel="1">
      <c r="B14" s="26" t="s">
        <v>133</v>
      </c>
      <c r="C14" s="311"/>
      <c r="D14" s="27"/>
      <c r="E14" s="27"/>
      <c r="F14" s="28"/>
      <c r="H14" s="29"/>
      <c r="I14" s="29"/>
    </row>
    <row r="15" spans="1:15" s="26" customFormat="1" hidden="1" outlineLevel="1">
      <c r="C15" s="311"/>
      <c r="D15" s="27"/>
      <c r="E15" s="27"/>
      <c r="F15" s="28"/>
      <c r="H15" s="29"/>
      <c r="I15" s="29"/>
    </row>
    <row r="16" spans="1:15" s="26" customFormat="1" hidden="1" outlineLevel="1">
      <c r="B16" s="26" t="s">
        <v>136</v>
      </c>
      <c r="C16" s="311" t="s">
        <v>17</v>
      </c>
      <c r="D16" s="27">
        <v>2872</v>
      </c>
      <c r="E16" s="27">
        <v>2582.8000000000002</v>
      </c>
      <c r="F16" s="28">
        <v>3674.8</v>
      </c>
      <c r="H16" s="29"/>
      <c r="I16" s="29"/>
    </row>
    <row r="17" spans="2:15" s="26" customFormat="1" hidden="1" outlineLevel="1">
      <c r="B17" s="26" t="s">
        <v>131</v>
      </c>
      <c r="C17" s="311" t="s">
        <v>134</v>
      </c>
      <c r="D17" s="27"/>
      <c r="E17" s="27"/>
      <c r="F17" s="28"/>
      <c r="H17" s="29"/>
      <c r="I17" s="29"/>
    </row>
    <row r="18" spans="2:15" s="26" customFormat="1" hidden="1" outlineLevel="1">
      <c r="B18" s="26" t="s">
        <v>132</v>
      </c>
      <c r="C18" s="311" t="s">
        <v>134</v>
      </c>
      <c r="D18" s="34"/>
      <c r="E18" s="34">
        <v>-0.19</v>
      </c>
      <c r="F18" s="35">
        <v>0.16</v>
      </c>
      <c r="H18" s="29"/>
      <c r="I18" s="29"/>
    </row>
    <row r="19" spans="2:15" s="26" customFormat="1" hidden="1" outlineLevel="1">
      <c r="B19" s="26" t="s">
        <v>133</v>
      </c>
      <c r="C19" s="311"/>
      <c r="D19" s="27"/>
      <c r="E19" s="27"/>
      <c r="F19" s="28"/>
      <c r="H19" s="29"/>
      <c r="I19" s="29"/>
    </row>
    <row r="20" spans="2:15" s="26" customFormat="1" hidden="1" outlineLevel="1">
      <c r="C20" s="311"/>
      <c r="D20" s="27"/>
      <c r="E20" s="27"/>
      <c r="F20" s="28"/>
      <c r="H20" s="29"/>
      <c r="I20" s="29"/>
    </row>
    <row r="21" spans="2:15" s="26" customFormat="1" hidden="1" outlineLevel="1">
      <c r="B21" s="26" t="s">
        <v>130</v>
      </c>
      <c r="C21" s="311" t="s">
        <v>134</v>
      </c>
      <c r="D21" s="34"/>
      <c r="E21" s="34"/>
      <c r="F21" s="35">
        <v>-0.17</v>
      </c>
      <c r="H21" s="29"/>
      <c r="I21" s="29"/>
    </row>
    <row r="22" spans="2:15" s="23" customFormat="1" hidden="1" outlineLevel="1">
      <c r="B22" s="23" t="s">
        <v>23</v>
      </c>
      <c r="C22" s="114" t="s">
        <v>17</v>
      </c>
      <c r="D22" s="30">
        <v>26508.6</v>
      </c>
      <c r="E22" s="30">
        <v>23518</v>
      </c>
      <c r="F22" s="31">
        <v>29060.6</v>
      </c>
      <c r="H22" s="25"/>
      <c r="I22" s="25"/>
    </row>
    <row r="23" spans="2:15" collapsed="1">
      <c r="B23" s="1"/>
      <c r="H23" s="1"/>
      <c r="I23" s="1"/>
      <c r="J23" s="1"/>
    </row>
    <row r="24" spans="2:15" s="16" customFormat="1" hidden="1" outlineLevel="1">
      <c r="B24" s="23" t="s">
        <v>137</v>
      </c>
      <c r="C24" s="319"/>
      <c r="D24" s="49"/>
      <c r="E24" s="49"/>
      <c r="F24" s="49"/>
      <c r="G24" s="49"/>
    </row>
    <row r="25" spans="2:15" hidden="1" outlineLevel="1">
      <c r="B25" s="1"/>
      <c r="H25" s="1"/>
      <c r="I25" s="1"/>
      <c r="J25" s="1"/>
    </row>
    <row r="26" spans="2:15" s="16" customFormat="1" hidden="1" outlineLevel="1">
      <c r="B26" s="16" t="s">
        <v>140</v>
      </c>
      <c r="C26" s="319"/>
      <c r="D26" s="49"/>
      <c r="E26" s="49"/>
      <c r="F26" s="49"/>
      <c r="G26" s="204"/>
      <c r="H26" s="11"/>
      <c r="I26" s="11"/>
      <c r="J26" s="11"/>
    </row>
    <row r="27" spans="2:15" hidden="1" outlineLevel="1">
      <c r="B27" s="1" t="s">
        <v>138</v>
      </c>
      <c r="C27" s="318" t="s">
        <v>17</v>
      </c>
      <c r="D27" s="2">
        <v>21544.400000000001</v>
      </c>
      <c r="E27" s="20">
        <v>19164.599999999999</v>
      </c>
      <c r="F27" s="20">
        <v>24607</v>
      </c>
      <c r="G27" s="205">
        <f>+F27*(1+G28)</f>
        <v>29282.329999999998</v>
      </c>
      <c r="H27" s="5">
        <f t="shared" ref="H27:J27" si="2">+G27*(1+H28)</f>
        <v>31332.093099999998</v>
      </c>
      <c r="I27" s="5">
        <f t="shared" si="2"/>
        <v>33525.339616999998</v>
      </c>
      <c r="J27" s="5">
        <f t="shared" si="2"/>
        <v>35872.113390190003</v>
      </c>
    </row>
    <row r="28" spans="2:15" s="37" customFormat="1" hidden="1" outlineLevel="1">
      <c r="B28" s="37" t="s">
        <v>147</v>
      </c>
      <c r="C28" s="320" t="s">
        <v>145</v>
      </c>
      <c r="D28" s="198"/>
      <c r="E28" s="206">
        <f>+E27/D27-1</f>
        <v>-0.11046025881435562</v>
      </c>
      <c r="F28" s="207">
        <f>+F29+F32+F33</f>
        <v>0.27</v>
      </c>
      <c r="G28" s="208">
        <f t="shared" ref="G28:J28" si="3">+G29+G32+G33</f>
        <v>0.19</v>
      </c>
      <c r="H28" s="39">
        <f t="shared" si="3"/>
        <v>7.0000000000000007E-2</v>
      </c>
      <c r="I28" s="39">
        <f t="shared" si="3"/>
        <v>7.0000000000000007E-2</v>
      </c>
      <c r="J28" s="39">
        <f t="shared" si="3"/>
        <v>7.0000000000000007E-2</v>
      </c>
      <c r="K28" s="40"/>
      <c r="L28" s="40"/>
      <c r="M28" s="40"/>
      <c r="N28" s="40"/>
      <c r="O28" s="40"/>
    </row>
    <row r="29" spans="2:15" s="36" customFormat="1" hidden="1" outlineLevel="1">
      <c r="B29" s="36" t="s">
        <v>141</v>
      </c>
      <c r="C29" s="318" t="s">
        <v>142</v>
      </c>
      <c r="D29" s="209">
        <v>0.05</v>
      </c>
      <c r="E29" s="209">
        <v>-0.14000000000000001</v>
      </c>
      <c r="F29" s="209">
        <f>+F30+F31</f>
        <v>0.19</v>
      </c>
      <c r="G29" s="210">
        <f t="shared" ref="G29:J29" si="4">+G30+G31</f>
        <v>0.11</v>
      </c>
      <c r="H29" s="42">
        <f t="shared" si="4"/>
        <v>0.04</v>
      </c>
      <c r="I29" s="42">
        <f t="shared" si="4"/>
        <v>0.04</v>
      </c>
      <c r="J29" s="42">
        <f t="shared" si="4"/>
        <v>0.04</v>
      </c>
      <c r="K29" s="41"/>
      <c r="L29" s="41"/>
      <c r="M29" s="41"/>
      <c r="N29" s="41"/>
      <c r="O29" s="41"/>
    </row>
    <row r="30" spans="2:15" s="36" customFormat="1" hidden="1" outlineLevel="1">
      <c r="B30" s="43" t="s">
        <v>144</v>
      </c>
      <c r="C30" s="318" t="s">
        <v>145</v>
      </c>
      <c r="D30" s="209">
        <v>0.01</v>
      </c>
      <c r="E30" s="209">
        <v>-0.22</v>
      </c>
      <c r="F30" s="209">
        <v>0.09</v>
      </c>
      <c r="G30" s="210">
        <v>0.05</v>
      </c>
      <c r="H30" s="42">
        <v>0.02</v>
      </c>
      <c r="I30" s="42">
        <v>0.02</v>
      </c>
      <c r="J30" s="42">
        <v>0.02</v>
      </c>
      <c r="K30" s="44"/>
      <c r="L30" s="44"/>
      <c r="M30" s="44"/>
      <c r="N30" s="44"/>
      <c r="O30" s="44"/>
    </row>
    <row r="31" spans="2:15" hidden="1" outlineLevel="1">
      <c r="B31" s="43" t="s">
        <v>143</v>
      </c>
      <c r="C31" s="318" t="s">
        <v>145</v>
      </c>
      <c r="D31" s="209">
        <v>0.03</v>
      </c>
      <c r="E31" s="209">
        <v>0.1</v>
      </c>
      <c r="F31" s="209">
        <v>0.1</v>
      </c>
      <c r="G31" s="210">
        <v>0.06</v>
      </c>
      <c r="H31" s="42">
        <v>0.02</v>
      </c>
      <c r="I31" s="42">
        <v>0.02</v>
      </c>
      <c r="J31" s="42">
        <v>0.02</v>
      </c>
      <c r="K31" s="44"/>
      <c r="L31" s="44"/>
      <c r="M31" s="44"/>
      <c r="N31" s="44"/>
      <c r="O31" s="44"/>
    </row>
    <row r="32" spans="2:15" hidden="1" outlineLevel="1">
      <c r="B32" s="36" t="s">
        <v>146</v>
      </c>
      <c r="C32" s="318" t="s">
        <v>142</v>
      </c>
      <c r="D32" s="211"/>
      <c r="E32" s="211">
        <v>0.05</v>
      </c>
      <c r="F32" s="209">
        <v>0.03</v>
      </c>
      <c r="G32" s="210">
        <f>F32</f>
        <v>0.03</v>
      </c>
      <c r="H32" s="42">
        <v>0.03</v>
      </c>
      <c r="I32" s="42">
        <v>0.03</v>
      </c>
      <c r="J32" s="42">
        <v>0.03</v>
      </c>
      <c r="K32" s="44"/>
      <c r="L32" s="44"/>
      <c r="M32" s="44"/>
      <c r="N32" s="44"/>
      <c r="O32" s="44"/>
    </row>
    <row r="33" spans="2:15" hidden="1" outlineLevel="1">
      <c r="B33" s="36" t="s">
        <v>148</v>
      </c>
      <c r="C33" s="318" t="s">
        <v>145</v>
      </c>
      <c r="D33" s="22"/>
      <c r="E33" s="22">
        <v>-0.02</v>
      </c>
      <c r="F33" s="209">
        <v>0.05</v>
      </c>
      <c r="G33" s="210">
        <f>F33</f>
        <v>0.05</v>
      </c>
      <c r="H33" s="42">
        <v>0</v>
      </c>
      <c r="I33" s="42">
        <v>0</v>
      </c>
      <c r="J33" s="42">
        <v>0</v>
      </c>
      <c r="K33" s="44"/>
      <c r="L33" s="44"/>
      <c r="M33" s="44"/>
      <c r="N33" s="44"/>
      <c r="O33" s="44"/>
    </row>
    <row r="34" spans="2:15" hidden="1" outlineLevel="1">
      <c r="B34" s="1" t="s">
        <v>139</v>
      </c>
      <c r="C34" s="318" t="s">
        <v>17</v>
      </c>
      <c r="D34" s="212">
        <v>2875</v>
      </c>
      <c r="E34" s="20">
        <v>2327.1</v>
      </c>
      <c r="F34" s="20">
        <v>2683.6</v>
      </c>
      <c r="G34" s="213">
        <f>F34*(1+G35)</f>
        <v>2898.288</v>
      </c>
      <c r="H34" s="45">
        <f t="shared" ref="H34:J34" si="5">G34*(1+H35)</f>
        <v>3130.1510400000002</v>
      </c>
      <c r="I34" s="45">
        <f t="shared" si="5"/>
        <v>3317.9601024000003</v>
      </c>
      <c r="J34" s="45">
        <f t="shared" si="5"/>
        <v>3517.0377085440005</v>
      </c>
      <c r="K34" s="46"/>
      <c r="L34" s="46"/>
      <c r="M34" s="46"/>
      <c r="N34" s="46"/>
      <c r="O34" s="46"/>
    </row>
    <row r="35" spans="2:15" s="37" customFormat="1" hidden="1" outlineLevel="1">
      <c r="B35" s="37" t="s">
        <v>147</v>
      </c>
      <c r="C35" s="320" t="s">
        <v>145</v>
      </c>
      <c r="D35" s="206">
        <f>+D34/2652-1</f>
        <v>8.4087481146304599E-2</v>
      </c>
      <c r="E35" s="206">
        <f>E34/D34-1</f>
        <v>-0.19057391304347826</v>
      </c>
      <c r="F35" s="206">
        <f>F34/E34-1</f>
        <v>0.15319496368871133</v>
      </c>
      <c r="G35" s="208">
        <v>0.08</v>
      </c>
      <c r="H35" s="39">
        <v>0.08</v>
      </c>
      <c r="I35" s="39">
        <v>0.06</v>
      </c>
      <c r="J35" s="39">
        <v>0.06</v>
      </c>
      <c r="K35" s="38"/>
      <c r="L35" s="38"/>
      <c r="M35" s="38"/>
      <c r="N35" s="38"/>
      <c r="O35" s="38"/>
    </row>
    <row r="36" spans="2:15" hidden="1" outlineLevel="1">
      <c r="B36" s="1" t="s">
        <v>18</v>
      </c>
      <c r="C36" s="318" t="s">
        <v>17</v>
      </c>
      <c r="D36" s="2">
        <v>2089.1999999999998</v>
      </c>
      <c r="E36" s="20">
        <v>2026.3</v>
      </c>
      <c r="F36" s="20">
        <v>1770</v>
      </c>
      <c r="G36" s="213">
        <f>F36*(1+G37)</f>
        <v>1858.5</v>
      </c>
      <c r="H36" s="45">
        <f t="shared" ref="H36:J36" si="6">G36*(1+H37)</f>
        <v>1951.4250000000002</v>
      </c>
      <c r="I36" s="45">
        <f t="shared" si="6"/>
        <v>2048.9962500000001</v>
      </c>
      <c r="J36" s="45">
        <f t="shared" si="6"/>
        <v>2151.4460625000002</v>
      </c>
      <c r="K36" s="46"/>
      <c r="L36" s="46"/>
      <c r="M36" s="46"/>
      <c r="N36" s="46"/>
      <c r="O36" s="46"/>
    </row>
    <row r="37" spans="2:15" hidden="1" outlineLevel="1">
      <c r="B37" s="1" t="s">
        <v>147</v>
      </c>
      <c r="C37" s="318" t="s">
        <v>145</v>
      </c>
      <c r="D37" s="22">
        <f>+D36/2377-1</f>
        <v>-0.12107698779974763</v>
      </c>
      <c r="E37" s="206">
        <f>E36/D36-1</f>
        <v>-3.0107218073903819E-2</v>
      </c>
      <c r="F37" s="206">
        <f>F36/E36-1</f>
        <v>-0.12648669989636285</v>
      </c>
      <c r="G37" s="210">
        <v>0.05</v>
      </c>
      <c r="H37" s="42">
        <v>0.05</v>
      </c>
      <c r="I37" s="42">
        <v>0.05</v>
      </c>
      <c r="J37" s="42">
        <v>0.05</v>
      </c>
      <c r="K37" s="17"/>
      <c r="L37" s="17"/>
      <c r="M37" s="17"/>
      <c r="N37" s="17"/>
      <c r="O37" s="17"/>
    </row>
    <row r="38" spans="2:15" s="16" customFormat="1" hidden="1" outlineLevel="1">
      <c r="B38" s="16" t="s">
        <v>19</v>
      </c>
      <c r="C38" s="319"/>
      <c r="D38" s="49">
        <v>26508.6</v>
      </c>
      <c r="E38" s="113">
        <v>23518</v>
      </c>
      <c r="F38" s="113">
        <f>+F27+F34+F36</f>
        <v>29060.6</v>
      </c>
      <c r="G38" s="214">
        <f t="shared" ref="G38:J38" si="7">+G27+G34+G36</f>
        <v>34039.118000000002</v>
      </c>
      <c r="H38" s="48">
        <f t="shared" si="7"/>
        <v>36413.669139999998</v>
      </c>
      <c r="I38" s="48">
        <f t="shared" si="7"/>
        <v>38892.295969400002</v>
      </c>
      <c r="J38" s="48">
        <f t="shared" si="7"/>
        <v>41540.597161234</v>
      </c>
      <c r="K38" s="47"/>
      <c r="L38" s="47"/>
      <c r="M38" s="47"/>
      <c r="N38" s="47"/>
      <c r="O38" s="47"/>
    </row>
    <row r="39" spans="2:15" collapsed="1">
      <c r="B39" s="1"/>
      <c r="G39" s="116"/>
      <c r="H39" s="7"/>
      <c r="I39" s="7"/>
      <c r="J39" s="7"/>
    </row>
    <row r="40" spans="2:15" s="16" customFormat="1">
      <c r="B40" s="49"/>
      <c r="C40" s="319"/>
      <c r="D40" s="49"/>
      <c r="E40" s="49"/>
      <c r="F40" s="49"/>
      <c r="G40" s="49"/>
      <c r="H40" s="49"/>
      <c r="I40" s="49"/>
      <c r="J40" s="49"/>
    </row>
    <row r="41" spans="2:15" s="16" customFormat="1">
      <c r="B41" s="196" t="s">
        <v>135</v>
      </c>
      <c r="C41" s="319"/>
      <c r="D41" s="49"/>
      <c r="E41" s="49"/>
      <c r="F41" s="49"/>
      <c r="G41" s="49"/>
      <c r="H41" s="49"/>
      <c r="I41" s="49"/>
      <c r="J41" s="49"/>
    </row>
    <row r="42" spans="2:15">
      <c r="B42" s="302" t="s">
        <v>138</v>
      </c>
      <c r="C42" s="318" t="s">
        <v>17</v>
      </c>
      <c r="E42" s="197">
        <v>14778.8</v>
      </c>
      <c r="F42" s="197">
        <v>18737.3</v>
      </c>
      <c r="G42" s="20">
        <f>+F42*(1+G43)</f>
        <v>21735.267999999996</v>
      </c>
      <c r="H42" s="20">
        <f t="shared" ref="H42:K42" si="8">+G42*(1+H43)</f>
        <v>24560.852839999992</v>
      </c>
      <c r="I42" s="20">
        <f t="shared" si="8"/>
        <v>26280.112538799993</v>
      </c>
      <c r="J42" s="20">
        <f t="shared" si="8"/>
        <v>28119.720416515993</v>
      </c>
      <c r="K42" s="20">
        <f t="shared" si="8"/>
        <v>30088.100845672114</v>
      </c>
    </row>
    <row r="43" spans="2:15">
      <c r="B43" s="195" t="s">
        <v>147</v>
      </c>
      <c r="C43" s="320" t="s">
        <v>145</v>
      </c>
      <c r="F43" s="22">
        <f>F42/E42-1</f>
        <v>0.2678498930901021</v>
      </c>
      <c r="G43" s="22">
        <f>+G44+G47+G48</f>
        <v>0.16</v>
      </c>
      <c r="H43" s="22">
        <f t="shared" ref="H43:J43" si="9">+H44+H47+H48</f>
        <v>0.13</v>
      </c>
      <c r="I43" s="22">
        <f t="shared" si="9"/>
        <v>7.0000000000000007E-2</v>
      </c>
      <c r="J43" s="22">
        <f t="shared" si="9"/>
        <v>7.0000000000000007E-2</v>
      </c>
      <c r="K43" s="22">
        <f t="shared" ref="K43" si="10">+K44+K47+K48</f>
        <v>7.0000000000000007E-2</v>
      </c>
    </row>
    <row r="44" spans="2:15">
      <c r="B44" s="301" t="s">
        <v>141</v>
      </c>
      <c r="C44" s="318" t="s">
        <v>142</v>
      </c>
      <c r="F44" s="199">
        <v>0.22</v>
      </c>
      <c r="G44" s="22">
        <f>+G45+G46</f>
        <v>0.16</v>
      </c>
      <c r="H44" s="22">
        <f t="shared" ref="H44:J44" si="11">+H45+H46</f>
        <v>0.13</v>
      </c>
      <c r="I44" s="22">
        <f t="shared" si="11"/>
        <v>7.0000000000000007E-2</v>
      </c>
      <c r="J44" s="22">
        <f t="shared" si="11"/>
        <v>7.0000000000000007E-2</v>
      </c>
      <c r="K44" s="22">
        <f t="shared" ref="K44" si="12">+K45+K46</f>
        <v>7.0000000000000007E-2</v>
      </c>
    </row>
    <row r="45" spans="2:15">
      <c r="B45" s="200" t="s">
        <v>144</v>
      </c>
      <c r="C45" s="318" t="s">
        <v>145</v>
      </c>
      <c r="F45" s="199">
        <v>7.0000000000000007E-2</v>
      </c>
      <c r="G45" s="199">
        <v>0.06</v>
      </c>
      <c r="H45" s="199">
        <v>0.05</v>
      </c>
      <c r="I45" s="199">
        <v>0.03</v>
      </c>
      <c r="J45" s="199">
        <v>0.03</v>
      </c>
      <c r="K45" s="199">
        <v>0.03</v>
      </c>
    </row>
    <row r="46" spans="2:15">
      <c r="B46" s="200" t="s">
        <v>143</v>
      </c>
      <c r="C46" s="318" t="s">
        <v>145</v>
      </c>
      <c r="F46" s="199">
        <v>0.13</v>
      </c>
      <c r="G46" s="199">
        <v>0.1</v>
      </c>
      <c r="H46" s="199">
        <v>0.08</v>
      </c>
      <c r="I46" s="199">
        <v>0.04</v>
      </c>
      <c r="J46" s="199">
        <v>0.04</v>
      </c>
      <c r="K46" s="199">
        <v>0.04</v>
      </c>
    </row>
    <row r="47" spans="2:15">
      <c r="B47" s="301" t="s">
        <v>320</v>
      </c>
      <c r="C47" s="318" t="s">
        <v>142</v>
      </c>
      <c r="F47" s="22">
        <f>-248/10109</f>
        <v>-2.4532594717578394E-2</v>
      </c>
      <c r="G47" s="199">
        <v>0</v>
      </c>
      <c r="H47" s="199">
        <v>0</v>
      </c>
      <c r="I47" s="199">
        <v>0</v>
      </c>
      <c r="J47" s="199">
        <v>0</v>
      </c>
      <c r="K47" s="199">
        <v>0</v>
      </c>
    </row>
    <row r="48" spans="2:15">
      <c r="B48" s="301" t="s">
        <v>148</v>
      </c>
      <c r="C48" s="318" t="s">
        <v>145</v>
      </c>
      <c r="F48" s="22">
        <f>F43-F44-F47</f>
        <v>7.2382487807680487E-2</v>
      </c>
      <c r="G48" s="199">
        <v>0</v>
      </c>
      <c r="H48" s="199">
        <v>0</v>
      </c>
      <c r="I48" s="199">
        <v>0</v>
      </c>
      <c r="J48" s="199">
        <v>0</v>
      </c>
      <c r="K48" s="199">
        <v>0</v>
      </c>
    </row>
    <row r="49" spans="2:11">
      <c r="B49" s="301"/>
      <c r="F49" s="22"/>
      <c r="G49" s="199"/>
      <c r="H49" s="199"/>
      <c r="I49" s="199"/>
      <c r="J49" s="199"/>
      <c r="K49" s="199"/>
    </row>
    <row r="50" spans="2:11">
      <c r="B50" s="302" t="s">
        <v>139</v>
      </c>
      <c r="C50" s="318" t="s">
        <v>17</v>
      </c>
      <c r="E50" s="197">
        <v>1509.9</v>
      </c>
      <c r="F50" s="197">
        <v>1702.2</v>
      </c>
      <c r="G50" s="20">
        <f>+F50*(1+G51)</f>
        <v>1906.4640000000002</v>
      </c>
      <c r="H50" s="20">
        <f t="shared" ref="H50:K50" si="13">+G50*(1+H51)</f>
        <v>2058.9811200000004</v>
      </c>
      <c r="I50" s="20">
        <f t="shared" si="13"/>
        <v>2182.5199872000003</v>
      </c>
      <c r="J50" s="20">
        <f t="shared" si="13"/>
        <v>2313.4711864320002</v>
      </c>
      <c r="K50" s="20">
        <f t="shared" si="13"/>
        <v>2452.2794576179203</v>
      </c>
    </row>
    <row r="51" spans="2:11">
      <c r="B51" s="198" t="s">
        <v>147</v>
      </c>
      <c r="C51" s="320" t="s">
        <v>145</v>
      </c>
      <c r="F51" s="22">
        <f>F50/E50-1</f>
        <v>0.12735942777667386</v>
      </c>
      <c r="G51" s="22">
        <f>+G52+G53</f>
        <v>0.12000000000000001</v>
      </c>
      <c r="H51" s="22">
        <f t="shared" ref="H51:J51" si="14">+H52+H53</f>
        <v>0.08</v>
      </c>
      <c r="I51" s="22">
        <f t="shared" si="14"/>
        <v>0.06</v>
      </c>
      <c r="J51" s="22">
        <f t="shared" si="14"/>
        <v>0.06</v>
      </c>
      <c r="K51" s="22">
        <f t="shared" ref="K51" si="15">+K52+K53</f>
        <v>0.06</v>
      </c>
    </row>
    <row r="52" spans="2:11">
      <c r="B52" s="301" t="s">
        <v>141</v>
      </c>
      <c r="C52" s="320" t="s">
        <v>145</v>
      </c>
      <c r="F52" s="22">
        <f>+F51-F53</f>
        <v>0.10774297337761077</v>
      </c>
      <c r="G52" s="199">
        <v>0.1</v>
      </c>
      <c r="H52" s="199">
        <v>0.06</v>
      </c>
      <c r="I52" s="199">
        <v>0.04</v>
      </c>
      <c r="J52" s="199">
        <v>0.04</v>
      </c>
      <c r="K52" s="199">
        <v>0.04</v>
      </c>
    </row>
    <row r="53" spans="2:11">
      <c r="B53" s="301" t="s">
        <v>146</v>
      </c>
      <c r="C53" s="320" t="s">
        <v>145</v>
      </c>
      <c r="F53" s="22">
        <f>134/6831</f>
        <v>1.9616454399063094E-2</v>
      </c>
      <c r="G53" s="199">
        <v>0.02</v>
      </c>
      <c r="H53" s="199">
        <v>0.02</v>
      </c>
      <c r="I53" s="199">
        <v>0.02</v>
      </c>
      <c r="J53" s="199">
        <v>0.02</v>
      </c>
      <c r="K53" s="199">
        <v>0.02</v>
      </c>
    </row>
    <row r="54" spans="2:11">
      <c r="B54" s="301"/>
      <c r="C54" s="320"/>
      <c r="F54" s="22"/>
      <c r="G54" s="199"/>
      <c r="H54" s="199"/>
      <c r="I54" s="199"/>
      <c r="J54" s="199"/>
      <c r="K54" s="199"/>
    </row>
    <row r="55" spans="2:11">
      <c r="B55" s="302" t="s">
        <v>148</v>
      </c>
      <c r="C55" s="318" t="s">
        <v>17</v>
      </c>
      <c r="E55" s="197">
        <v>7.5</v>
      </c>
      <c r="F55" s="197">
        <v>8.4</v>
      </c>
      <c r="G55" s="20">
        <f t="shared" ref="G55:K55" si="16">+F55*(1+G56)</f>
        <v>9.072000000000001</v>
      </c>
      <c r="H55" s="20">
        <f t="shared" si="16"/>
        <v>9.797760000000002</v>
      </c>
      <c r="I55" s="20">
        <f t="shared" si="16"/>
        <v>10.483603200000003</v>
      </c>
      <c r="J55" s="20">
        <f t="shared" si="16"/>
        <v>11.217455424000004</v>
      </c>
      <c r="K55" s="20">
        <f t="shared" si="16"/>
        <v>12.002677303680006</v>
      </c>
    </row>
    <row r="56" spans="2:11" ht="15.75" thickBot="1">
      <c r="B56" s="2" t="s">
        <v>147</v>
      </c>
      <c r="C56" s="318" t="s">
        <v>134</v>
      </c>
      <c r="E56" s="298"/>
      <c r="F56" s="299">
        <f>+F55/E55-1</f>
        <v>0.12000000000000011</v>
      </c>
      <c r="G56" s="300">
        <v>0.08</v>
      </c>
      <c r="H56" s="300">
        <v>0.08</v>
      </c>
      <c r="I56" s="300">
        <v>7.0000000000000007E-2</v>
      </c>
      <c r="J56" s="300">
        <v>7.0000000000000007E-2</v>
      </c>
      <c r="K56" s="300">
        <v>7.0000000000000007E-2</v>
      </c>
    </row>
    <row r="57" spans="2:11">
      <c r="B57" s="215" t="s">
        <v>19</v>
      </c>
      <c r="C57" s="114"/>
      <c r="D57" s="29"/>
      <c r="E57" s="296">
        <f>E42+E50+E55</f>
        <v>16296.199999999999</v>
      </c>
      <c r="F57" s="296">
        <f t="shared" ref="F57:J57" si="17">F42+F50+F55</f>
        <v>20447.900000000001</v>
      </c>
      <c r="G57" s="297">
        <f t="shared" si="17"/>
        <v>23650.803999999996</v>
      </c>
      <c r="H57" s="297">
        <f t="shared" si="17"/>
        <v>26629.631719999994</v>
      </c>
      <c r="I57" s="297">
        <f t="shared" si="17"/>
        <v>28473.116129199992</v>
      </c>
      <c r="J57" s="297">
        <f t="shared" si="17"/>
        <v>30444.409058371995</v>
      </c>
      <c r="K57" s="297">
        <f t="shared" ref="K57" si="18">K42+K50+K55</f>
        <v>32552.382980593713</v>
      </c>
    </row>
    <row r="58" spans="2:11">
      <c r="K58" s="2"/>
    </row>
    <row r="59" spans="2:11">
      <c r="B59" s="49" t="s">
        <v>136</v>
      </c>
      <c r="C59" s="319"/>
      <c r="K59" s="2"/>
    </row>
    <row r="60" spans="2:11">
      <c r="B60" s="302" t="s">
        <v>138</v>
      </c>
      <c r="C60" s="318" t="s">
        <v>17</v>
      </c>
      <c r="E60" s="197">
        <v>4385.8</v>
      </c>
      <c r="F60" s="201">
        <v>5869.7</v>
      </c>
      <c r="G60" s="20">
        <f t="shared" ref="G60" si="19">+F60*(1+G61)</f>
        <v>7219.7309999999998</v>
      </c>
      <c r="H60" s="20">
        <f t="shared" ref="H60" si="20">+G60*(1+H61)</f>
        <v>8663.6772000000001</v>
      </c>
      <c r="I60" s="20">
        <f t="shared" ref="I60" si="21">+H60*(1+I61)</f>
        <v>9963.2287799999995</v>
      </c>
      <c r="J60" s="20">
        <f t="shared" ref="J60:K60" si="22">+I60*(1+J61)</f>
        <v>11358.080809200001</v>
      </c>
      <c r="K60" s="20">
        <f t="shared" si="22"/>
        <v>12948.212122488003</v>
      </c>
    </row>
    <row r="61" spans="2:11">
      <c r="B61" s="198" t="s">
        <v>147</v>
      </c>
      <c r="C61" s="320" t="s">
        <v>145</v>
      </c>
      <c r="F61" s="22">
        <f>F60/E60-1</f>
        <v>0.33834192165625421</v>
      </c>
      <c r="G61" s="22">
        <f>+G62+G65+G66</f>
        <v>0.22999999999999998</v>
      </c>
      <c r="H61" s="22">
        <f t="shared" ref="H61:J61" si="23">+H62+H65+H66</f>
        <v>0.2</v>
      </c>
      <c r="I61" s="22">
        <f t="shared" si="23"/>
        <v>0.15000000000000002</v>
      </c>
      <c r="J61" s="22">
        <f t="shared" si="23"/>
        <v>0.14000000000000001</v>
      </c>
      <c r="K61" s="22">
        <f t="shared" ref="K61" si="24">+K62+K65+K66</f>
        <v>0.14000000000000001</v>
      </c>
    </row>
    <row r="62" spans="2:11">
      <c r="B62" s="301" t="s">
        <v>141</v>
      </c>
      <c r="C62" s="318" t="s">
        <v>142</v>
      </c>
      <c r="F62" s="199">
        <v>0.16</v>
      </c>
      <c r="G62" s="22">
        <f>+G63+G64</f>
        <v>0.13999999999999999</v>
      </c>
      <c r="H62" s="22">
        <f t="shared" ref="H62:J62" si="25">+H63+H64</f>
        <v>0.11</v>
      </c>
      <c r="I62" s="22">
        <f t="shared" si="25"/>
        <v>9.0000000000000011E-2</v>
      </c>
      <c r="J62" s="22">
        <f t="shared" si="25"/>
        <v>0.08</v>
      </c>
      <c r="K62" s="22">
        <f t="shared" ref="K62" si="26">+K63+K64</f>
        <v>0.08</v>
      </c>
    </row>
    <row r="63" spans="2:11">
      <c r="B63" s="200" t="s">
        <v>144</v>
      </c>
      <c r="C63" s="318" t="s">
        <v>145</v>
      </c>
      <c r="F63" s="199">
        <v>0.14000000000000001</v>
      </c>
      <c r="G63" s="199">
        <v>0.12</v>
      </c>
      <c r="H63" s="199">
        <v>0.09</v>
      </c>
      <c r="I63" s="199">
        <v>7.0000000000000007E-2</v>
      </c>
      <c r="J63" s="199">
        <v>0.06</v>
      </c>
      <c r="K63" s="199">
        <v>0.06</v>
      </c>
    </row>
    <row r="64" spans="2:11">
      <c r="B64" s="200" t="s">
        <v>143</v>
      </c>
      <c r="C64" s="318" t="s">
        <v>145</v>
      </c>
      <c r="F64" s="199">
        <v>0.01</v>
      </c>
      <c r="G64" s="199">
        <v>0.02</v>
      </c>
      <c r="H64" s="199">
        <v>0.02</v>
      </c>
      <c r="I64" s="199">
        <v>0.02</v>
      </c>
      <c r="J64" s="199">
        <v>0.02</v>
      </c>
      <c r="K64" s="199">
        <v>0.02</v>
      </c>
    </row>
    <row r="65" spans="2:11">
      <c r="B65" s="301" t="s">
        <v>146</v>
      </c>
      <c r="C65" s="318" t="s">
        <v>142</v>
      </c>
      <c r="F65" s="22">
        <f>744/668-1</f>
        <v>0.11377245508982026</v>
      </c>
      <c r="G65" s="199">
        <v>0.09</v>
      </c>
      <c r="H65" s="199">
        <v>0.09</v>
      </c>
      <c r="I65" s="199">
        <v>0.06</v>
      </c>
      <c r="J65" s="199">
        <v>0.06</v>
      </c>
      <c r="K65" s="199">
        <v>0.06</v>
      </c>
    </row>
    <row r="66" spans="2:11">
      <c r="B66" s="301" t="s">
        <v>148</v>
      </c>
      <c r="C66" s="318" t="s">
        <v>145</v>
      </c>
      <c r="F66" s="22">
        <f>F61-F62-F65</f>
        <v>6.4569466566433947E-2</v>
      </c>
      <c r="G66" s="199">
        <v>0</v>
      </c>
      <c r="H66" s="199">
        <v>0</v>
      </c>
      <c r="I66" s="199">
        <v>0</v>
      </c>
      <c r="J66" s="199">
        <v>0</v>
      </c>
      <c r="K66" s="199">
        <v>0</v>
      </c>
    </row>
    <row r="67" spans="2:11">
      <c r="B67" s="301"/>
      <c r="F67" s="22"/>
      <c r="G67" s="199"/>
      <c r="H67" s="199"/>
      <c r="I67" s="199"/>
      <c r="J67" s="199"/>
      <c r="K67" s="199"/>
    </row>
    <row r="68" spans="2:11">
      <c r="B68" s="302" t="s">
        <v>139</v>
      </c>
      <c r="C68" s="318" t="s">
        <v>17</v>
      </c>
      <c r="E68" s="197">
        <v>817.2</v>
      </c>
      <c r="F68" s="197">
        <v>981.4</v>
      </c>
      <c r="G68" s="20">
        <f t="shared" ref="G68" si="27">+F68*(1+G69)</f>
        <v>1148.2379999999998</v>
      </c>
      <c r="H68" s="20">
        <f t="shared" ref="H68" si="28">+G68*(1+H69)</f>
        <v>1308.9913199999999</v>
      </c>
      <c r="I68" s="20">
        <f t="shared" ref="I68" si="29">+H68*(1+I69)</f>
        <v>1452.9803652000001</v>
      </c>
      <c r="J68" s="20">
        <f t="shared" ref="J68:K68" si="30">+I68*(1+J69)</f>
        <v>1598.2784017200001</v>
      </c>
      <c r="K68" s="20">
        <f t="shared" si="30"/>
        <v>1758.1062418920003</v>
      </c>
    </row>
    <row r="69" spans="2:11">
      <c r="B69" s="2" t="s">
        <v>147</v>
      </c>
      <c r="C69" s="318" t="s">
        <v>134</v>
      </c>
      <c r="F69" s="22">
        <f>+F68/E68-1</f>
        <v>0.20093000489476243</v>
      </c>
      <c r="G69" s="22">
        <f>+G70+G71</f>
        <v>0.16999999999999998</v>
      </c>
      <c r="H69" s="22">
        <f t="shared" ref="H69:J69" si="31">+H70+H71</f>
        <v>0.14000000000000001</v>
      </c>
      <c r="I69" s="22">
        <f t="shared" si="31"/>
        <v>0.11</v>
      </c>
      <c r="J69" s="22">
        <f t="shared" si="31"/>
        <v>0.1</v>
      </c>
      <c r="K69" s="22">
        <f t="shared" ref="K69" si="32">+K70+K71</f>
        <v>0.1</v>
      </c>
    </row>
    <row r="70" spans="2:11">
      <c r="B70" s="301" t="s">
        <v>141</v>
      </c>
      <c r="C70" s="318" t="s">
        <v>134</v>
      </c>
      <c r="F70" s="22">
        <f>+F69-F71</f>
        <v>0.14185689784515407</v>
      </c>
      <c r="G70" s="199">
        <v>0.12</v>
      </c>
      <c r="H70" s="199">
        <v>0.1</v>
      </c>
      <c r="I70" s="199">
        <v>0.08</v>
      </c>
      <c r="J70" s="199">
        <v>7.0000000000000007E-2</v>
      </c>
      <c r="K70" s="199">
        <v>7.0000000000000007E-2</v>
      </c>
    </row>
    <row r="71" spans="2:11">
      <c r="B71" s="301" t="s">
        <v>146</v>
      </c>
      <c r="C71" s="318" t="s">
        <v>134</v>
      </c>
      <c r="F71" s="199">
        <v>5.9073107049608352E-2</v>
      </c>
      <c r="G71" s="199">
        <v>0.05</v>
      </c>
      <c r="H71" s="199">
        <v>0.04</v>
      </c>
      <c r="I71" s="199">
        <v>0.03</v>
      </c>
      <c r="J71" s="199">
        <v>0.03</v>
      </c>
      <c r="K71" s="199">
        <v>0.03</v>
      </c>
    </row>
    <row r="72" spans="2:11">
      <c r="B72" s="301"/>
      <c r="F72" s="199"/>
      <c r="G72" s="199"/>
      <c r="H72" s="199"/>
      <c r="I72" s="199"/>
      <c r="J72" s="199"/>
      <c r="K72" s="199"/>
    </row>
    <row r="73" spans="2:11">
      <c r="B73" s="302" t="s">
        <v>148</v>
      </c>
      <c r="C73" s="318" t="s">
        <v>17</v>
      </c>
      <c r="E73" s="197">
        <v>27.6</v>
      </c>
      <c r="F73" s="197">
        <v>70.5</v>
      </c>
      <c r="G73" s="20">
        <f t="shared" ref="G73" si="33">+F73*(1+G74)</f>
        <v>77.550000000000011</v>
      </c>
      <c r="H73" s="20">
        <f t="shared" ref="H73" si="34">+G73*(1+H74)</f>
        <v>85.305000000000021</v>
      </c>
      <c r="I73" s="20">
        <f t="shared" ref="I73" si="35">+H73*(1+I74)</f>
        <v>93.835500000000025</v>
      </c>
      <c r="J73" s="20">
        <f t="shared" ref="J73:K73" si="36">+I73*(1+J74)</f>
        <v>103.21905000000004</v>
      </c>
      <c r="K73" s="20">
        <f t="shared" si="36"/>
        <v>113.54095500000005</v>
      </c>
    </row>
    <row r="74" spans="2:11" ht="15.75" thickBot="1">
      <c r="B74" s="2" t="s">
        <v>147</v>
      </c>
      <c r="C74" s="318" t="s">
        <v>134</v>
      </c>
      <c r="E74" s="298"/>
      <c r="F74" s="299">
        <f>+F73/E73-1</f>
        <v>1.5543478260869565</v>
      </c>
      <c r="G74" s="300">
        <v>0.1</v>
      </c>
      <c r="H74" s="299">
        <f>+G74</f>
        <v>0.1</v>
      </c>
      <c r="I74" s="299">
        <f t="shared" ref="I74:K74" si="37">+H74</f>
        <v>0.1</v>
      </c>
      <c r="J74" s="299">
        <f t="shared" si="37"/>
        <v>0.1</v>
      </c>
      <c r="K74" s="299">
        <f t="shared" si="37"/>
        <v>0.1</v>
      </c>
    </row>
    <row r="75" spans="2:11">
      <c r="B75" s="215" t="s">
        <v>19</v>
      </c>
      <c r="C75" s="114"/>
      <c r="D75" s="29"/>
      <c r="E75" s="296">
        <f>E73+E68+E60</f>
        <v>5230.6000000000004</v>
      </c>
      <c r="F75" s="296">
        <f>F73+F68+F60</f>
        <v>6921.6</v>
      </c>
      <c r="G75" s="297">
        <f>+G60+G68+G73</f>
        <v>8445.5189999999984</v>
      </c>
      <c r="H75" s="297">
        <f t="shared" ref="H75:J75" si="38">+H60+H68+H73</f>
        <v>10057.97352</v>
      </c>
      <c r="I75" s="297">
        <f t="shared" si="38"/>
        <v>11510.044645199998</v>
      </c>
      <c r="J75" s="297">
        <f t="shared" si="38"/>
        <v>13059.57826092</v>
      </c>
      <c r="K75" s="297">
        <f t="shared" ref="K75" si="39">+K60+K68+K73</f>
        <v>14819.859319380004</v>
      </c>
    </row>
    <row r="76" spans="2:11">
      <c r="K76" s="2"/>
    </row>
    <row r="77" spans="2:11" s="16" customFormat="1">
      <c r="B77" s="49" t="s">
        <v>130</v>
      </c>
      <c r="C77" s="319" t="s">
        <v>17</v>
      </c>
      <c r="D77" s="49"/>
      <c r="E77" s="202">
        <v>1925</v>
      </c>
      <c r="F77" s="203">
        <v>1593.6</v>
      </c>
      <c r="G77" s="20">
        <f t="shared" ref="G77:K77" si="40">+F77*(1+G78)</f>
        <v>1673.28</v>
      </c>
      <c r="H77" s="20">
        <f t="shared" si="40"/>
        <v>1740.2112</v>
      </c>
      <c r="I77" s="20">
        <f t="shared" si="40"/>
        <v>1809.8196479999999</v>
      </c>
      <c r="J77" s="20">
        <f t="shared" si="40"/>
        <v>1882.21243392</v>
      </c>
      <c r="K77" s="20">
        <f t="shared" si="40"/>
        <v>1957.5009312768</v>
      </c>
    </row>
    <row r="78" spans="2:11">
      <c r="C78" s="318" t="s">
        <v>145</v>
      </c>
      <c r="F78" s="199">
        <v>-0.126</v>
      </c>
      <c r="G78" s="199">
        <v>0.05</v>
      </c>
      <c r="H78" s="199">
        <v>0.04</v>
      </c>
      <c r="I78" s="199">
        <v>0.04</v>
      </c>
      <c r="J78" s="199">
        <v>0.04</v>
      </c>
      <c r="K78" s="199">
        <v>0.04</v>
      </c>
    </row>
    <row r="79" spans="2:11">
      <c r="K79" s="2"/>
    </row>
    <row r="80" spans="2:11">
      <c r="B80" s="2" t="s">
        <v>237</v>
      </c>
      <c r="C80" s="318" t="s">
        <v>17</v>
      </c>
      <c r="E80" s="197">
        <v>66.2</v>
      </c>
      <c r="F80" s="197">
        <v>97.5</v>
      </c>
      <c r="G80" s="20">
        <f t="shared" ref="G80" si="41">+F80*(1+G81)</f>
        <v>113.1</v>
      </c>
      <c r="H80" s="20">
        <f t="shared" ref="H80" si="42">+G80*(1+H81)</f>
        <v>127.80299999999998</v>
      </c>
      <c r="I80" s="20">
        <f t="shared" ref="I80" si="43">+H80*(1+I81)</f>
        <v>136.74920999999998</v>
      </c>
      <c r="J80" s="20">
        <f t="shared" ref="J80:K80" si="44">+I80*(1+J81)</f>
        <v>146.32165469999998</v>
      </c>
      <c r="K80" s="20">
        <f t="shared" si="44"/>
        <v>156.56417052899999</v>
      </c>
    </row>
    <row r="81" spans="2:11">
      <c r="B81" s="2" t="s">
        <v>147</v>
      </c>
      <c r="C81" s="318" t="s">
        <v>134</v>
      </c>
      <c r="F81" s="22">
        <f>+F80/E80-1</f>
        <v>0.47280966767371591</v>
      </c>
      <c r="G81" s="22">
        <f>+G43</f>
        <v>0.16</v>
      </c>
      <c r="H81" s="22">
        <f t="shared" ref="H81:J81" si="45">+H43</f>
        <v>0.13</v>
      </c>
      <c r="I81" s="22">
        <f t="shared" si="45"/>
        <v>7.0000000000000007E-2</v>
      </c>
      <c r="J81" s="22">
        <f t="shared" si="45"/>
        <v>7.0000000000000007E-2</v>
      </c>
      <c r="K81" s="22">
        <f t="shared" ref="K81" si="46">+K43</f>
        <v>7.0000000000000007E-2</v>
      </c>
    </row>
    <row r="82" spans="2:11">
      <c r="K82" s="2"/>
    </row>
    <row r="83" spans="2:11" ht="15.75" thickBot="1">
      <c r="B83" s="215" t="s">
        <v>23</v>
      </c>
      <c r="C83" s="114" t="s">
        <v>17</v>
      </c>
      <c r="D83" s="115"/>
      <c r="E83" s="295">
        <f>+E77+E75+E57+E80</f>
        <v>23518</v>
      </c>
      <c r="F83" s="295">
        <f t="shared" ref="F83:J83" si="47">+F77+F75+F57+F80</f>
        <v>29060.600000000002</v>
      </c>
      <c r="G83" s="295">
        <f t="shared" si="47"/>
        <v>33882.702999999994</v>
      </c>
      <c r="H83" s="295">
        <f t="shared" si="47"/>
        <v>38555.619439999995</v>
      </c>
      <c r="I83" s="295">
        <f t="shared" si="47"/>
        <v>41929.729632399991</v>
      </c>
      <c r="J83" s="295">
        <f t="shared" si="47"/>
        <v>45532.521407911991</v>
      </c>
      <c r="K83" s="295">
        <f t="shared" ref="K83" si="48">+K77+K75+K57+K80</f>
        <v>49486.307401779522</v>
      </c>
    </row>
    <row r="84" spans="2:11" ht="15.75" thickTop="1">
      <c r="C84" s="318" t="s">
        <v>145</v>
      </c>
      <c r="F84" s="22">
        <f>+F83/E83-1</f>
        <v>0.23567480227910553</v>
      </c>
      <c r="G84" s="22">
        <f t="shared" ref="G84:K84" si="49">+G83/F83-1</f>
        <v>0.16593267172735571</v>
      </c>
      <c r="H84" s="22">
        <f t="shared" si="49"/>
        <v>0.13791451172003599</v>
      </c>
      <c r="I84" s="22">
        <f t="shared" si="49"/>
        <v>8.7512799467552638E-2</v>
      </c>
      <c r="J84" s="22">
        <f t="shared" si="49"/>
        <v>8.5924517212437435E-2</v>
      </c>
      <c r="K84" s="22">
        <f t="shared" si="49"/>
        <v>8.6834330092260048E-2</v>
      </c>
    </row>
    <row r="85" spans="2:11">
      <c r="E85" s="20"/>
    </row>
  </sheetData>
  <mergeCells count="2">
    <mergeCell ref="D1:F1"/>
    <mergeCell ref="G1:K1"/>
  </mergeCells>
  <pageMargins left="0.7" right="0.7" top="0.75" bottom="0.75" header="0.3" footer="0.3"/>
  <pageSetup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showGridLines="0" zoomScale="90" zoomScaleNormal="90" workbookViewId="0">
      <selection activeCell="G21" sqref="G21"/>
    </sheetView>
  </sheetViews>
  <sheetFormatPr defaultRowHeight="15"/>
  <cols>
    <col min="1" max="1" width="3.7109375" style="1" customWidth="1"/>
    <col min="2" max="2" width="48.7109375" style="91" customWidth="1"/>
    <col min="3" max="3" width="3.7109375" style="91" customWidth="1"/>
    <col min="4" max="6" width="12.7109375" style="91" customWidth="1"/>
    <col min="7" max="10" width="12.7109375" style="121" customWidth="1"/>
    <col min="11" max="11" width="12.7109375" style="91" customWidth="1"/>
    <col min="12" max="12" width="9.140625" style="91"/>
    <col min="13" max="16384" width="9.140625" style="1"/>
  </cols>
  <sheetData>
    <row r="1" spans="1:15" ht="31.5">
      <c r="A1" s="122" t="s">
        <v>296</v>
      </c>
      <c r="B1" s="122"/>
      <c r="C1" s="123"/>
      <c r="D1" s="323" t="s">
        <v>293</v>
      </c>
      <c r="E1" s="323"/>
      <c r="F1" s="323"/>
      <c r="G1" s="323" t="s">
        <v>294</v>
      </c>
      <c r="H1" s="323"/>
      <c r="I1" s="323"/>
      <c r="J1" s="323"/>
      <c r="K1" s="323"/>
      <c r="L1" s="1"/>
    </row>
    <row r="2" spans="1:15">
      <c r="A2" s="125" t="s">
        <v>295</v>
      </c>
      <c r="B2" s="125"/>
      <c r="C2" s="126"/>
      <c r="D2" s="111">
        <v>2019</v>
      </c>
      <c r="E2" s="111">
        <f t="shared" ref="E2:K2" si="0">D2+1</f>
        <v>2020</v>
      </c>
      <c r="F2" s="111">
        <f t="shared" si="0"/>
        <v>2021</v>
      </c>
      <c r="G2" s="111">
        <f t="shared" si="0"/>
        <v>2022</v>
      </c>
      <c r="H2" s="111">
        <f t="shared" si="0"/>
        <v>2023</v>
      </c>
      <c r="I2" s="111">
        <f t="shared" si="0"/>
        <v>2024</v>
      </c>
      <c r="J2" s="111">
        <f t="shared" si="0"/>
        <v>2025</v>
      </c>
      <c r="K2" s="111">
        <f t="shared" si="0"/>
        <v>2026</v>
      </c>
      <c r="L2" s="1"/>
    </row>
    <row r="3" spans="1:15" s="84" customFormat="1">
      <c r="A3" s="219"/>
      <c r="B3" s="225" t="s">
        <v>1</v>
      </c>
      <c r="C3" s="138"/>
      <c r="D3" s="222">
        <v>26508.6</v>
      </c>
      <c r="E3" s="221">
        <f>'Income Statement'!E7</f>
        <v>23518</v>
      </c>
      <c r="F3" s="221">
        <f>'Income Statement'!F7</f>
        <v>29060.6</v>
      </c>
      <c r="G3" s="221">
        <f>'Income Statement'!G7</f>
        <v>33882.702999999994</v>
      </c>
      <c r="H3" s="221">
        <f>'Income Statement'!H7</f>
        <v>38555.619439999988</v>
      </c>
      <c r="I3" s="221">
        <f>'Income Statement'!I7</f>
        <v>41929.729632399991</v>
      </c>
      <c r="J3" s="221">
        <f>'Income Statement'!J7</f>
        <v>45532.521407911991</v>
      </c>
      <c r="K3" s="221">
        <f>'Income Statement'!K7</f>
        <v>49486.307401779515</v>
      </c>
    </row>
    <row r="4" spans="1:15" s="84" customFormat="1">
      <c r="A4" s="219"/>
      <c r="B4" s="219"/>
      <c r="C4" s="220"/>
      <c r="D4" s="117"/>
      <c r="E4" s="117"/>
      <c r="F4" s="117"/>
      <c r="G4" s="117"/>
      <c r="H4" s="117"/>
      <c r="I4" s="117"/>
      <c r="J4" s="117"/>
      <c r="K4" s="117"/>
    </row>
    <row r="5" spans="1:15">
      <c r="B5" s="88" t="s">
        <v>24</v>
      </c>
      <c r="D5" s="223">
        <f>'Income Statement'!D11</f>
        <v>8526.9</v>
      </c>
      <c r="E5" s="223">
        <f>'Income Statement'!E11</f>
        <v>7694.9</v>
      </c>
      <c r="F5" s="223">
        <f>'Income Statement'!F11</f>
        <v>8738.7000000000007</v>
      </c>
      <c r="G5" s="119">
        <f>G6*G3</f>
        <v>10188.735838423845</v>
      </c>
      <c r="H5" s="119">
        <f t="shared" ref="H5:K5" si="1">H6*H3</f>
        <v>11593.910366624499</v>
      </c>
      <c r="I5" s="119">
        <f t="shared" si="1"/>
        <v>12608.525919583692</v>
      </c>
      <c r="J5" s="119">
        <f t="shared" si="1"/>
        <v>13691.907421984424</v>
      </c>
      <c r="K5" s="119">
        <f t="shared" si="1"/>
        <v>14880.835030657683</v>
      </c>
    </row>
    <row r="6" spans="1:15">
      <c r="B6" s="88" t="s">
        <v>150</v>
      </c>
      <c r="D6" s="216">
        <f>D5/D3</f>
        <v>0.32166542178764629</v>
      </c>
      <c r="E6" s="216">
        <f t="shared" ref="E6:F6" si="2">E5/E3</f>
        <v>0.3271919380899736</v>
      </c>
      <c r="F6" s="216">
        <f t="shared" si="2"/>
        <v>0.30070611067906378</v>
      </c>
      <c r="G6" s="224">
        <f>+F6</f>
        <v>0.30070611067906378</v>
      </c>
      <c r="H6" s="224">
        <f t="shared" ref="H6:K6" si="3">+G6</f>
        <v>0.30070611067906378</v>
      </c>
      <c r="I6" s="224">
        <f t="shared" si="3"/>
        <v>0.30070611067906378</v>
      </c>
      <c r="J6" s="224">
        <f t="shared" si="3"/>
        <v>0.30070611067906378</v>
      </c>
      <c r="K6" s="224">
        <f t="shared" si="3"/>
        <v>0.30070611067906378</v>
      </c>
      <c r="L6" s="216"/>
      <c r="M6" s="17"/>
      <c r="N6" s="17"/>
      <c r="O6" s="17"/>
    </row>
    <row r="7" spans="1:15">
      <c r="B7" s="88"/>
      <c r="D7" s="216"/>
      <c r="E7" s="216"/>
      <c r="F7" s="216"/>
      <c r="G7" s="217"/>
      <c r="H7" s="217"/>
      <c r="I7" s="217"/>
      <c r="J7" s="217"/>
      <c r="K7" s="217"/>
      <c r="L7" s="216"/>
      <c r="M7" s="17"/>
      <c r="N7" s="17"/>
      <c r="O7" s="17"/>
    </row>
    <row r="8" spans="1:15">
      <c r="B8" s="88" t="s">
        <v>25</v>
      </c>
      <c r="D8" s="223">
        <f>'Income Statement'!D12</f>
        <v>10493.6</v>
      </c>
      <c r="E8" s="223">
        <f>'Income Statement'!E12</f>
        <v>10764</v>
      </c>
      <c r="F8" s="223">
        <f>'Income Statement'!F12</f>
        <v>11930.9</v>
      </c>
      <c r="G8" s="119">
        <f>G9*G3</f>
        <v>13910.626113111908</v>
      </c>
      <c r="H8" s="119">
        <f t="shared" ref="H8:K8" si="4">H9*H3</f>
        <v>15829.103321221717</v>
      </c>
      <c r="I8" s="119">
        <f t="shared" si="4"/>
        <v>17214.35246592297</v>
      </c>
      <c r="J8" s="119">
        <f t="shared" si="4"/>
        <v>18693.48739068213</v>
      </c>
      <c r="K8" s="119">
        <f t="shared" si="4"/>
        <v>20316.723845340126</v>
      </c>
    </row>
    <row r="9" spans="1:15">
      <c r="B9" s="88" t="s">
        <v>150</v>
      </c>
      <c r="D9" s="216">
        <f>D8/D3</f>
        <v>0.39585643904242401</v>
      </c>
      <c r="E9" s="216">
        <f t="shared" ref="E9:F9" si="5">E8/E3</f>
        <v>0.45769198061059613</v>
      </c>
      <c r="F9" s="216">
        <f t="shared" si="5"/>
        <v>0.41055243181489715</v>
      </c>
      <c r="G9" s="224">
        <f>+F9</f>
        <v>0.41055243181489715</v>
      </c>
      <c r="H9" s="224">
        <f t="shared" ref="H9:K9" si="6">+G9</f>
        <v>0.41055243181489715</v>
      </c>
      <c r="I9" s="224">
        <f t="shared" si="6"/>
        <v>0.41055243181489715</v>
      </c>
      <c r="J9" s="224">
        <f t="shared" si="6"/>
        <v>0.41055243181489715</v>
      </c>
      <c r="K9" s="224">
        <f t="shared" si="6"/>
        <v>0.41055243181489715</v>
      </c>
      <c r="L9" s="216"/>
      <c r="M9" s="17"/>
      <c r="N9" s="17"/>
      <c r="O9" s="17"/>
    </row>
    <row r="10" spans="1:15">
      <c r="B10" s="88"/>
      <c r="D10" s="216"/>
      <c r="E10" s="216"/>
      <c r="F10" s="216"/>
      <c r="G10" s="217"/>
      <c r="H10" s="217"/>
      <c r="I10" s="217"/>
      <c r="J10" s="217"/>
      <c r="K10" s="217"/>
      <c r="L10" s="216"/>
      <c r="M10" s="17"/>
      <c r="N10" s="17"/>
      <c r="O10" s="17"/>
    </row>
    <row r="11" spans="1:15">
      <c r="B11" s="88" t="s">
        <v>26</v>
      </c>
      <c r="D11" s="223">
        <f>'Income Statement'!D13</f>
        <v>371</v>
      </c>
      <c r="E11" s="223">
        <f>'Income Statement'!E13</f>
        <v>430.3</v>
      </c>
      <c r="F11" s="223">
        <f>'Income Statement'!F13</f>
        <v>359.5</v>
      </c>
      <c r="G11" s="119">
        <f>G12*G3</f>
        <v>419.15279548598443</v>
      </c>
      <c r="H11" s="119">
        <f t="shared" ref="H11:K11" si="7">H12*H3</f>
        <v>476.96004861152204</v>
      </c>
      <c r="I11" s="119">
        <f t="shared" si="7"/>
        <v>518.70015769969643</v>
      </c>
      <c r="J11" s="119">
        <f t="shared" si="7"/>
        <v>563.26921832805795</v>
      </c>
      <c r="K11" s="119">
        <f t="shared" si="7"/>
        <v>612.18032356316587</v>
      </c>
    </row>
    <row r="12" spans="1:15">
      <c r="B12" s="88" t="s">
        <v>150</v>
      </c>
      <c r="D12" s="216">
        <f>D11/D3</f>
        <v>1.3995458077755899E-2</v>
      </c>
      <c r="E12" s="216">
        <f t="shared" ref="E12:F12" si="8">E11/E3</f>
        <v>1.8296623862573348E-2</v>
      </c>
      <c r="F12" s="216">
        <f t="shared" si="8"/>
        <v>1.2370701224338108E-2</v>
      </c>
      <c r="G12" s="224">
        <f>+F12</f>
        <v>1.2370701224338108E-2</v>
      </c>
      <c r="H12" s="224">
        <f t="shared" ref="H12:K12" si="9">+G12</f>
        <v>1.2370701224338108E-2</v>
      </c>
      <c r="I12" s="224">
        <f t="shared" si="9"/>
        <v>1.2370701224338108E-2</v>
      </c>
      <c r="J12" s="224">
        <f t="shared" si="9"/>
        <v>1.2370701224338108E-2</v>
      </c>
      <c r="K12" s="224">
        <f t="shared" si="9"/>
        <v>1.2370701224338108E-2</v>
      </c>
      <c r="L12" s="216"/>
      <c r="M12" s="17"/>
      <c r="N12" s="17"/>
      <c r="O12" s="17"/>
    </row>
    <row r="13" spans="1:15">
      <c r="D13" s="216"/>
      <c r="E13" s="216"/>
      <c r="F13" s="216"/>
      <c r="G13" s="217"/>
      <c r="H13" s="217"/>
      <c r="I13" s="217"/>
      <c r="J13" s="217"/>
      <c r="K13" s="217"/>
      <c r="L13" s="216"/>
      <c r="M13" s="17"/>
      <c r="N13" s="17"/>
      <c r="O13" s="17"/>
    </row>
    <row r="14" spans="1:15">
      <c r="B14" s="88" t="s">
        <v>27</v>
      </c>
      <c r="D14" s="119">
        <v>1377.3</v>
      </c>
      <c r="E14" s="119">
        <v>1431.3</v>
      </c>
      <c r="F14" s="119">
        <v>1441.7</v>
      </c>
      <c r="G14" s="118">
        <f>+'PPE Schedule'!G20</f>
        <v>1820.2912485268325</v>
      </c>
      <c r="H14" s="118">
        <f>+'PPE Schedule'!H20</f>
        <v>1836.9082174379487</v>
      </c>
      <c r="I14" s="118">
        <f>+'PPE Schedule'!I20</f>
        <v>2047.3226780536563</v>
      </c>
      <c r="J14" s="118">
        <f>+'PPE Schedule'!J20</f>
        <v>2270.6290044871207</v>
      </c>
      <c r="K14" s="118">
        <f>+'PPE Schedule'!K20</f>
        <v>2506.7469761514681</v>
      </c>
    </row>
    <row r="15" spans="1:15">
      <c r="D15" s="119"/>
      <c r="E15" s="119"/>
      <c r="F15" s="119"/>
      <c r="K15" s="121"/>
    </row>
    <row r="16" spans="1:15">
      <c r="B16" s="88" t="s">
        <v>32</v>
      </c>
      <c r="D16" s="118">
        <f>'Income Statement'!D20</f>
        <v>1824.1</v>
      </c>
      <c r="E16" s="118">
        <f>'Income Statement'!E20</f>
        <v>1679.6</v>
      </c>
      <c r="F16" s="118">
        <f>'Income Statement'!F20</f>
        <v>1932.6</v>
      </c>
      <c r="G16" s="119">
        <f>G17*G3</f>
        <v>2253.2814813802875</v>
      </c>
      <c r="H16" s="119">
        <f>H17*H3</f>
        <v>2564.0416966526491</v>
      </c>
      <c r="I16" s="119">
        <f>I17*I3</f>
        <v>2788.4281634782565</v>
      </c>
      <c r="J16" s="119">
        <f>J17*J3</f>
        <v>3028.0225072066892</v>
      </c>
      <c r="K16" s="119">
        <f>K17*K3</f>
        <v>3290.9588131242672</v>
      </c>
    </row>
    <row r="17" spans="2:15">
      <c r="B17" s="88" t="s">
        <v>150</v>
      </c>
      <c r="D17" s="216">
        <f>D16/D3</f>
        <v>6.8811630942411148E-2</v>
      </c>
      <c r="E17" s="216">
        <f>E16/E3</f>
        <v>7.1417637554213792E-2</v>
      </c>
      <c r="F17" s="216">
        <f>F16/F3</f>
        <v>6.6502412200711611E-2</v>
      </c>
      <c r="G17" s="224">
        <f>+F17</f>
        <v>6.6502412200711611E-2</v>
      </c>
      <c r="H17" s="224">
        <f t="shared" ref="H17:K17" si="10">+G17</f>
        <v>6.6502412200711611E-2</v>
      </c>
      <c r="I17" s="224">
        <f t="shared" si="10"/>
        <v>6.6502412200711611E-2</v>
      </c>
      <c r="J17" s="224">
        <f t="shared" si="10"/>
        <v>6.6502412200711611E-2</v>
      </c>
      <c r="K17" s="224">
        <f t="shared" si="10"/>
        <v>6.6502412200711611E-2</v>
      </c>
      <c r="L17" s="216"/>
      <c r="M17" s="17"/>
      <c r="N17" s="17"/>
      <c r="O17" s="17"/>
    </row>
    <row r="18" spans="2:15">
      <c r="D18" s="216"/>
      <c r="E18" s="216"/>
      <c r="F18" s="216"/>
      <c r="G18" s="217"/>
      <c r="H18" s="217"/>
      <c r="I18" s="217"/>
      <c r="J18" s="217"/>
      <c r="K18" s="217"/>
      <c r="L18" s="216"/>
      <c r="M18" s="17"/>
      <c r="N18" s="17"/>
      <c r="O18" s="17"/>
    </row>
    <row r="19" spans="2:15" ht="15.75" thickBot="1">
      <c r="B19" s="88" t="s">
        <v>28</v>
      </c>
      <c r="E19" s="303">
        <v>278.7</v>
      </c>
      <c r="F19" s="303">
        <v>170.4</v>
      </c>
      <c r="G19" s="304">
        <v>0</v>
      </c>
      <c r="H19" s="304">
        <v>0</v>
      </c>
      <c r="I19" s="304">
        <v>0</v>
      </c>
      <c r="J19" s="304">
        <v>0</v>
      </c>
      <c r="K19" s="304">
        <v>0</v>
      </c>
    </row>
    <row r="20" spans="2:15" s="16" customFormat="1">
      <c r="B20" s="186" t="s">
        <v>149</v>
      </c>
      <c r="C20" s="186"/>
      <c r="D20" s="159"/>
      <c r="E20" s="159">
        <f t="shared" ref="E20:K20" si="11">+E5+E8+E11+E14+E16+E19</f>
        <v>22278.799999999999</v>
      </c>
      <c r="F20" s="159">
        <f t="shared" si="11"/>
        <v>24573.8</v>
      </c>
      <c r="G20" s="159">
        <f t="shared" si="11"/>
        <v>28592.087476928857</v>
      </c>
      <c r="H20" s="159">
        <f t="shared" si="11"/>
        <v>32300.923650548335</v>
      </c>
      <c r="I20" s="159">
        <f t="shared" si="11"/>
        <v>35177.329384738274</v>
      </c>
      <c r="J20" s="159">
        <f t="shared" si="11"/>
        <v>38247.315542688426</v>
      </c>
      <c r="K20" s="159">
        <f t="shared" si="11"/>
        <v>41607.444988836709</v>
      </c>
      <c r="L20" s="93"/>
    </row>
    <row r="21" spans="2:15" s="16" customFormat="1">
      <c r="B21" s="305"/>
      <c r="C21" s="305"/>
      <c r="D21" s="160"/>
      <c r="E21" s="160"/>
      <c r="F21" s="160"/>
      <c r="G21" s="160"/>
      <c r="H21" s="160"/>
      <c r="I21" s="160"/>
      <c r="J21" s="160"/>
      <c r="K21" s="160"/>
      <c r="L21" s="93"/>
    </row>
    <row r="22" spans="2:15">
      <c r="B22" s="88"/>
      <c r="D22" s="120"/>
      <c r="E22" s="120"/>
      <c r="F22" s="120"/>
      <c r="G22" s="119"/>
      <c r="H22" s="119"/>
      <c r="I22" s="119"/>
      <c r="J22" s="119"/>
      <c r="K22" s="119"/>
      <c r="L22" s="119"/>
      <c r="M22" s="10"/>
      <c r="N22" s="10"/>
      <c r="O22" s="10"/>
    </row>
    <row r="23" spans="2:15">
      <c r="B23" s="88"/>
      <c r="E23" s="216"/>
      <c r="F23" s="216"/>
      <c r="G23" s="224"/>
      <c r="H23" s="224"/>
      <c r="I23" s="224"/>
      <c r="J23" s="224"/>
      <c r="K23" s="224"/>
      <c r="L23" s="216"/>
      <c r="M23" s="17"/>
      <c r="N23" s="17"/>
      <c r="O23" s="17"/>
    </row>
    <row r="24" spans="2:15" s="16" customFormat="1">
      <c r="B24" s="148"/>
      <c r="C24" s="93"/>
      <c r="D24" s="93"/>
      <c r="E24" s="93"/>
      <c r="F24" s="93"/>
      <c r="G24" s="218"/>
      <c r="H24" s="218"/>
      <c r="I24" s="218"/>
      <c r="J24" s="218"/>
      <c r="K24" s="93"/>
      <c r="L24" s="93"/>
    </row>
  </sheetData>
  <mergeCells count="2">
    <mergeCell ref="D1:F1"/>
    <mergeCell ref="G1:K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8"/>
  <sheetViews>
    <sheetView showGridLines="0" zoomScale="90" zoomScaleNormal="90" workbookViewId="0">
      <pane xSplit="3" ySplit="2" topLeftCell="D3" activePane="bottomRight" state="frozen"/>
      <selection pane="topRight" activeCell="D1" sqref="D1"/>
      <selection pane="bottomLeft" activeCell="A4" sqref="A4"/>
      <selection pane="bottomRight" activeCell="G24" sqref="G24"/>
    </sheetView>
  </sheetViews>
  <sheetFormatPr defaultRowHeight="15"/>
  <cols>
    <col min="1" max="1" width="3.7109375" style="1" customWidth="1"/>
    <col min="2" max="2" width="48.7109375" style="1" customWidth="1"/>
    <col min="3" max="3" width="3.7109375" style="1" customWidth="1"/>
    <col min="4" max="6" width="12.7109375" style="2" customWidth="1"/>
    <col min="7" max="10" width="12.7109375" style="116" customWidth="1"/>
    <col min="11" max="11" width="12.7109375" style="2" customWidth="1"/>
    <col min="12" max="16384" width="9.140625" style="1"/>
  </cols>
  <sheetData>
    <row r="1" spans="1:15" ht="31.5">
      <c r="A1" s="122" t="s">
        <v>296</v>
      </c>
      <c r="B1" s="122"/>
      <c r="C1" s="123"/>
      <c r="D1" s="323" t="s">
        <v>293</v>
      </c>
      <c r="E1" s="323"/>
      <c r="F1" s="323"/>
      <c r="G1" s="323" t="s">
        <v>294</v>
      </c>
      <c r="H1" s="323"/>
      <c r="I1" s="323"/>
      <c r="J1" s="323"/>
      <c r="K1" s="323"/>
    </row>
    <row r="2" spans="1:15">
      <c r="A2" s="125" t="s">
        <v>295</v>
      </c>
      <c r="B2" s="125"/>
      <c r="C2" s="126"/>
      <c r="D2" s="111">
        <v>2019</v>
      </c>
      <c r="E2" s="111">
        <f t="shared" ref="E2:K2" si="0">D2+1</f>
        <v>2020</v>
      </c>
      <c r="F2" s="111">
        <f t="shared" si="0"/>
        <v>2021</v>
      </c>
      <c r="G2" s="111">
        <f t="shared" si="0"/>
        <v>2022</v>
      </c>
      <c r="H2" s="111">
        <f t="shared" si="0"/>
        <v>2023</v>
      </c>
      <c r="I2" s="111">
        <f t="shared" si="0"/>
        <v>2024</v>
      </c>
      <c r="J2" s="111">
        <f t="shared" si="0"/>
        <v>2025</v>
      </c>
      <c r="K2" s="111">
        <f t="shared" si="0"/>
        <v>2026</v>
      </c>
    </row>
    <row r="3" spans="1:15">
      <c r="B3" s="225" t="s">
        <v>23</v>
      </c>
      <c r="D3" s="226">
        <f>'Income Statement'!D7</f>
        <v>26508.600000000002</v>
      </c>
      <c r="E3" s="226">
        <f>'Income Statement'!E7</f>
        <v>23518</v>
      </c>
      <c r="F3" s="226">
        <f>'Income Statement'!F7</f>
        <v>29060.6</v>
      </c>
      <c r="G3" s="236">
        <f>'Income Statement'!G7</f>
        <v>33882.702999999994</v>
      </c>
      <c r="H3" s="236">
        <f>'Income Statement'!H7</f>
        <v>38555.619439999988</v>
      </c>
      <c r="I3" s="236">
        <f>'Income Statement'!I7</f>
        <v>41929.729632399991</v>
      </c>
      <c r="J3" s="236">
        <f>'Income Statement'!J7</f>
        <v>45532.521407911991</v>
      </c>
      <c r="K3" s="236">
        <f>'Income Statement'!K7</f>
        <v>49486.307401779515</v>
      </c>
    </row>
    <row r="4" spans="1:15">
      <c r="B4" s="88" t="s">
        <v>147</v>
      </c>
      <c r="E4" s="22">
        <f>+E3/D3-1</f>
        <v>-0.11281621813298337</v>
      </c>
      <c r="F4" s="22">
        <f t="shared" ref="F4:K4" si="1">+F3/E3-1</f>
        <v>0.23567480227910531</v>
      </c>
      <c r="G4" s="199">
        <f t="shared" si="1"/>
        <v>0.16593267172735571</v>
      </c>
      <c r="H4" s="199">
        <f t="shared" si="1"/>
        <v>0.13791451172003577</v>
      </c>
      <c r="I4" s="199">
        <f t="shared" si="1"/>
        <v>8.751279946755286E-2</v>
      </c>
      <c r="J4" s="199">
        <f t="shared" si="1"/>
        <v>8.5924517212437435E-2</v>
      </c>
      <c r="K4" s="199">
        <f t="shared" si="1"/>
        <v>8.6834330092260048E-2</v>
      </c>
    </row>
    <row r="5" spans="1:15">
      <c r="B5" s="225" t="s">
        <v>31</v>
      </c>
      <c r="D5" s="226">
        <f>'Income Statement'!D14</f>
        <v>19391.5</v>
      </c>
      <c r="E5" s="226">
        <f>'Income Statement'!E14</f>
        <v>18889.2</v>
      </c>
      <c r="F5" s="226">
        <f>'Income Statement'!F14</f>
        <v>21029.1</v>
      </c>
      <c r="G5" s="236">
        <f>'Income Statement'!G14</f>
        <v>24518.514747021738</v>
      </c>
      <c r="H5" s="236">
        <f>'Income Statement'!H14</f>
        <v>27899.973736457738</v>
      </c>
      <c r="I5" s="236">
        <f>'Income Statement'!I14</f>
        <v>30341.578543206357</v>
      </c>
      <c r="J5" s="236">
        <f>'Income Statement'!J14</f>
        <v>32948.664030994616</v>
      </c>
      <c r="K5" s="236">
        <f>'Income Statement'!K14</f>
        <v>35809.73919956098</v>
      </c>
    </row>
    <row r="6" spans="1:15">
      <c r="K6" s="116"/>
    </row>
    <row r="7" spans="1:15" s="4" customFormat="1">
      <c r="B7" s="88" t="str">
        <f>+'Balance Sheet'!B7</f>
        <v>Accounts receivable, net</v>
      </c>
      <c r="D7" s="94">
        <f>+'Balance Sheet'!D7</f>
        <v>879.2</v>
      </c>
      <c r="E7" s="94">
        <f>+'Balance Sheet'!E7</f>
        <v>883.4</v>
      </c>
      <c r="F7" s="94">
        <f>+'Balance Sheet'!F7</f>
        <v>940</v>
      </c>
      <c r="G7" s="53">
        <f>G$3*'Working Capital Forecast'!G8</f>
        <v>1095.9767114237143</v>
      </c>
      <c r="H7" s="53">
        <f>H$3*'Working Capital Forecast'!H8</f>
        <v>1247.1278044362466</v>
      </c>
      <c r="I7" s="53">
        <f>I$3*'Working Capital Forecast'!I8</f>
        <v>1356.2674498962854</v>
      </c>
      <c r="J7" s="53">
        <f>J$3*'Working Capital Forecast'!J8</f>
        <v>1472.8040757395672</v>
      </c>
      <c r="K7" s="53">
        <f>K$3*'Working Capital Forecast'!K8</f>
        <v>1600.6940310135628</v>
      </c>
    </row>
    <row r="8" spans="1:15" s="4" customFormat="1">
      <c r="B8" s="88" t="s">
        <v>150</v>
      </c>
      <c r="D8" s="52">
        <f t="shared" ref="D8:E8" si="2">D7/D$3</f>
        <v>3.3166594991813979E-2</v>
      </c>
      <c r="E8" s="52">
        <f t="shared" si="2"/>
        <v>3.7562717918190325E-2</v>
      </c>
      <c r="F8" s="52">
        <f>F7/F$3</f>
        <v>3.2346200697852073E-2</v>
      </c>
      <c r="G8" s="306">
        <f>+F8</f>
        <v>3.2346200697852073E-2</v>
      </c>
      <c r="H8" s="306">
        <f t="shared" ref="H8:K8" si="3">+G8</f>
        <v>3.2346200697852073E-2</v>
      </c>
      <c r="I8" s="306">
        <f t="shared" si="3"/>
        <v>3.2346200697852073E-2</v>
      </c>
      <c r="J8" s="306">
        <f t="shared" si="3"/>
        <v>3.2346200697852073E-2</v>
      </c>
      <c r="K8" s="306">
        <f t="shared" si="3"/>
        <v>3.2346200697852073E-2</v>
      </c>
      <c r="L8" s="51"/>
      <c r="M8" s="51"/>
      <c r="N8" s="51"/>
      <c r="O8" s="51"/>
    </row>
    <row r="9" spans="1:15" s="4" customFormat="1">
      <c r="B9" s="88" t="str">
        <f>+'Balance Sheet'!B8</f>
        <v>Inventories</v>
      </c>
      <c r="D9" s="94">
        <f>+'Balance Sheet'!D8</f>
        <v>1529.4</v>
      </c>
      <c r="E9" s="94">
        <f>+'Balance Sheet'!E8</f>
        <v>1551.4</v>
      </c>
      <c r="F9" s="94">
        <f>+'Balance Sheet'!F8</f>
        <v>1603.9</v>
      </c>
      <c r="G9" s="53">
        <f>G$5*'Working Capital Forecast'!G10</f>
        <v>1870.0394121835061</v>
      </c>
      <c r="H9" s="53">
        <f>H$5*'Working Capital Forecast'!H10</f>
        <v>2127.9449846120169</v>
      </c>
      <c r="I9" s="53">
        <f>I$5*'Working Capital Forecast'!I10</f>
        <v>2314.1674073283534</v>
      </c>
      <c r="J9" s="53">
        <f>J$5*'Working Capital Forecast'!J10</f>
        <v>2513.0111245518005</v>
      </c>
      <c r="K9" s="53">
        <f>K$5*'Working Capital Forecast'!K10</f>
        <v>2731.2267620666535</v>
      </c>
      <c r="L9" s="9"/>
      <c r="M9" s="9"/>
      <c r="N9" s="9"/>
      <c r="O9" s="9"/>
    </row>
    <row r="10" spans="1:15" s="4" customFormat="1">
      <c r="B10" s="88" t="s">
        <v>181</v>
      </c>
      <c r="D10" s="52">
        <f t="shared" ref="D10:E10" si="4">D9/D$5</f>
        <v>7.8869607817858345E-2</v>
      </c>
      <c r="E10" s="52">
        <f t="shared" si="4"/>
        <v>8.2131588420896601E-2</v>
      </c>
      <c r="F10" s="52">
        <f>F9/F$5</f>
        <v>7.6270501352887196E-2</v>
      </c>
      <c r="G10" s="306">
        <f>+F10</f>
        <v>7.6270501352887196E-2</v>
      </c>
      <c r="H10" s="306">
        <f t="shared" ref="H10:K10" si="5">+G10</f>
        <v>7.6270501352887196E-2</v>
      </c>
      <c r="I10" s="306">
        <f t="shared" si="5"/>
        <v>7.6270501352887196E-2</v>
      </c>
      <c r="J10" s="306">
        <f t="shared" si="5"/>
        <v>7.6270501352887196E-2</v>
      </c>
      <c r="K10" s="306">
        <f t="shared" si="5"/>
        <v>7.6270501352887196E-2</v>
      </c>
      <c r="L10" s="51"/>
      <c r="M10" s="51"/>
      <c r="N10" s="51"/>
      <c r="O10" s="51"/>
    </row>
    <row r="11" spans="1:15" s="4" customFormat="1">
      <c r="B11" s="88" t="str">
        <f>+'Balance Sheet'!B9</f>
        <v>Prepaid expenses and other current assets</v>
      </c>
      <c r="D11" s="94">
        <f>+'Balance Sheet'!D9</f>
        <v>488.2</v>
      </c>
      <c r="E11" s="94">
        <f>+'Balance Sheet'!E9</f>
        <v>739.5</v>
      </c>
      <c r="F11" s="94">
        <f>+'Balance Sheet'!F9</f>
        <v>594.6</v>
      </c>
      <c r="G11" s="53">
        <f>G$3*'Working Capital Forecast'!G12</f>
        <v>693.26356660908573</v>
      </c>
      <c r="H11" s="53">
        <f>H$3*'Working Capital Forecast'!H12</f>
        <v>788.87467289126835</v>
      </c>
      <c r="I11" s="53">
        <f>I$3*'Working Capital Forecast'!I12</f>
        <v>857.9113039450333</v>
      </c>
      <c r="J11" s="53">
        <f>J$3*'Working Capital Forecast'!J12</f>
        <v>931.62691854760294</v>
      </c>
      <c r="K11" s="53">
        <f>K$3*'Working Capital Forecast'!K12</f>
        <v>1012.5241179156005</v>
      </c>
      <c r="L11" s="9"/>
      <c r="M11" s="9"/>
      <c r="N11" s="9"/>
      <c r="O11" s="9"/>
    </row>
    <row r="12" spans="1:15" s="4" customFormat="1">
      <c r="B12" s="88" t="s">
        <v>171</v>
      </c>
      <c r="D12" s="52">
        <f t="shared" ref="D12:F12" si="6">D11/D$3</f>
        <v>1.8416664780486331E-2</v>
      </c>
      <c r="E12" s="52">
        <f t="shared" si="6"/>
        <v>3.1444000340164979E-2</v>
      </c>
      <c r="F12" s="52">
        <f t="shared" si="6"/>
        <v>2.046069248398175E-2</v>
      </c>
      <c r="G12" s="306">
        <f>+F12</f>
        <v>2.046069248398175E-2</v>
      </c>
      <c r="H12" s="306">
        <f t="shared" ref="H12:K12" si="7">+G12</f>
        <v>2.046069248398175E-2</v>
      </c>
      <c r="I12" s="306">
        <f t="shared" si="7"/>
        <v>2.046069248398175E-2</v>
      </c>
      <c r="J12" s="306">
        <f t="shared" si="7"/>
        <v>2.046069248398175E-2</v>
      </c>
      <c r="K12" s="306">
        <f t="shared" si="7"/>
        <v>2.046069248398175E-2</v>
      </c>
      <c r="L12" s="51"/>
      <c r="M12" s="51"/>
      <c r="N12" s="51"/>
      <c r="O12" s="51"/>
    </row>
    <row r="13" spans="1:15" s="4" customFormat="1">
      <c r="B13" s="88" t="str">
        <f>+'Balance Sheet'!B24</f>
        <v>Accounts payable</v>
      </c>
      <c r="D13" s="227">
        <f>+'Balance Sheet'!D24</f>
        <v>1189.7</v>
      </c>
      <c r="E13" s="227">
        <f>+'Balance Sheet'!E24</f>
        <v>997.9</v>
      </c>
      <c r="F13" s="227">
        <f>+'Balance Sheet'!F24</f>
        <v>1211.5999999999999</v>
      </c>
      <c r="G13" s="53">
        <f>G$5*'Working Capital Forecast'!G14</f>
        <v>1412.6440250648643</v>
      </c>
      <c r="H13" s="53">
        <f>H$5*'Working Capital Forecast'!H14</f>
        <v>1607.4681360159111</v>
      </c>
      <c r="I13" s="53">
        <f>I$5*'Working Capital Forecast'!I14</f>
        <v>1748.1421726535525</v>
      </c>
      <c r="J13" s="53">
        <f>J$5*'Working Capital Forecast'!J14</f>
        <v>1898.3504448575106</v>
      </c>
      <c r="K13" s="53">
        <f>K$5*'Working Capital Forecast'!K14</f>
        <v>2063.1924340170567</v>
      </c>
      <c r="L13" s="9"/>
      <c r="M13" s="9"/>
      <c r="N13" s="9"/>
      <c r="O13" s="9"/>
    </row>
    <row r="14" spans="1:15" s="4" customFormat="1">
      <c r="B14" s="88" t="s">
        <v>181</v>
      </c>
      <c r="D14" s="52">
        <f t="shared" ref="D14:F14" si="8">D13/D$5</f>
        <v>6.1351623133847309E-2</v>
      </c>
      <c r="E14" s="52">
        <f t="shared" si="8"/>
        <v>5.282912987315503E-2</v>
      </c>
      <c r="F14" s="52">
        <f t="shared" si="8"/>
        <v>5.761539961291734E-2</v>
      </c>
      <c r="G14" s="306">
        <f>+F14</f>
        <v>5.761539961291734E-2</v>
      </c>
      <c r="H14" s="306">
        <f t="shared" ref="H14:K14" si="9">+G14</f>
        <v>5.761539961291734E-2</v>
      </c>
      <c r="I14" s="306">
        <f t="shared" si="9"/>
        <v>5.761539961291734E-2</v>
      </c>
      <c r="J14" s="306">
        <f t="shared" si="9"/>
        <v>5.761539961291734E-2</v>
      </c>
      <c r="K14" s="306">
        <f t="shared" si="9"/>
        <v>5.761539961291734E-2</v>
      </c>
      <c r="L14" s="51"/>
      <c r="M14" s="51"/>
      <c r="N14" s="51"/>
      <c r="O14" s="51"/>
    </row>
    <row r="15" spans="1:15" s="4" customFormat="1">
      <c r="B15" s="88" t="str">
        <f>+'Balance Sheet'!B25</f>
        <v>Accrued liabilities</v>
      </c>
      <c r="D15" s="227">
        <f>+'Balance Sheet'!D25</f>
        <v>1753.7</v>
      </c>
      <c r="E15" s="227">
        <f>+'Balance Sheet'!E25</f>
        <v>1160.7</v>
      </c>
      <c r="F15" s="227">
        <f>+'Balance Sheet'!F25</f>
        <v>1973.2</v>
      </c>
      <c r="G15" s="53">
        <f>G$5*'Working Capital Forecast'!G16</f>
        <v>2300.6183478524185</v>
      </c>
      <c r="H15" s="53">
        <f>H$5*'Working Capital Forecast'!H16</f>
        <v>2617.90700395064</v>
      </c>
      <c r="I15" s="53">
        <f>I$5*'Working Capital Forecast'!I16</f>
        <v>2847.0073746120747</v>
      </c>
      <c r="J15" s="53">
        <f>J$5*'Working Capital Forecast'!J16</f>
        <v>3091.6351087758667</v>
      </c>
      <c r="K15" s="53">
        <f>K$5*'Working Capital Forecast'!K16</f>
        <v>3360.0951723361309</v>
      </c>
      <c r="L15" s="9"/>
      <c r="M15" s="9"/>
      <c r="N15" s="9"/>
      <c r="O15" s="9"/>
    </row>
    <row r="16" spans="1:15" s="4" customFormat="1">
      <c r="B16" s="88" t="s">
        <v>181</v>
      </c>
      <c r="D16" s="52">
        <f t="shared" ref="D16" si="10">D15/D$5</f>
        <v>9.0436531469973963E-2</v>
      </c>
      <c r="E16" s="52">
        <f t="shared" ref="E16" si="11">E15/E$5</f>
        <v>6.1447811447811446E-2</v>
      </c>
      <c r="F16" s="52">
        <f t="shared" ref="F16" si="12">F15/F$5</f>
        <v>9.3831880584523353E-2</v>
      </c>
      <c r="G16" s="306">
        <f>+F16</f>
        <v>9.3831880584523353E-2</v>
      </c>
      <c r="H16" s="306">
        <f t="shared" ref="H16:K16" si="13">+G16</f>
        <v>9.3831880584523353E-2</v>
      </c>
      <c r="I16" s="306">
        <f t="shared" si="13"/>
        <v>9.3831880584523353E-2</v>
      </c>
      <c r="J16" s="306">
        <f t="shared" si="13"/>
        <v>9.3831880584523353E-2</v>
      </c>
      <c r="K16" s="306">
        <f t="shared" si="13"/>
        <v>9.3831880584523353E-2</v>
      </c>
      <c r="L16" s="51"/>
      <c r="M16" s="51"/>
      <c r="N16" s="51"/>
      <c r="O16" s="51"/>
    </row>
    <row r="17" spans="2:15" s="4" customFormat="1" ht="30">
      <c r="B17" s="88" t="str">
        <f>+'Balance Sheet'!B29</f>
        <v>Stored value card liability and current portion of deferred revenue</v>
      </c>
      <c r="D17" s="227">
        <f>+'Balance Sheet'!D29</f>
        <v>1269</v>
      </c>
      <c r="E17" s="227">
        <f>+'Balance Sheet'!E29</f>
        <v>1456.5</v>
      </c>
      <c r="F17" s="227">
        <f>+'Balance Sheet'!F29</f>
        <v>1596.1</v>
      </c>
      <c r="G17" s="53">
        <f>+G3*G18</f>
        <v>1860.9451373440324</v>
      </c>
      <c r="H17" s="53">
        <f t="shared" ref="H17:J17" si="14">+H3*H18</f>
        <v>2117.5964772986099</v>
      </c>
      <c r="I17" s="53">
        <f t="shared" si="14"/>
        <v>2302.9132731696395</v>
      </c>
      <c r="J17" s="53">
        <f t="shared" si="14"/>
        <v>2500.7899843488549</v>
      </c>
      <c r="K17" s="53">
        <f t="shared" ref="K17" si="15">+K3*K18</f>
        <v>2717.944407341221</v>
      </c>
      <c r="L17" s="9"/>
      <c r="M17" s="9"/>
      <c r="N17" s="9"/>
      <c r="O17" s="9"/>
    </row>
    <row r="18" spans="2:15" s="4" customFormat="1">
      <c r="B18" s="88" t="s">
        <v>150</v>
      </c>
      <c r="D18" s="52">
        <f>+D17/D3</f>
        <v>4.7871256875127312E-2</v>
      </c>
      <c r="E18" s="52">
        <f t="shared" ref="E18:F18" si="16">+E17/E3</f>
        <v>6.1931286674036905E-2</v>
      </c>
      <c r="F18" s="52">
        <f t="shared" si="16"/>
        <v>5.4923160567916698E-2</v>
      </c>
      <c r="G18" s="306">
        <f>+F18</f>
        <v>5.4923160567916698E-2</v>
      </c>
      <c r="H18" s="306">
        <f t="shared" ref="H18:K18" si="17">+G18</f>
        <v>5.4923160567916698E-2</v>
      </c>
      <c r="I18" s="306">
        <f t="shared" si="17"/>
        <v>5.4923160567916698E-2</v>
      </c>
      <c r="J18" s="306">
        <f t="shared" si="17"/>
        <v>5.4923160567916698E-2</v>
      </c>
      <c r="K18" s="306">
        <f t="shared" si="17"/>
        <v>5.4923160567916698E-2</v>
      </c>
      <c r="L18" s="51"/>
      <c r="M18" s="51"/>
      <c r="N18" s="51"/>
      <c r="O18" s="51"/>
    </row>
    <row r="19" spans="2:15" s="4" customFormat="1">
      <c r="B19" s="88" t="s">
        <v>188</v>
      </c>
      <c r="D19" s="227">
        <f>+'Balance Sheet'!D27</f>
        <v>1291.7</v>
      </c>
      <c r="E19" s="227">
        <f>+'Balance Sheet'!E27</f>
        <v>98.2</v>
      </c>
      <c r="F19" s="227">
        <f>+'Balance Sheet'!F27</f>
        <v>348</v>
      </c>
      <c r="G19" s="53">
        <f>+F19*(1+G4)</f>
        <v>405.74456976111981</v>
      </c>
      <c r="H19" s="53">
        <f t="shared" ref="H19:K19" si="18">+G19*(1+H4)</f>
        <v>461.70263398278064</v>
      </c>
      <c r="I19" s="53">
        <f t="shared" si="18"/>
        <v>502.10752400415669</v>
      </c>
      <c r="J19" s="53">
        <f t="shared" si="18"/>
        <v>545.25087059294617</v>
      </c>
      <c r="K19" s="53">
        <f t="shared" si="18"/>
        <v>592.5973646731062</v>
      </c>
      <c r="L19" s="51"/>
      <c r="M19" s="51"/>
      <c r="N19" s="51"/>
      <c r="O19" s="51"/>
    </row>
    <row r="20" spans="2:15" s="4" customFormat="1">
      <c r="D20" s="52"/>
      <c r="E20" s="52"/>
      <c r="F20" s="52"/>
      <c r="G20" s="228"/>
      <c r="H20" s="228"/>
      <c r="I20" s="228"/>
      <c r="J20" s="228"/>
      <c r="K20" s="228"/>
      <c r="L20" s="51"/>
      <c r="M20" s="51"/>
      <c r="N20" s="51"/>
      <c r="O20" s="51"/>
    </row>
    <row r="21" spans="2:15" s="4" customFormat="1">
      <c r="D21" s="8"/>
      <c r="E21" s="50"/>
      <c r="F21" s="50"/>
      <c r="G21" s="14"/>
      <c r="H21" s="14"/>
      <c r="I21" s="14"/>
      <c r="J21" s="14"/>
      <c r="K21" s="14"/>
    </row>
    <row r="22" spans="2:15" s="4" customFormat="1">
      <c r="B22" s="3" t="s">
        <v>172</v>
      </c>
      <c r="D22" s="309">
        <f t="shared" ref="D22:K22" si="19">D7+D9+D11-D13-D15-D17-D19</f>
        <v>-2607.3000000000002</v>
      </c>
      <c r="E22" s="309">
        <f t="shared" si="19"/>
        <v>-539</v>
      </c>
      <c r="F22" s="309">
        <f t="shared" si="19"/>
        <v>-1990.3999999999999</v>
      </c>
      <c r="G22" s="309">
        <f t="shared" si="19"/>
        <v>-2320.6723898061286</v>
      </c>
      <c r="H22" s="309">
        <f t="shared" si="19"/>
        <v>-2640.7267893084104</v>
      </c>
      <c r="I22" s="309">
        <f t="shared" si="19"/>
        <v>-2871.8241832697518</v>
      </c>
      <c r="J22" s="309">
        <f t="shared" si="19"/>
        <v>-3118.5842897362077</v>
      </c>
      <c r="K22" s="309">
        <f t="shared" si="19"/>
        <v>-3389.3844673716981</v>
      </c>
      <c r="L22" s="9"/>
      <c r="M22" s="9"/>
      <c r="N22" s="9"/>
      <c r="O22" s="9"/>
    </row>
    <row r="23" spans="2:15" s="4" customFormat="1">
      <c r="D23" s="307"/>
      <c r="E23" s="307"/>
      <c r="F23" s="307"/>
      <c r="G23" s="308"/>
      <c r="H23" s="308"/>
      <c r="I23" s="308"/>
      <c r="J23" s="308"/>
      <c r="K23" s="308"/>
    </row>
    <row r="24" spans="2:15" s="3" customFormat="1">
      <c r="B24" s="215" t="s">
        <v>173</v>
      </c>
      <c r="C24" s="23"/>
      <c r="D24" s="310"/>
      <c r="E24" s="310">
        <f>+D22-E22</f>
        <v>-2068.3000000000002</v>
      </c>
      <c r="F24" s="310">
        <f>+E22-F22</f>
        <v>1451.3999999999999</v>
      </c>
      <c r="G24" s="310">
        <f t="shared" ref="G24:K24" si="20">+F22-G22</f>
        <v>330.27238980612879</v>
      </c>
      <c r="H24" s="310">
        <f t="shared" si="20"/>
        <v>320.05439950228174</v>
      </c>
      <c r="I24" s="310">
        <f t="shared" si="20"/>
        <v>231.09739396134137</v>
      </c>
      <c r="J24" s="310">
        <f t="shared" si="20"/>
        <v>246.76010646645591</v>
      </c>
      <c r="K24" s="310">
        <f t="shared" si="20"/>
        <v>270.8001776354904</v>
      </c>
      <c r="L24" s="55"/>
      <c r="M24" s="55"/>
      <c r="N24" s="55"/>
      <c r="O24" s="55"/>
    </row>
    <row r="25" spans="2:15" s="4" customFormat="1">
      <c r="D25" s="8"/>
      <c r="E25" s="8"/>
      <c r="F25" s="8"/>
      <c r="G25" s="229"/>
      <c r="H25" s="229"/>
      <c r="I25" s="229"/>
      <c r="J25" s="229"/>
      <c r="K25" s="53"/>
      <c r="L25" s="9"/>
      <c r="M25" s="9"/>
      <c r="N25" s="9"/>
      <c r="O25" s="9"/>
    </row>
    <row r="26" spans="2:15" s="4" customFormat="1">
      <c r="D26" s="8"/>
      <c r="E26" s="52"/>
      <c r="F26" s="52"/>
      <c r="G26" s="228"/>
      <c r="H26" s="228"/>
      <c r="I26" s="228"/>
      <c r="J26" s="228"/>
      <c r="K26" s="52"/>
      <c r="L26" s="51"/>
      <c r="M26" s="51"/>
      <c r="N26" s="51"/>
      <c r="O26" s="51"/>
    </row>
    <row r="27" spans="2:15" s="3" customFormat="1">
      <c r="D27" s="56"/>
      <c r="E27" s="56"/>
      <c r="F27" s="56"/>
      <c r="G27" s="230"/>
      <c r="H27" s="230"/>
      <c r="I27" s="230"/>
      <c r="J27" s="230"/>
      <c r="K27" s="56"/>
    </row>
    <row r="28" spans="2:15" s="4" customFormat="1">
      <c r="D28" s="8"/>
      <c r="E28" s="8"/>
      <c r="F28" s="8"/>
      <c r="G28" s="14"/>
      <c r="H28" s="14"/>
      <c r="I28" s="14"/>
      <c r="J28" s="14"/>
      <c r="K28" s="8"/>
    </row>
  </sheetData>
  <mergeCells count="2">
    <mergeCell ref="D1:F1"/>
    <mergeCell ref="G1:K1"/>
  </mergeCells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7"/>
  <sheetViews>
    <sheetView showGridLines="0"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J27" sqref="J27"/>
    </sheetView>
  </sheetViews>
  <sheetFormatPr defaultRowHeight="15" outlineLevelRow="1"/>
  <cols>
    <col min="1" max="1" width="20.85546875" style="1" customWidth="1"/>
    <col min="2" max="2" width="13.42578125" style="1" customWidth="1"/>
    <col min="3" max="3" width="16.140625" style="1" customWidth="1"/>
    <col min="4" max="4" width="18" style="1" customWidth="1"/>
    <col min="5" max="5" width="12.7109375" style="1" customWidth="1"/>
    <col min="6" max="6" width="12.7109375" style="15" customWidth="1"/>
    <col min="7" max="10" width="12.7109375" style="7" customWidth="1"/>
    <col min="11" max="11" width="12.7109375" style="1" customWidth="1"/>
    <col min="12" max="15" width="9.28515625" style="1" bestFit="1" customWidth="1"/>
    <col min="16" max="16384" width="9.140625" style="1"/>
  </cols>
  <sheetData>
    <row r="1" spans="1:15" ht="31.5">
      <c r="A1" s="122" t="s">
        <v>296</v>
      </c>
      <c r="B1" s="122"/>
      <c r="C1" s="231"/>
      <c r="D1" s="323" t="s">
        <v>293</v>
      </c>
      <c r="E1" s="323"/>
      <c r="F1" s="323"/>
      <c r="G1" s="323" t="s">
        <v>294</v>
      </c>
      <c r="H1" s="323"/>
      <c r="I1" s="323"/>
      <c r="J1" s="323"/>
      <c r="K1" s="323"/>
    </row>
    <row r="2" spans="1:15">
      <c r="A2" s="125" t="s">
        <v>295</v>
      </c>
      <c r="B2" s="125"/>
      <c r="C2" s="232"/>
      <c r="D2" s="111">
        <v>2019</v>
      </c>
      <c r="E2" s="111">
        <f t="shared" ref="E2:K2" si="0">D2+1</f>
        <v>2020</v>
      </c>
      <c r="F2" s="111">
        <f t="shared" si="0"/>
        <v>2021</v>
      </c>
      <c r="G2" s="111">
        <f t="shared" si="0"/>
        <v>2022</v>
      </c>
      <c r="H2" s="111">
        <f t="shared" si="0"/>
        <v>2023</v>
      </c>
      <c r="I2" s="111">
        <f t="shared" si="0"/>
        <v>2024</v>
      </c>
      <c r="J2" s="111">
        <f t="shared" si="0"/>
        <v>2025</v>
      </c>
      <c r="K2" s="111">
        <f t="shared" si="0"/>
        <v>2026</v>
      </c>
    </row>
    <row r="3" spans="1:15" s="2" customFormat="1">
      <c r="G3" s="116"/>
      <c r="H3" s="116"/>
      <c r="I3" s="116"/>
      <c r="J3" s="116"/>
    </row>
    <row r="4" spans="1:15" s="2" customFormat="1" hidden="1" outlineLevel="1">
      <c r="A4" s="2" t="s">
        <v>151</v>
      </c>
      <c r="E4" s="2">
        <v>46</v>
      </c>
      <c r="F4" s="2">
        <v>46.2</v>
      </c>
      <c r="G4" s="116"/>
      <c r="H4" s="116"/>
      <c r="I4" s="116"/>
      <c r="J4" s="116"/>
    </row>
    <row r="5" spans="1:15" s="2" customFormat="1" hidden="1" outlineLevel="1">
      <c r="A5" s="2" t="s">
        <v>152</v>
      </c>
      <c r="E5" s="2">
        <v>586.79999999999995</v>
      </c>
      <c r="F5" s="2">
        <v>587.6</v>
      </c>
      <c r="G5" s="116"/>
      <c r="H5" s="116"/>
      <c r="I5" s="116"/>
      <c r="J5" s="116"/>
    </row>
    <row r="6" spans="1:15" s="2" customFormat="1" hidden="1" outlineLevel="1">
      <c r="A6" s="2" t="s">
        <v>156</v>
      </c>
      <c r="E6" s="20">
        <v>8262.6</v>
      </c>
      <c r="F6" s="20">
        <v>8637.6</v>
      </c>
      <c r="G6" s="116"/>
      <c r="H6" s="116"/>
      <c r="I6" s="116"/>
      <c r="J6" s="116"/>
    </row>
    <row r="7" spans="1:15" s="2" customFormat="1" hidden="1" outlineLevel="1">
      <c r="A7" s="2" t="s">
        <v>157</v>
      </c>
      <c r="E7" s="20">
        <v>2800.3</v>
      </c>
      <c r="F7" s="20">
        <v>2934.1</v>
      </c>
      <c r="G7" s="116"/>
      <c r="H7" s="116"/>
      <c r="I7" s="116"/>
      <c r="J7" s="116"/>
    </row>
    <row r="8" spans="1:15" s="2" customFormat="1" hidden="1" outlineLevel="1">
      <c r="A8" s="2" t="s">
        <v>158</v>
      </c>
      <c r="E8" s="2">
        <v>796.6</v>
      </c>
      <c r="F8" s="2">
        <v>857.2</v>
      </c>
      <c r="G8" s="116"/>
      <c r="H8" s="116"/>
      <c r="I8" s="116"/>
      <c r="J8" s="116"/>
    </row>
    <row r="9" spans="1:15" s="2" customFormat="1" hidden="1" outlineLevel="1">
      <c r="A9" s="2" t="s">
        <v>159</v>
      </c>
      <c r="E9" s="20">
        <v>1285.7</v>
      </c>
      <c r="F9" s="20">
        <v>1392</v>
      </c>
      <c r="G9" s="116"/>
      <c r="H9" s="116"/>
      <c r="I9" s="116"/>
      <c r="J9" s="116"/>
    </row>
    <row r="10" spans="1:15" s="2" customFormat="1" hidden="1" outlineLevel="1">
      <c r="A10" s="2" t="s">
        <v>160</v>
      </c>
      <c r="E10" s="2">
        <v>377.3</v>
      </c>
      <c r="F10" s="2">
        <v>374.1</v>
      </c>
      <c r="G10" s="116"/>
      <c r="H10" s="116"/>
      <c r="I10" s="116"/>
      <c r="J10" s="116"/>
    </row>
    <row r="11" spans="1:15" s="2" customFormat="1" outlineLevel="1">
      <c r="A11" s="88" t="s">
        <v>23</v>
      </c>
      <c r="D11" s="226">
        <f>+'Income Statement'!D7</f>
        <v>26508.600000000002</v>
      </c>
      <c r="E11" s="226">
        <f>+'Income Statement'!E7</f>
        <v>23518</v>
      </c>
      <c r="F11" s="226">
        <f>+'Income Statement'!F7</f>
        <v>29060.6</v>
      </c>
      <c r="G11" s="236">
        <f>+'Income Statement'!G7</f>
        <v>33882.702999999994</v>
      </c>
      <c r="H11" s="236">
        <f>+'Income Statement'!H7</f>
        <v>38555.619439999988</v>
      </c>
      <c r="I11" s="236">
        <f>+'Income Statement'!I7</f>
        <v>41929.729632399991</v>
      </c>
      <c r="J11" s="236">
        <f>+'Income Statement'!J7</f>
        <v>45532.521407911991</v>
      </c>
      <c r="K11" s="236">
        <f>+'Income Statement'!K7</f>
        <v>49486.307401779515</v>
      </c>
    </row>
    <row r="12" spans="1:15" s="2" customFormat="1" outlineLevel="1">
      <c r="G12" s="116"/>
      <c r="H12" s="116"/>
      <c r="I12" s="116"/>
      <c r="J12" s="116"/>
      <c r="K12" s="116"/>
    </row>
    <row r="13" spans="1:15" s="49" customFormat="1">
      <c r="A13" s="88" t="s">
        <v>153</v>
      </c>
      <c r="D13" s="2">
        <v>14273.5</v>
      </c>
      <c r="E13" s="20">
        <v>14155.3</v>
      </c>
      <c r="F13" s="20">
        <v>14828.8</v>
      </c>
      <c r="G13" s="20">
        <f>+F13+G17</f>
        <v>16542.721027439213</v>
      </c>
      <c r="H13" s="20">
        <f t="shared" ref="H13:K13" si="1">+G13+H17</f>
        <v>18493.016636504406</v>
      </c>
      <c r="I13" s="20">
        <f t="shared" si="1"/>
        <v>20613.988074108172</v>
      </c>
      <c r="J13" s="20">
        <f t="shared" si="1"/>
        <v>22917.20295850941</v>
      </c>
      <c r="K13" s="20">
        <f t="shared" si="1"/>
        <v>25420.415964456151</v>
      </c>
      <c r="L13" s="113"/>
      <c r="M13" s="113"/>
      <c r="N13" s="113"/>
      <c r="O13" s="113"/>
    </row>
    <row r="14" spans="1:15" s="2" customFormat="1" ht="15.75" customHeight="1">
      <c r="A14" s="253" t="s">
        <v>155</v>
      </c>
      <c r="D14" s="2">
        <v>-7841.8</v>
      </c>
      <c r="E14" s="20">
        <v>-7913.9</v>
      </c>
      <c r="F14" s="20">
        <v>-8459.2999999999993</v>
      </c>
      <c r="G14" s="20">
        <f>+F14-G126</f>
        <v>-10085.291248526832</v>
      </c>
      <c r="H14" s="20">
        <f>+G14-H126</f>
        <v>-11901.199465964781</v>
      </c>
      <c r="I14" s="20">
        <f>+H14-I126</f>
        <v>-13928.122144018436</v>
      </c>
      <c r="J14" s="20">
        <f>+I14-J126</f>
        <v>-16184.351148505557</v>
      </c>
      <c r="K14" s="20">
        <f>+J14-K126</f>
        <v>-18689.698124657025</v>
      </c>
      <c r="L14" s="20"/>
      <c r="M14" s="20"/>
      <c r="N14" s="20"/>
      <c r="O14" s="20"/>
    </row>
    <row r="15" spans="1:15" s="49" customFormat="1">
      <c r="A15" s="254" t="s">
        <v>154</v>
      </c>
      <c r="B15" s="25"/>
      <c r="C15" s="25"/>
      <c r="D15" s="25">
        <v>6431.7</v>
      </c>
      <c r="E15" s="115">
        <v>6241.4</v>
      </c>
      <c r="F15" s="115">
        <v>6369.5</v>
      </c>
      <c r="G15" s="115">
        <f>+G13+G14</f>
        <v>6457.4297789123812</v>
      </c>
      <c r="H15" s="115">
        <f t="shared" ref="H15:J15" si="2">+H13+H14</f>
        <v>6591.8171705396253</v>
      </c>
      <c r="I15" s="115">
        <f t="shared" si="2"/>
        <v>6685.8659300897361</v>
      </c>
      <c r="J15" s="115">
        <f t="shared" si="2"/>
        <v>6732.8518100038527</v>
      </c>
      <c r="K15" s="115">
        <f t="shared" ref="K15" si="3">+K13+K14</f>
        <v>6730.7178397991265</v>
      </c>
      <c r="L15" s="113"/>
      <c r="M15" s="113"/>
      <c r="N15" s="113"/>
      <c r="O15" s="113"/>
    </row>
    <row r="16" spans="1:15" s="2" customFormat="1">
      <c r="G16" s="205"/>
      <c r="H16" s="116"/>
      <c r="I16" s="116"/>
      <c r="J16" s="116"/>
      <c r="K16" s="116"/>
    </row>
    <row r="17" spans="1:15" s="2" customFormat="1">
      <c r="A17" s="88" t="s">
        <v>127</v>
      </c>
      <c r="D17" s="226">
        <f>+-'Cash Flow Stat'!D31</f>
        <v>1806.6</v>
      </c>
      <c r="E17" s="226">
        <f>+-'Cash Flow Stat'!E31</f>
        <v>1483.6</v>
      </c>
      <c r="F17" s="226">
        <f>+-'Cash Flow Stat'!F31</f>
        <v>1470</v>
      </c>
      <c r="G17" s="236">
        <f>+G18*G11</f>
        <v>1713.921027439213</v>
      </c>
      <c r="H17" s="236">
        <f t="shared" ref="H17:J17" si="4">+H18*H11</f>
        <v>1950.2956090651942</v>
      </c>
      <c r="I17" s="236">
        <f t="shared" si="4"/>
        <v>2120.9714376037655</v>
      </c>
      <c r="J17" s="236">
        <f t="shared" si="4"/>
        <v>2303.2148844012386</v>
      </c>
      <c r="K17" s="236">
        <f t="shared" ref="K17" si="5">+K18*K11</f>
        <v>2503.2130059467418</v>
      </c>
      <c r="L17" s="20"/>
      <c r="M17" s="20"/>
      <c r="N17" s="20"/>
      <c r="O17" s="20"/>
    </row>
    <row r="18" spans="1:15" s="256" customFormat="1">
      <c r="A18" s="88" t="s">
        <v>161</v>
      </c>
      <c r="D18" s="263">
        <f>+D17/D11</f>
        <v>6.8151467825535855E-2</v>
      </c>
      <c r="E18" s="263">
        <f t="shared" ref="E18:F18" si="6">+E17/E11</f>
        <v>6.3083595543838758E-2</v>
      </c>
      <c r="F18" s="263">
        <f t="shared" si="6"/>
        <v>5.058395215515165E-2</v>
      </c>
      <c r="G18" s="263">
        <f>F18</f>
        <v>5.058395215515165E-2</v>
      </c>
      <c r="H18" s="263">
        <f t="shared" ref="H18:K18" si="7">G18</f>
        <v>5.058395215515165E-2</v>
      </c>
      <c r="I18" s="263">
        <f t="shared" si="7"/>
        <v>5.058395215515165E-2</v>
      </c>
      <c r="J18" s="263">
        <f t="shared" si="7"/>
        <v>5.058395215515165E-2</v>
      </c>
      <c r="K18" s="263">
        <f t="shared" si="7"/>
        <v>5.058395215515165E-2</v>
      </c>
      <c r="L18" s="257"/>
      <c r="M18" s="257"/>
      <c r="N18" s="257"/>
      <c r="O18" s="257"/>
    </row>
    <row r="19" spans="1:15" s="256" customFormat="1">
      <c r="A19" s="255"/>
      <c r="G19" s="258"/>
      <c r="H19" s="258"/>
      <c r="I19" s="258"/>
      <c r="J19" s="258"/>
      <c r="K19" s="258"/>
    </row>
    <row r="20" spans="1:15" s="256" customFormat="1" ht="15" customHeight="1">
      <c r="A20" s="253" t="s">
        <v>323</v>
      </c>
      <c r="D20" s="237">
        <f>+'Cash Flow Stat'!D6</f>
        <v>1449.3</v>
      </c>
      <c r="E20" s="237">
        <f>+'Cash Flow Stat'!E6</f>
        <v>1503.2</v>
      </c>
      <c r="F20" s="237">
        <f>+'Cash Flow Stat'!F6</f>
        <v>1524.1</v>
      </c>
      <c r="G20" s="259">
        <f>G126+G25</f>
        <v>1820.2912485268325</v>
      </c>
      <c r="H20" s="259">
        <f t="shared" ref="H20:J20" si="8">H126+H25</f>
        <v>1836.9082174379487</v>
      </c>
      <c r="I20" s="259">
        <f t="shared" si="8"/>
        <v>2047.3226780536563</v>
      </c>
      <c r="J20" s="259">
        <f t="shared" si="8"/>
        <v>2270.6290044871207</v>
      </c>
      <c r="K20" s="259">
        <f t="shared" ref="K20" si="9">K126+K25</f>
        <v>2506.7469761514681</v>
      </c>
    </row>
    <row r="21" spans="1:15" s="256" customFormat="1">
      <c r="A21" s="88"/>
      <c r="G21" s="258"/>
      <c r="H21" s="258"/>
      <c r="I21" s="258"/>
      <c r="J21" s="258"/>
      <c r="K21" s="258"/>
    </row>
    <row r="22" spans="1:15" s="256" customFormat="1" ht="16.5" customHeight="1">
      <c r="A22" s="253" t="s">
        <v>164</v>
      </c>
      <c r="D22" s="256">
        <f>+D20-D25</f>
        <v>1216.5</v>
      </c>
      <c r="E22" s="256">
        <f>+E20-E25</f>
        <v>1279.5</v>
      </c>
      <c r="F22" s="256">
        <f>+F20-F25</f>
        <v>1300.6999999999998</v>
      </c>
      <c r="G22" s="260">
        <f>G126</f>
        <v>1625.9912485268326</v>
      </c>
      <c r="H22" s="260">
        <f t="shared" ref="H22:J22" si="10">H126</f>
        <v>1815.9082174379487</v>
      </c>
      <c r="I22" s="260">
        <f t="shared" si="10"/>
        <v>2026.9226780536562</v>
      </c>
      <c r="J22" s="260">
        <f t="shared" si="10"/>
        <v>2256.2290044871206</v>
      </c>
      <c r="K22" s="260">
        <f t="shared" ref="K22" si="11">K126</f>
        <v>2505.346976151468</v>
      </c>
      <c r="L22" s="260"/>
      <c r="M22" s="260"/>
      <c r="N22" s="260"/>
      <c r="O22" s="260"/>
    </row>
    <row r="23" spans="1:15" s="256" customFormat="1">
      <c r="A23" s="88" t="s">
        <v>162</v>
      </c>
      <c r="E23" s="263">
        <f>+E22/AVERAGE(D13,E13)</f>
        <v>9.0014351643403878E-2</v>
      </c>
      <c r="F23" s="263">
        <f>+F22/AVERAGE(E13,F13)</f>
        <v>8.9752657491521212E-2</v>
      </c>
      <c r="G23" s="263">
        <f t="shared" ref="G23:K23" si="12">+G22/AVERAGE(F13,G13)</f>
        <v>0.10366033875785963</v>
      </c>
      <c r="H23" s="263">
        <f t="shared" si="12"/>
        <v>0.10366033875785964</v>
      </c>
      <c r="I23" s="263">
        <f t="shared" si="12"/>
        <v>0.10366033875785964</v>
      </c>
      <c r="J23" s="263">
        <f t="shared" si="12"/>
        <v>0.10366033875785965</v>
      </c>
      <c r="K23" s="263">
        <f t="shared" si="12"/>
        <v>0.10366033875785964</v>
      </c>
      <c r="L23" s="257"/>
      <c r="M23" s="257"/>
      <c r="N23" s="257"/>
      <c r="O23" s="257"/>
    </row>
    <row r="24" spans="1:15" s="256" customFormat="1">
      <c r="A24" s="88"/>
      <c r="G24" s="258"/>
      <c r="H24" s="258"/>
      <c r="I24" s="258"/>
      <c r="J24" s="258"/>
      <c r="K24" s="258"/>
    </row>
    <row r="25" spans="1:15" s="256" customFormat="1" ht="16.5" customHeight="1">
      <c r="A25" s="253" t="s">
        <v>163</v>
      </c>
      <c r="D25" s="256">
        <v>232.8</v>
      </c>
      <c r="E25" s="256">
        <v>223.7</v>
      </c>
      <c r="F25" s="256">
        <v>223.4</v>
      </c>
      <c r="G25" s="261">
        <v>194.3</v>
      </c>
      <c r="H25" s="261">
        <v>21</v>
      </c>
      <c r="I25" s="261">
        <v>20.399999999999999</v>
      </c>
      <c r="J25" s="261">
        <v>14.4</v>
      </c>
      <c r="K25" s="261">
        <v>1.4</v>
      </c>
      <c r="L25" s="262"/>
    </row>
    <row r="26" spans="1:15" s="2" customFormat="1">
      <c r="G26" s="116"/>
      <c r="H26" s="116"/>
      <c r="I26" s="116"/>
      <c r="J26" s="116"/>
      <c r="K26" s="116"/>
    </row>
    <row r="27" spans="1:15" s="2" customFormat="1" ht="16.5" customHeight="1">
      <c r="B27" s="250" t="s">
        <v>244</v>
      </c>
      <c r="C27" s="267" t="s">
        <v>242</v>
      </c>
      <c r="D27" s="250" t="s">
        <v>245</v>
      </c>
      <c r="G27" s="205"/>
      <c r="H27" s="116"/>
      <c r="I27" s="116"/>
      <c r="J27" s="116"/>
      <c r="K27" s="116"/>
    </row>
    <row r="28" spans="1:15" s="2" customFormat="1">
      <c r="A28" s="2" t="s">
        <v>243</v>
      </c>
      <c r="B28" s="251">
        <v>8637.6</v>
      </c>
      <c r="C28" s="2">
        <v>10</v>
      </c>
      <c r="D28" s="22">
        <f>B28/$B$35</f>
        <v>0.58248813120414322</v>
      </c>
      <c r="G28" s="116"/>
      <c r="H28" s="116"/>
      <c r="I28" s="116"/>
      <c r="J28" s="116"/>
      <c r="K28" s="116"/>
    </row>
    <row r="29" spans="1:15" s="2" customFormat="1">
      <c r="A29" s="2" t="s">
        <v>238</v>
      </c>
      <c r="B29" s="251">
        <v>1392</v>
      </c>
      <c r="C29" s="2">
        <f>(2+15)/2</f>
        <v>8.5</v>
      </c>
      <c r="D29" s="22">
        <f t="shared" ref="D29:D34" si="13">B29/$B$35</f>
        <v>9.3871385412170896E-2</v>
      </c>
      <c r="G29" s="116"/>
      <c r="H29" s="116"/>
      <c r="I29" s="116"/>
      <c r="J29" s="116"/>
      <c r="K29" s="116"/>
    </row>
    <row r="30" spans="1:15" s="2" customFormat="1">
      <c r="A30" s="2" t="s">
        <v>239</v>
      </c>
      <c r="B30" s="251">
        <v>2934.1</v>
      </c>
      <c r="C30" s="2">
        <f t="shared" ref="C30:C31" si="14">(2+15)/2</f>
        <v>8.5</v>
      </c>
      <c r="D30" s="22">
        <f t="shared" si="13"/>
        <v>0.19786496547259383</v>
      </c>
      <c r="G30" s="116"/>
      <c r="H30" s="116"/>
      <c r="I30" s="116"/>
      <c r="J30" s="116"/>
      <c r="K30" s="116"/>
    </row>
    <row r="31" spans="1:15" s="2" customFormat="1">
      <c r="A31" s="2" t="s">
        <v>240</v>
      </c>
      <c r="B31" s="251">
        <v>857.2</v>
      </c>
      <c r="C31" s="2">
        <f t="shared" si="14"/>
        <v>8.5</v>
      </c>
      <c r="D31" s="22">
        <f t="shared" si="13"/>
        <v>5.7806430729391449E-2</v>
      </c>
      <c r="G31" s="116"/>
      <c r="H31" s="116"/>
      <c r="I31" s="116"/>
      <c r="J31" s="116"/>
      <c r="K31" s="116"/>
    </row>
    <row r="32" spans="1:15" s="2" customFormat="1">
      <c r="A32" s="2" t="s">
        <v>152</v>
      </c>
      <c r="B32" s="251">
        <v>587.6</v>
      </c>
      <c r="C32" s="2">
        <v>30</v>
      </c>
      <c r="D32" s="22">
        <f t="shared" si="13"/>
        <v>3.9625593439792828E-2</v>
      </c>
      <c r="G32" s="116"/>
      <c r="H32" s="116"/>
      <c r="I32" s="116"/>
      <c r="J32" s="116"/>
      <c r="K32" s="116"/>
    </row>
    <row r="33" spans="1:11" s="2" customFormat="1">
      <c r="A33" s="2" t="s">
        <v>241</v>
      </c>
      <c r="B33" s="251">
        <v>374.1</v>
      </c>
      <c r="C33" s="2">
        <f>+C31</f>
        <v>8.5</v>
      </c>
      <c r="D33" s="22">
        <f t="shared" si="13"/>
        <v>2.5227934829520928E-2</v>
      </c>
      <c r="G33" s="116"/>
      <c r="H33" s="116"/>
      <c r="I33" s="116"/>
      <c r="J33" s="116"/>
      <c r="K33" s="116"/>
    </row>
    <row r="34" spans="1:11" s="2" customFormat="1">
      <c r="A34" s="2" t="s">
        <v>151</v>
      </c>
      <c r="B34" s="251">
        <v>46.2</v>
      </c>
      <c r="D34" s="22">
        <f t="shared" si="13"/>
        <v>3.1155589123867066E-3</v>
      </c>
      <c r="G34" s="116"/>
      <c r="H34" s="116"/>
      <c r="I34" s="116"/>
      <c r="J34" s="116"/>
      <c r="K34" s="116"/>
    </row>
    <row r="35" spans="1:11" s="2" customFormat="1">
      <c r="A35" s="49" t="s">
        <v>19</v>
      </c>
      <c r="B35" s="252">
        <f>SUM(B28:B34)</f>
        <v>14828.800000000003</v>
      </c>
      <c r="C35" s="49"/>
      <c r="G35" s="116"/>
      <c r="H35" s="116"/>
      <c r="I35" s="116"/>
      <c r="J35" s="116"/>
      <c r="K35" s="116"/>
    </row>
    <row r="36" spans="1:11" s="2" customFormat="1">
      <c r="G36" s="116"/>
      <c r="H36" s="116"/>
      <c r="I36" s="116"/>
      <c r="J36" s="116"/>
      <c r="K36" s="116"/>
    </row>
    <row r="37" spans="1:11" s="2" customFormat="1">
      <c r="A37" s="265" t="s">
        <v>246</v>
      </c>
      <c r="F37" s="245" t="s">
        <v>247</v>
      </c>
      <c r="G37" s="245" t="s">
        <v>248</v>
      </c>
      <c r="H37" s="245" t="s">
        <v>249</v>
      </c>
      <c r="I37" s="245" t="s">
        <v>250</v>
      </c>
      <c r="J37" s="245" t="s">
        <v>251</v>
      </c>
      <c r="K37" s="245" t="s">
        <v>307</v>
      </c>
    </row>
    <row r="38" spans="1:11" s="2" customFormat="1">
      <c r="A38" s="2" t="s">
        <v>243</v>
      </c>
      <c r="F38" s="251">
        <f>+B28-8262.6</f>
        <v>375</v>
      </c>
      <c r="G38" s="20">
        <f t="shared" ref="G38:J44" si="15">+G$17*$D28</f>
        <v>998.33865630455227</v>
      </c>
      <c r="H38" s="20">
        <f t="shared" si="15"/>
        <v>1136.0240446200312</v>
      </c>
      <c r="I38" s="20">
        <f t="shared" si="15"/>
        <v>1235.4406890271823</v>
      </c>
      <c r="J38" s="20">
        <f t="shared" si="15"/>
        <v>1341.5953337764442</v>
      </c>
      <c r="K38" s="20">
        <f t="shared" ref="K38" si="16">+K$17*$D28</f>
        <v>1458.0918658398234</v>
      </c>
    </row>
    <row r="39" spans="1:11" s="2" customFormat="1">
      <c r="A39" s="2" t="s">
        <v>238</v>
      </c>
      <c r="F39" s="251">
        <f>+B29-1285.7</f>
        <v>106.29999999999995</v>
      </c>
      <c r="G39" s="20">
        <f t="shared" si="15"/>
        <v>160.88814133277029</v>
      </c>
      <c r="H39" s="20">
        <f t="shared" si="15"/>
        <v>183.07695078622342</v>
      </c>
      <c r="I39" s="20">
        <f t="shared" si="15"/>
        <v>199.09852726750924</v>
      </c>
      <c r="J39" s="20">
        <f t="shared" si="15"/>
        <v>216.20597210067731</v>
      </c>
      <c r="K39" s="20">
        <f t="shared" ref="K39" si="17">+K$17*$D29</f>
        <v>234.98007284998545</v>
      </c>
    </row>
    <row r="40" spans="1:11" s="2" customFormat="1">
      <c r="A40" s="2" t="s">
        <v>239</v>
      </c>
      <c r="F40" s="251">
        <f>+B30-2800.3</f>
        <v>133.79999999999973</v>
      </c>
      <c r="G40" s="20">
        <f t="shared" si="15"/>
        <v>339.12492491701244</v>
      </c>
      <c r="H40" s="20">
        <f t="shared" si="15"/>
        <v>385.89517334903599</v>
      </c>
      <c r="I40" s="20">
        <f t="shared" si="15"/>
        <v>419.66594026982676</v>
      </c>
      <c r="J40" s="20">
        <f t="shared" si="15"/>
        <v>455.72553357801524</v>
      </c>
      <c r="K40" s="20">
        <f t="shared" ref="K40" si="18">+K$17*$D30</f>
        <v>495.2981549921999</v>
      </c>
    </row>
    <row r="41" spans="1:11" s="2" customFormat="1">
      <c r="A41" s="2" t="s">
        <v>240</v>
      </c>
      <c r="F41" s="251">
        <f>+B31-796.6</f>
        <v>60.600000000000023</v>
      </c>
      <c r="G41" s="20">
        <f t="shared" si="15"/>
        <v>99.075657148312288</v>
      </c>
      <c r="H41" s="20">
        <f t="shared" si="15"/>
        <v>112.73962802726345</v>
      </c>
      <c r="I41" s="20">
        <f t="shared" si="15"/>
        <v>122.60578848685986</v>
      </c>
      <c r="J41" s="20">
        <f t="shared" si="15"/>
        <v>133.14063167004352</v>
      </c>
      <c r="K41" s="20">
        <f t="shared" ref="K41" si="19">+K$17*$D31</f>
        <v>144.70180922917208</v>
      </c>
    </row>
    <row r="42" spans="1:11" s="2" customFormat="1">
      <c r="A42" s="2" t="s">
        <v>152</v>
      </c>
      <c r="F42" s="251">
        <f>+B32-586.8</f>
        <v>0.80000000000006821</v>
      </c>
      <c r="G42" s="20">
        <f t="shared" si="15"/>
        <v>67.915137821218266</v>
      </c>
      <c r="H42" s="20">
        <f t="shared" si="15"/>
        <v>77.281620892230521</v>
      </c>
      <c r="I42" s="20">
        <f t="shared" si="15"/>
        <v>84.044751883899735</v>
      </c>
      <c r="J42" s="20">
        <f t="shared" si="15"/>
        <v>91.26625661376292</v>
      </c>
      <c r="K42" s="20">
        <f t="shared" ref="K42" si="20">+K$17*$D32</f>
        <v>99.1913008668473</v>
      </c>
    </row>
    <row r="43" spans="1:11" s="2" customFormat="1">
      <c r="A43" s="2" t="s">
        <v>241</v>
      </c>
      <c r="F43" s="251">
        <v>0</v>
      </c>
      <c r="G43" s="20">
        <f t="shared" si="15"/>
        <v>43.238687983182018</v>
      </c>
      <c r="H43" s="20">
        <f t="shared" si="15"/>
        <v>49.201930523797543</v>
      </c>
      <c r="I43" s="20">
        <f t="shared" si="15"/>
        <v>53.507729203143107</v>
      </c>
      <c r="J43" s="20">
        <f t="shared" si="15"/>
        <v>58.105355002057024</v>
      </c>
      <c r="K43" s="20">
        <f t="shared" ref="K43" si="21">+K$17*$D33</f>
        <v>63.150894578433586</v>
      </c>
    </row>
    <row r="44" spans="1:11" s="2" customFormat="1">
      <c r="A44" s="2" t="s">
        <v>151</v>
      </c>
      <c r="F44" s="2">
        <v>0.2</v>
      </c>
      <c r="G44" s="20">
        <f t="shared" si="15"/>
        <v>5.3398219321652212</v>
      </c>
      <c r="H44" s="20">
        <f t="shared" si="15"/>
        <v>6.0762608666117259</v>
      </c>
      <c r="I44" s="20">
        <f t="shared" si="15"/>
        <v>6.6080114653440569</v>
      </c>
      <c r="J44" s="20">
        <f t="shared" si="15"/>
        <v>7.1758016602379966</v>
      </c>
      <c r="K44" s="20">
        <f t="shared" ref="K44" si="22">+K$17*$D34</f>
        <v>7.7989075902796889</v>
      </c>
    </row>
    <row r="45" spans="1:11" s="49" customFormat="1">
      <c r="A45" s="254" t="s">
        <v>19</v>
      </c>
      <c r="B45" s="25"/>
      <c r="C45" s="25"/>
      <c r="D45" s="25"/>
      <c r="E45" s="25"/>
      <c r="F45" s="264">
        <f>SUM(F38:F44)</f>
        <v>676.69999999999982</v>
      </c>
      <c r="G45" s="264">
        <f t="shared" ref="G45" si="23">SUM(G38:G44)</f>
        <v>1713.9210274392128</v>
      </c>
      <c r="H45" s="264">
        <f t="shared" ref="H45" si="24">SUM(H38:H44)</f>
        <v>1950.2956090651937</v>
      </c>
      <c r="I45" s="264">
        <f t="shared" ref="I45" si="25">SUM(I38:I44)</f>
        <v>2120.9714376037655</v>
      </c>
      <c r="J45" s="264">
        <f t="shared" ref="J45:K45" si="26">SUM(J38:J44)</f>
        <v>2303.2148844012381</v>
      </c>
      <c r="K45" s="264">
        <f t="shared" si="26"/>
        <v>2503.2130059467409</v>
      </c>
    </row>
    <row r="46" spans="1:11" s="2" customFormat="1">
      <c r="G46" s="116"/>
      <c r="H46" s="116"/>
      <c r="I46" s="116"/>
      <c r="J46" s="116"/>
      <c r="K46" s="116"/>
    </row>
    <row r="47" spans="1:11" s="2" customFormat="1">
      <c r="A47" s="49" t="s">
        <v>252</v>
      </c>
      <c r="G47" s="116"/>
      <c r="H47" s="116"/>
      <c r="I47" s="116"/>
      <c r="J47" s="116"/>
      <c r="K47" s="116"/>
    </row>
    <row r="48" spans="1:11" s="2" customFormat="1">
      <c r="A48" s="2" t="s">
        <v>253</v>
      </c>
      <c r="B48" s="2">
        <f>+C28</f>
        <v>10</v>
      </c>
      <c r="G48" s="116"/>
      <c r="H48" s="116"/>
      <c r="I48" s="116"/>
      <c r="J48" s="116"/>
      <c r="K48" s="116"/>
    </row>
    <row r="49" spans="1:12" s="2" customFormat="1">
      <c r="A49" s="2" t="s">
        <v>254</v>
      </c>
      <c r="B49" s="251">
        <f>+B28</f>
        <v>8637.6</v>
      </c>
      <c r="G49" s="2">
        <f>+$B49/$B48</f>
        <v>863.76</v>
      </c>
      <c r="H49" s="2">
        <f t="shared" ref="H49:J49" si="27">+$B49/$B48</f>
        <v>863.76</v>
      </c>
      <c r="I49" s="2">
        <f t="shared" si="27"/>
        <v>863.76</v>
      </c>
      <c r="J49" s="2">
        <f t="shared" si="27"/>
        <v>863.76</v>
      </c>
      <c r="K49" s="2">
        <f t="shared" ref="K49" si="28">+$B49/$B48</f>
        <v>863.76</v>
      </c>
    </row>
    <row r="50" spans="1:12" s="2" customFormat="1">
      <c r="A50" s="2" t="s">
        <v>164</v>
      </c>
      <c r="G50" s="116"/>
      <c r="H50" s="116"/>
      <c r="I50" s="116"/>
      <c r="J50" s="116"/>
      <c r="K50" s="116"/>
    </row>
    <row r="51" spans="1:12" s="2" customFormat="1">
      <c r="G51" s="116"/>
      <c r="H51" s="116"/>
      <c r="I51" s="116"/>
      <c r="J51" s="116"/>
      <c r="K51" s="116"/>
    </row>
    <row r="52" spans="1:12" s="2" customFormat="1">
      <c r="A52" s="245" t="s">
        <v>166</v>
      </c>
      <c r="B52" s="245" t="s">
        <v>127</v>
      </c>
      <c r="C52" s="245" t="s">
        <v>242</v>
      </c>
      <c r="G52" s="116"/>
      <c r="H52" s="116"/>
      <c r="I52" s="116"/>
      <c r="J52" s="116"/>
      <c r="K52" s="116"/>
    </row>
    <row r="53" spans="1:12" s="2" customFormat="1">
      <c r="A53" s="2">
        <v>2022</v>
      </c>
      <c r="B53" s="20">
        <f t="array" ref="B53:B57">TRANSPOSE(G38:K38)</f>
        <v>998.33865630455227</v>
      </c>
      <c r="C53" s="2">
        <v>10</v>
      </c>
      <c r="G53" s="266">
        <f>+$B53/2/$C53</f>
        <v>49.916932815227611</v>
      </c>
      <c r="H53" s="20">
        <f>+$B53/$C53</f>
        <v>99.833865630455222</v>
      </c>
      <c r="I53" s="20">
        <f t="shared" ref="I53:K54" si="29">+$B53/$C53</f>
        <v>99.833865630455222</v>
      </c>
      <c r="J53" s="20">
        <f t="shared" si="29"/>
        <v>99.833865630455222</v>
      </c>
      <c r="K53" s="20">
        <f t="shared" si="29"/>
        <v>99.833865630455222</v>
      </c>
    </row>
    <row r="54" spans="1:12" s="2" customFormat="1">
      <c r="A54" s="2">
        <f>+A53+1</f>
        <v>2023</v>
      </c>
      <c r="B54" s="20">
        <v>1136.0240446200312</v>
      </c>
      <c r="C54" s="2">
        <v>10</v>
      </c>
      <c r="D54" s="20"/>
      <c r="H54" s="266">
        <f>+$B54/2/$C54</f>
        <v>56.801202231001561</v>
      </c>
      <c r="I54" s="20">
        <f>+$B54/$C54</f>
        <v>113.60240446200312</v>
      </c>
      <c r="J54" s="20">
        <f t="shared" si="29"/>
        <v>113.60240446200312</v>
      </c>
      <c r="K54" s="20">
        <f t="shared" si="29"/>
        <v>113.60240446200312</v>
      </c>
    </row>
    <row r="55" spans="1:12" s="2" customFormat="1">
      <c r="A55" s="2">
        <f t="shared" ref="A55:A57" si="30">+A54+1</f>
        <v>2024</v>
      </c>
      <c r="B55" s="20">
        <v>1235.4406890271823</v>
      </c>
      <c r="C55" s="2">
        <v>10</v>
      </c>
      <c r="D55" s="20"/>
      <c r="I55" s="266">
        <f>+$B55/2/$C55</f>
        <v>61.772034451359119</v>
      </c>
      <c r="J55" s="20">
        <f>+$B55/$C55</f>
        <v>123.54406890271824</v>
      </c>
      <c r="K55" s="20">
        <f>+$B55/$C55</f>
        <v>123.54406890271824</v>
      </c>
    </row>
    <row r="56" spans="1:12" s="2" customFormat="1">
      <c r="A56" s="2">
        <f t="shared" si="30"/>
        <v>2025</v>
      </c>
      <c r="B56" s="20">
        <v>1341.5953337764442</v>
      </c>
      <c r="C56" s="2">
        <v>10</v>
      </c>
      <c r="D56" s="20"/>
      <c r="J56" s="266">
        <f>+$B56/2/$C56</f>
        <v>67.079766688822218</v>
      </c>
      <c r="K56" s="20">
        <f>+$B56/$C56</f>
        <v>134.15953337764444</v>
      </c>
      <c r="L56" s="205"/>
    </row>
    <row r="57" spans="1:12" s="2" customFormat="1">
      <c r="A57" s="2">
        <f t="shared" si="30"/>
        <v>2026</v>
      </c>
      <c r="B57" s="20">
        <v>1458.0918658398234</v>
      </c>
      <c r="C57" s="2">
        <v>10</v>
      </c>
      <c r="D57" s="20"/>
      <c r="J57" s="119"/>
      <c r="K57" s="266">
        <f>+$B57/2/$C57</f>
        <v>72.904593291991176</v>
      </c>
      <c r="L57" s="205"/>
    </row>
    <row r="58" spans="1:12" s="2" customFormat="1">
      <c r="A58" s="49" t="s">
        <v>255</v>
      </c>
      <c r="B58" s="49"/>
      <c r="C58" s="49"/>
      <c r="D58" s="49"/>
      <c r="E58" s="49"/>
      <c r="F58" s="49"/>
      <c r="G58" s="113">
        <f>SUM(G53:G56)+G49</f>
        <v>913.67693281522759</v>
      </c>
      <c r="H58" s="113">
        <f t="shared" ref="H58:J58" si="31">SUM(H53:H56)+H49</f>
        <v>1020.3950678614567</v>
      </c>
      <c r="I58" s="113">
        <f t="shared" si="31"/>
        <v>1138.9683045438173</v>
      </c>
      <c r="J58" s="113">
        <f t="shared" si="31"/>
        <v>1267.8201056839989</v>
      </c>
      <c r="K58" s="113">
        <f>SUM(K53:K57)+K49</f>
        <v>1407.8044656648121</v>
      </c>
    </row>
    <row r="59" spans="1:12" s="2" customFormat="1">
      <c r="G59" s="116"/>
      <c r="H59" s="116"/>
      <c r="I59" s="116"/>
      <c r="J59" s="116"/>
      <c r="K59" s="116"/>
    </row>
    <row r="60" spans="1:12" s="2" customFormat="1">
      <c r="A60" s="49" t="s">
        <v>256</v>
      </c>
      <c r="G60" s="116"/>
      <c r="H60" s="116"/>
      <c r="I60" s="116"/>
      <c r="J60" s="116"/>
      <c r="K60" s="116"/>
    </row>
    <row r="61" spans="1:12" s="2" customFormat="1">
      <c r="A61" s="2" t="s">
        <v>253</v>
      </c>
      <c r="B61" s="2">
        <f>+C29</f>
        <v>8.5</v>
      </c>
      <c r="G61" s="116"/>
      <c r="H61" s="116"/>
      <c r="I61" s="116"/>
      <c r="J61" s="116"/>
      <c r="K61" s="116"/>
    </row>
    <row r="62" spans="1:12" s="2" customFormat="1">
      <c r="A62" s="2" t="s">
        <v>254</v>
      </c>
      <c r="B62" s="251">
        <f>+B29</f>
        <v>1392</v>
      </c>
      <c r="G62" s="246">
        <f>+$B62/$B61</f>
        <v>163.76470588235293</v>
      </c>
      <c r="H62" s="246">
        <f t="shared" ref="H62" si="32">+$B62/$B61</f>
        <v>163.76470588235293</v>
      </c>
      <c r="I62" s="246">
        <f t="shared" ref="I62" si="33">+$B62/$B61</f>
        <v>163.76470588235293</v>
      </c>
      <c r="J62" s="246">
        <f t="shared" ref="J62:K62" si="34">+$B62/$B61</f>
        <v>163.76470588235293</v>
      </c>
      <c r="K62" s="246">
        <f t="shared" si="34"/>
        <v>163.76470588235293</v>
      </c>
    </row>
    <row r="63" spans="1:12" s="2" customFormat="1">
      <c r="A63" s="2" t="s">
        <v>164</v>
      </c>
      <c r="G63" s="116"/>
      <c r="H63" s="116"/>
      <c r="I63" s="116"/>
      <c r="J63" s="116"/>
      <c r="K63" s="116"/>
    </row>
    <row r="64" spans="1:12" s="2" customFormat="1">
      <c r="G64" s="116"/>
      <c r="H64" s="116"/>
      <c r="I64" s="116"/>
      <c r="J64" s="116"/>
      <c r="K64" s="116"/>
    </row>
    <row r="65" spans="1:11" s="2" customFormat="1">
      <c r="A65" s="49" t="s">
        <v>166</v>
      </c>
      <c r="B65" s="49" t="s">
        <v>127</v>
      </c>
      <c r="C65" s="49" t="s">
        <v>242</v>
      </c>
      <c r="G65" s="116"/>
      <c r="H65" s="116"/>
      <c r="I65" s="116"/>
      <c r="J65" s="116"/>
      <c r="K65" s="116"/>
    </row>
    <row r="66" spans="1:11" s="2" customFormat="1">
      <c r="A66" s="2">
        <v>2022</v>
      </c>
      <c r="B66" s="20">
        <f t="array" ref="B66:B69">TRANSPOSE(G39:J39)</f>
        <v>160.88814133277029</v>
      </c>
      <c r="C66" s="2">
        <v>8.5</v>
      </c>
      <c r="G66" s="266">
        <f>+$B66/2/$C66</f>
        <v>9.4640083136923696</v>
      </c>
      <c r="H66" s="20">
        <f>+$B66/$C66</f>
        <v>18.928016627384739</v>
      </c>
      <c r="I66" s="20">
        <f t="shared" ref="I66:K67" si="35">+$B66/$C66</f>
        <v>18.928016627384739</v>
      </c>
      <c r="J66" s="20">
        <f t="shared" si="35"/>
        <v>18.928016627384739</v>
      </c>
      <c r="K66" s="20">
        <f t="shared" si="35"/>
        <v>18.928016627384739</v>
      </c>
    </row>
    <row r="67" spans="1:11" s="2" customFormat="1">
      <c r="A67" s="2">
        <f>+A66+1</f>
        <v>2023</v>
      </c>
      <c r="B67" s="20">
        <v>183.07695078622342</v>
      </c>
      <c r="C67" s="2">
        <v>8.5</v>
      </c>
      <c r="H67" s="266">
        <f>+$B67/2/$C67</f>
        <v>10.769232399189614</v>
      </c>
      <c r="I67" s="20">
        <f>+$B67/$C67</f>
        <v>21.538464798379227</v>
      </c>
      <c r="J67" s="20">
        <f t="shared" si="35"/>
        <v>21.538464798379227</v>
      </c>
      <c r="K67" s="20">
        <f t="shared" si="35"/>
        <v>21.538464798379227</v>
      </c>
    </row>
    <row r="68" spans="1:11" s="2" customFormat="1">
      <c r="A68" s="2">
        <f t="shared" ref="A68:A69" si="36">+A67+1</f>
        <v>2024</v>
      </c>
      <c r="B68" s="20">
        <v>199.09852726750924</v>
      </c>
      <c r="C68" s="2">
        <v>8.5</v>
      </c>
      <c r="I68" s="266">
        <f>+$B68/2/$C68</f>
        <v>11.711678074559368</v>
      </c>
      <c r="J68" s="20">
        <f>+$B68/$C68</f>
        <v>23.423356149118735</v>
      </c>
      <c r="K68" s="20">
        <f>+$B68/$C68</f>
        <v>23.423356149118735</v>
      </c>
    </row>
    <row r="69" spans="1:11" s="2" customFormat="1">
      <c r="A69" s="2">
        <f t="shared" si="36"/>
        <v>2025</v>
      </c>
      <c r="B69" s="20">
        <v>216.20597210067731</v>
      </c>
      <c r="C69" s="2">
        <v>8.5</v>
      </c>
      <c r="J69" s="266">
        <f>+$B69/2/$C69</f>
        <v>12.717998358863371</v>
      </c>
      <c r="K69" s="20">
        <f>+$B69/$C69</f>
        <v>25.435996717726741</v>
      </c>
    </row>
    <row r="70" spans="1:11" s="2" customFormat="1">
      <c r="A70" s="2">
        <v>2026</v>
      </c>
      <c r="B70" s="20">
        <f>K39</f>
        <v>234.98007284998545</v>
      </c>
      <c r="C70" s="8">
        <v>8.5</v>
      </c>
      <c r="J70" s="53"/>
      <c r="K70" s="266">
        <f>+$B70/2/$C70</f>
        <v>13.822357226469732</v>
      </c>
    </row>
    <row r="71" spans="1:11" s="2" customFormat="1">
      <c r="A71" s="49" t="s">
        <v>257</v>
      </c>
      <c r="B71" s="49"/>
      <c r="C71" s="49"/>
      <c r="D71" s="49"/>
      <c r="E71" s="49"/>
      <c r="F71" s="49"/>
      <c r="G71" s="113">
        <f>SUM(G66:G69)+G62</f>
        <v>173.2287141960453</v>
      </c>
      <c r="H71" s="113">
        <f t="shared" ref="H71" si="37">SUM(H66:H69)+H62</f>
        <v>193.46195490892728</v>
      </c>
      <c r="I71" s="113">
        <f t="shared" ref="I71" si="38">SUM(I66:I69)+I62</f>
        <v>215.94286538267625</v>
      </c>
      <c r="J71" s="113">
        <f t="shared" ref="J71" si="39">SUM(J66:J69)+J62</f>
        <v>240.37254181609899</v>
      </c>
      <c r="K71" s="113">
        <f>SUM(K66:K70)+K62</f>
        <v>266.91289740143213</v>
      </c>
    </row>
    <row r="72" spans="1:11" s="2" customFormat="1">
      <c r="G72" s="116"/>
      <c r="H72" s="116"/>
      <c r="I72" s="116"/>
      <c r="J72" s="116"/>
      <c r="K72" s="116"/>
    </row>
    <row r="73" spans="1:11" s="2" customFormat="1">
      <c r="A73" s="49" t="s">
        <v>258</v>
      </c>
      <c r="G73" s="116"/>
      <c r="H73" s="116"/>
      <c r="I73" s="116"/>
      <c r="J73" s="116"/>
      <c r="K73" s="116"/>
    </row>
    <row r="74" spans="1:11" s="2" customFormat="1">
      <c r="A74" s="2" t="s">
        <v>253</v>
      </c>
      <c r="B74" s="2">
        <f>+C30</f>
        <v>8.5</v>
      </c>
      <c r="G74" s="116"/>
      <c r="H74" s="116"/>
      <c r="I74" s="116"/>
      <c r="J74" s="116"/>
      <c r="K74" s="116"/>
    </row>
    <row r="75" spans="1:11" s="2" customFormat="1">
      <c r="A75" s="2" t="s">
        <v>254</v>
      </c>
      <c r="B75" s="251">
        <f>B30</f>
        <v>2934.1</v>
      </c>
      <c r="G75" s="20">
        <f>+$B75/$B74</f>
        <v>345.18823529411765</v>
      </c>
      <c r="H75" s="20">
        <f t="shared" ref="H75" si="40">+$B75/$B74</f>
        <v>345.18823529411765</v>
      </c>
      <c r="I75" s="20">
        <f t="shared" ref="I75" si="41">+$B75/$B74</f>
        <v>345.18823529411765</v>
      </c>
      <c r="J75" s="20">
        <f t="shared" ref="J75:K75" si="42">+$B75/$B74</f>
        <v>345.18823529411765</v>
      </c>
      <c r="K75" s="20">
        <f t="shared" si="42"/>
        <v>345.18823529411765</v>
      </c>
    </row>
    <row r="76" spans="1:11" s="2" customFormat="1">
      <c r="A76" s="2" t="s">
        <v>164</v>
      </c>
    </row>
    <row r="77" spans="1:11" s="2" customFormat="1"/>
    <row r="78" spans="1:11" s="2" customFormat="1">
      <c r="A78" s="49" t="s">
        <v>166</v>
      </c>
      <c r="B78" s="49" t="s">
        <v>127</v>
      </c>
      <c r="C78" s="49" t="s">
        <v>242</v>
      </c>
    </row>
    <row r="79" spans="1:11" s="2" customFormat="1">
      <c r="A79" s="2">
        <v>2022</v>
      </c>
      <c r="B79" s="20">
        <f t="array" ref="B79:B82">TRANSPOSE(G40:J40)</f>
        <v>339.12492491701244</v>
      </c>
      <c r="C79" s="2">
        <v>8.5</v>
      </c>
      <c r="G79" s="266">
        <f>+$B79/2/$C79</f>
        <v>19.94852499511838</v>
      </c>
      <c r="H79" s="20">
        <f>+$B79/$C79</f>
        <v>39.897049990236759</v>
      </c>
      <c r="I79" s="20">
        <f t="shared" ref="I79:K80" si="43">+$B79/$C79</f>
        <v>39.897049990236759</v>
      </c>
      <c r="J79" s="20">
        <f t="shared" si="43"/>
        <v>39.897049990236759</v>
      </c>
      <c r="K79" s="20">
        <f t="shared" si="43"/>
        <v>39.897049990236759</v>
      </c>
    </row>
    <row r="80" spans="1:11" s="2" customFormat="1">
      <c r="A80" s="2">
        <f>+A79+1</f>
        <v>2023</v>
      </c>
      <c r="B80" s="20">
        <v>385.89517334903599</v>
      </c>
      <c r="C80" s="2">
        <v>8.5</v>
      </c>
      <c r="H80" s="266">
        <f>+$B80/2/$C80</f>
        <v>22.699716079355056</v>
      </c>
      <c r="I80" s="20">
        <f>+$B80/$C80</f>
        <v>45.399432158710113</v>
      </c>
      <c r="J80" s="20">
        <f t="shared" si="43"/>
        <v>45.399432158710113</v>
      </c>
      <c r="K80" s="20">
        <f t="shared" si="43"/>
        <v>45.399432158710113</v>
      </c>
    </row>
    <row r="81" spans="1:11" s="2" customFormat="1">
      <c r="A81" s="2">
        <f t="shared" ref="A81:A82" si="44">+A80+1</f>
        <v>2024</v>
      </c>
      <c r="B81" s="20">
        <v>419.66594026982676</v>
      </c>
      <c r="C81" s="2">
        <v>8.5</v>
      </c>
      <c r="I81" s="266">
        <f>+$B81/2/$C81</f>
        <v>24.686231780578044</v>
      </c>
      <c r="J81" s="20">
        <f>+$B81/$C81</f>
        <v>49.372463561156088</v>
      </c>
      <c r="K81" s="20">
        <f>+$B81/$C81</f>
        <v>49.372463561156088</v>
      </c>
    </row>
    <row r="82" spans="1:11" s="2" customFormat="1">
      <c r="A82" s="2">
        <f t="shared" si="44"/>
        <v>2025</v>
      </c>
      <c r="B82" s="20">
        <v>455.72553357801524</v>
      </c>
      <c r="C82" s="2">
        <v>8.5</v>
      </c>
      <c r="J82" s="266">
        <f>+$B82/2/$C82</f>
        <v>26.807384328118545</v>
      </c>
      <c r="K82" s="20">
        <f>+$B82/$C82</f>
        <v>53.614768656237089</v>
      </c>
    </row>
    <row r="83" spans="1:11" s="2" customFormat="1">
      <c r="A83" s="2">
        <v>2026</v>
      </c>
      <c r="B83" s="20">
        <f>+K40</f>
        <v>495.2981549921999</v>
      </c>
      <c r="C83" s="8">
        <v>8.5</v>
      </c>
      <c r="J83" s="53"/>
      <c r="K83" s="266">
        <f>+$B83/2/$C83</f>
        <v>29.135185587776466</v>
      </c>
    </row>
    <row r="84" spans="1:11" s="2" customFormat="1">
      <c r="A84" s="49" t="s">
        <v>257</v>
      </c>
      <c r="B84" s="49"/>
      <c r="C84" s="49"/>
      <c r="D84" s="49"/>
      <c r="E84" s="49"/>
      <c r="F84" s="49"/>
      <c r="G84" s="113">
        <f>SUM(G79:G82)+G75</f>
        <v>365.13676028923601</v>
      </c>
      <c r="H84" s="113">
        <f t="shared" ref="H84" si="45">SUM(H79:H82)+H75</f>
        <v>407.78500136370945</v>
      </c>
      <c r="I84" s="113">
        <f t="shared" ref="I84" si="46">SUM(I79:I82)+I75</f>
        <v>455.17094922364254</v>
      </c>
      <c r="J84" s="113">
        <f t="shared" ref="J84" si="47">SUM(J79:J82)+J75</f>
        <v>506.66456533233912</v>
      </c>
      <c r="K84" s="113">
        <f>SUM(K79:K83)+K75</f>
        <v>562.60713524823416</v>
      </c>
    </row>
    <row r="85" spans="1:11" s="2" customFormat="1">
      <c r="G85" s="116"/>
      <c r="H85" s="116"/>
      <c r="I85" s="116"/>
      <c r="J85" s="116"/>
      <c r="K85" s="116"/>
    </row>
    <row r="86" spans="1:11" s="2" customFormat="1">
      <c r="A86" s="49" t="s">
        <v>259</v>
      </c>
      <c r="G86" s="116"/>
      <c r="H86" s="116"/>
      <c r="I86" s="116"/>
      <c r="J86" s="116"/>
      <c r="K86" s="116"/>
    </row>
    <row r="87" spans="1:11" s="2" customFormat="1">
      <c r="A87" s="2" t="s">
        <v>253</v>
      </c>
      <c r="B87" s="2">
        <f>+C31</f>
        <v>8.5</v>
      </c>
      <c r="G87" s="116"/>
      <c r="H87" s="116"/>
      <c r="I87" s="116"/>
      <c r="J87" s="116"/>
      <c r="K87" s="116"/>
    </row>
    <row r="88" spans="1:11" s="2" customFormat="1">
      <c r="A88" s="2" t="s">
        <v>254</v>
      </c>
      <c r="B88" s="251">
        <f>+B31</f>
        <v>857.2</v>
      </c>
      <c r="G88" s="20">
        <f>+$B88/$B87</f>
        <v>100.84705882352942</v>
      </c>
      <c r="H88" s="20">
        <f t="shared" ref="H88" si="48">+$B88/$B87</f>
        <v>100.84705882352942</v>
      </c>
      <c r="I88" s="20">
        <f t="shared" ref="I88" si="49">+$B88/$B87</f>
        <v>100.84705882352942</v>
      </c>
      <c r="J88" s="20">
        <f t="shared" ref="J88:K88" si="50">+$B88/$B87</f>
        <v>100.84705882352942</v>
      </c>
      <c r="K88" s="20">
        <f t="shared" si="50"/>
        <v>100.84705882352942</v>
      </c>
    </row>
    <row r="89" spans="1:11" s="2" customFormat="1">
      <c r="A89" s="2" t="s">
        <v>164</v>
      </c>
    </row>
    <row r="90" spans="1:11" s="2" customFormat="1"/>
    <row r="91" spans="1:11" s="2" customFormat="1">
      <c r="A91" s="49" t="s">
        <v>166</v>
      </c>
      <c r="B91" s="49" t="s">
        <v>127</v>
      </c>
      <c r="C91" s="49" t="s">
        <v>242</v>
      </c>
    </row>
    <row r="92" spans="1:11" s="2" customFormat="1">
      <c r="A92" s="2">
        <v>2022</v>
      </c>
      <c r="B92" s="20">
        <f t="array" ref="B92:B95">TRANSPOSE(G41:J41)</f>
        <v>99.075657148312288</v>
      </c>
      <c r="C92" s="2">
        <v>8.5</v>
      </c>
      <c r="G92" s="266">
        <f>+$B92/2/$C92</f>
        <v>5.8279798322536642</v>
      </c>
      <c r="H92" s="20">
        <f>+$B92/$C92</f>
        <v>11.655959664507328</v>
      </c>
      <c r="I92" s="20">
        <f t="shared" ref="I92:K93" si="51">+$B92/$C92</f>
        <v>11.655959664507328</v>
      </c>
      <c r="J92" s="20">
        <f t="shared" si="51"/>
        <v>11.655959664507328</v>
      </c>
      <c r="K92" s="20">
        <f t="shared" si="51"/>
        <v>11.655959664507328</v>
      </c>
    </row>
    <row r="93" spans="1:11" s="2" customFormat="1">
      <c r="A93" s="2">
        <f>+A92+1</f>
        <v>2023</v>
      </c>
      <c r="B93" s="20">
        <v>112.73962802726345</v>
      </c>
      <c r="C93" s="2">
        <v>8.5</v>
      </c>
      <c r="H93" s="266">
        <f>+$B93/2/$C93</f>
        <v>6.6317428251331441</v>
      </c>
      <c r="I93" s="20">
        <f>+$B93/$C93</f>
        <v>13.263485650266288</v>
      </c>
      <c r="J93" s="20">
        <f t="shared" si="51"/>
        <v>13.263485650266288</v>
      </c>
      <c r="K93" s="20">
        <f t="shared" si="51"/>
        <v>13.263485650266288</v>
      </c>
    </row>
    <row r="94" spans="1:11" s="2" customFormat="1">
      <c r="A94" s="2">
        <f t="shared" ref="A94:A95" si="52">+A93+1</f>
        <v>2024</v>
      </c>
      <c r="B94" s="20">
        <v>122.60578848685986</v>
      </c>
      <c r="C94" s="2">
        <v>8.5</v>
      </c>
      <c r="I94" s="266">
        <f>+$B94/2/$C94</f>
        <v>7.2121052051094034</v>
      </c>
      <c r="J94" s="20">
        <f>+$B94/$C94</f>
        <v>14.424210410218807</v>
      </c>
      <c r="K94" s="20">
        <f>+$B94/$C94</f>
        <v>14.424210410218807</v>
      </c>
    </row>
    <row r="95" spans="1:11" s="2" customFormat="1">
      <c r="A95" s="2">
        <f t="shared" si="52"/>
        <v>2025</v>
      </c>
      <c r="B95" s="20">
        <v>133.14063167004352</v>
      </c>
      <c r="C95" s="2">
        <v>8.5</v>
      </c>
      <c r="J95" s="266">
        <f>+$B95/2/$C95</f>
        <v>7.8318018629437365</v>
      </c>
      <c r="K95" s="20">
        <f>+$B95/$C95</f>
        <v>15.663603725887473</v>
      </c>
    </row>
    <row r="96" spans="1:11" s="2" customFormat="1">
      <c r="A96" s="2">
        <v>2026</v>
      </c>
      <c r="B96" s="20">
        <f>+K41</f>
        <v>144.70180922917208</v>
      </c>
      <c r="C96" s="8">
        <v>8.5</v>
      </c>
      <c r="J96" s="53"/>
      <c r="K96" s="266">
        <f>+$B96/2/$C96</f>
        <v>8.5118711311277693</v>
      </c>
    </row>
    <row r="97" spans="1:11" s="2" customFormat="1">
      <c r="A97" s="49" t="s">
        <v>257</v>
      </c>
      <c r="B97" s="49"/>
      <c r="C97" s="49"/>
      <c r="D97" s="49"/>
      <c r="E97" s="49"/>
      <c r="F97" s="49"/>
      <c r="G97" s="113">
        <f>SUM(G92:G95)+G88</f>
        <v>106.67503865578308</v>
      </c>
      <c r="H97" s="113">
        <f t="shared" ref="H97" si="53">SUM(H92:H95)+H88</f>
        <v>119.13476131316989</v>
      </c>
      <c r="I97" s="113">
        <f t="shared" ref="I97" si="54">SUM(I92:I95)+I88</f>
        <v>132.97860934341244</v>
      </c>
      <c r="J97" s="113">
        <f t="shared" ref="J97" si="55">SUM(J92:J95)+J88</f>
        <v>148.02251641146557</v>
      </c>
      <c r="K97" s="113">
        <f>SUM(K92:K96)+K88</f>
        <v>164.36618940553709</v>
      </c>
    </row>
    <row r="98" spans="1:11" s="2" customFormat="1"/>
    <row r="99" spans="1:11" s="2" customFormat="1">
      <c r="A99" s="49" t="s">
        <v>260</v>
      </c>
    </row>
    <row r="100" spans="1:11" s="2" customFormat="1">
      <c r="A100" s="2" t="s">
        <v>253</v>
      </c>
      <c r="B100" s="2">
        <f>+C32</f>
        <v>30</v>
      </c>
    </row>
    <row r="101" spans="1:11" s="2" customFormat="1">
      <c r="A101" s="2" t="s">
        <v>254</v>
      </c>
      <c r="B101" s="251">
        <f>B32</f>
        <v>587.6</v>
      </c>
      <c r="G101" s="20">
        <f>+$B101/$B100</f>
        <v>19.586666666666666</v>
      </c>
      <c r="H101" s="20">
        <f t="shared" ref="H101" si="56">+$B101/$B100</f>
        <v>19.586666666666666</v>
      </c>
      <c r="I101" s="20">
        <f t="shared" ref="I101" si="57">+$B101/$B100</f>
        <v>19.586666666666666</v>
      </c>
      <c r="J101" s="20">
        <f t="shared" ref="J101:K101" si="58">+$B101/$B100</f>
        <v>19.586666666666666</v>
      </c>
      <c r="K101" s="20">
        <f t="shared" si="58"/>
        <v>19.586666666666666</v>
      </c>
    </row>
    <row r="102" spans="1:11" s="2" customFormat="1">
      <c r="A102" s="2" t="s">
        <v>164</v>
      </c>
    </row>
    <row r="103" spans="1:11" s="2" customFormat="1"/>
    <row r="104" spans="1:11" s="2" customFormat="1">
      <c r="A104" s="49" t="s">
        <v>166</v>
      </c>
      <c r="B104" s="49" t="s">
        <v>127</v>
      </c>
      <c r="C104" s="49" t="s">
        <v>242</v>
      </c>
    </row>
    <row r="105" spans="1:11" s="2" customFormat="1">
      <c r="A105" s="2">
        <v>2022</v>
      </c>
      <c r="B105" s="20">
        <f t="array" ref="B105:B108">TRANSPOSE(G42:J42)</f>
        <v>67.915137821218266</v>
      </c>
      <c r="C105" s="2">
        <v>30</v>
      </c>
      <c r="G105" s="266">
        <f>+$B105/2/$C105</f>
        <v>1.1319189636869711</v>
      </c>
      <c r="H105" s="20">
        <f>+$B105/$C105</f>
        <v>2.2638379273739422</v>
      </c>
      <c r="I105" s="20">
        <f t="shared" ref="I105:K106" si="59">+$B105/$C105</f>
        <v>2.2638379273739422</v>
      </c>
      <c r="J105" s="20">
        <f t="shared" si="59"/>
        <v>2.2638379273739422</v>
      </c>
      <c r="K105" s="20">
        <f t="shared" si="59"/>
        <v>2.2638379273739422</v>
      </c>
    </row>
    <row r="106" spans="1:11" s="2" customFormat="1">
      <c r="A106" s="2">
        <f>+A105+1</f>
        <v>2023</v>
      </c>
      <c r="B106" s="20">
        <v>77.281620892230521</v>
      </c>
      <c r="C106" s="2">
        <v>30</v>
      </c>
      <c r="H106" s="266">
        <f>+$B106/2/$C106</f>
        <v>1.2880270148705086</v>
      </c>
      <c r="I106" s="20">
        <f>+$B106/$C106</f>
        <v>2.5760540297410173</v>
      </c>
      <c r="J106" s="20">
        <f t="shared" si="59"/>
        <v>2.5760540297410173</v>
      </c>
      <c r="K106" s="20">
        <f t="shared" si="59"/>
        <v>2.5760540297410173</v>
      </c>
    </row>
    <row r="107" spans="1:11" s="2" customFormat="1">
      <c r="A107" s="2">
        <f t="shared" ref="A107:A108" si="60">+A106+1</f>
        <v>2024</v>
      </c>
      <c r="B107" s="20">
        <v>84.044751883899735</v>
      </c>
      <c r="C107" s="2">
        <v>30</v>
      </c>
      <c r="I107" s="266">
        <f>+$B107/2/$C107</f>
        <v>1.4007458647316622</v>
      </c>
      <c r="J107" s="20">
        <f>+$B107/$C107</f>
        <v>2.8014917294633244</v>
      </c>
      <c r="K107" s="20">
        <f>+$B107/$C107</f>
        <v>2.8014917294633244</v>
      </c>
    </row>
    <row r="108" spans="1:11" s="2" customFormat="1">
      <c r="A108" s="2">
        <f t="shared" si="60"/>
        <v>2025</v>
      </c>
      <c r="B108" s="20">
        <v>91.26625661376292</v>
      </c>
      <c r="C108" s="2">
        <v>30</v>
      </c>
      <c r="J108" s="266">
        <f>+$B108/2/$C108</f>
        <v>1.5211042768960488</v>
      </c>
      <c r="K108" s="20">
        <f>+$B108/$C108</f>
        <v>3.0422085537920975</v>
      </c>
    </row>
    <row r="109" spans="1:11" s="2" customFormat="1">
      <c r="A109" s="2">
        <v>2026</v>
      </c>
      <c r="B109" s="20">
        <f>+K42</f>
        <v>99.1913008668473</v>
      </c>
      <c r="C109" s="8">
        <v>30</v>
      </c>
      <c r="J109" s="53"/>
      <c r="K109" s="266">
        <f>+$B109/2/$C109</f>
        <v>1.6531883477807883</v>
      </c>
    </row>
    <row r="110" spans="1:11" s="2" customFormat="1">
      <c r="A110" s="49" t="s">
        <v>257</v>
      </c>
      <c r="B110" s="49"/>
      <c r="C110" s="49"/>
      <c r="D110" s="49"/>
      <c r="E110" s="49"/>
      <c r="F110" s="49"/>
      <c r="G110" s="113">
        <f>SUM(G105:G108)+G101</f>
        <v>20.718585630353637</v>
      </c>
      <c r="H110" s="113">
        <f t="shared" ref="H110" si="61">SUM(H105:H108)+H101</f>
        <v>23.138531608911116</v>
      </c>
      <c r="I110" s="113">
        <f t="shared" ref="I110" si="62">SUM(I105:I108)+I101</f>
        <v>25.827304488513288</v>
      </c>
      <c r="J110" s="113">
        <f t="shared" ref="J110" si="63">SUM(J105:J108)+J101</f>
        <v>28.749154630141</v>
      </c>
      <c r="K110" s="113">
        <f>SUM(K105:K109)+K101</f>
        <v>31.923447254817834</v>
      </c>
    </row>
    <row r="111" spans="1:11" s="2" customFormat="1"/>
    <row r="112" spans="1:11" s="2" customFormat="1">
      <c r="A112" s="49" t="s">
        <v>261</v>
      </c>
    </row>
    <row r="113" spans="1:11" s="2" customFormat="1">
      <c r="A113" s="2" t="s">
        <v>253</v>
      </c>
      <c r="B113" s="2">
        <f>C33</f>
        <v>8.5</v>
      </c>
    </row>
    <row r="114" spans="1:11" s="2" customFormat="1">
      <c r="A114" s="2" t="s">
        <v>254</v>
      </c>
      <c r="B114" s="251">
        <f>B33</f>
        <v>374.1</v>
      </c>
      <c r="G114" s="20">
        <f>+$B114/$B113</f>
        <v>44.011764705882356</v>
      </c>
      <c r="H114" s="20">
        <f t="shared" ref="H114" si="64">+$B114/$B113</f>
        <v>44.011764705882356</v>
      </c>
      <c r="I114" s="20">
        <f t="shared" ref="I114" si="65">+$B114/$B113</f>
        <v>44.011764705882356</v>
      </c>
      <c r="J114" s="20">
        <f t="shared" ref="J114:K114" si="66">+$B114/$B113</f>
        <v>44.011764705882356</v>
      </c>
      <c r="K114" s="20">
        <f t="shared" si="66"/>
        <v>44.011764705882356</v>
      </c>
    </row>
    <row r="115" spans="1:11" s="2" customFormat="1">
      <c r="A115" s="2" t="s">
        <v>164</v>
      </c>
    </row>
    <row r="116" spans="1:11" s="2" customFormat="1"/>
    <row r="117" spans="1:11" s="2" customFormat="1">
      <c r="A117" s="49" t="s">
        <v>166</v>
      </c>
      <c r="B117" s="49" t="s">
        <v>127</v>
      </c>
      <c r="C117" s="49" t="s">
        <v>242</v>
      </c>
    </row>
    <row r="118" spans="1:11" s="2" customFormat="1">
      <c r="A118" s="2">
        <v>2022</v>
      </c>
      <c r="B118" s="20">
        <f t="array" ref="B118:B121">TRANSPOSE(G43:J43)</f>
        <v>43.238687983182018</v>
      </c>
      <c r="C118" s="2">
        <v>8.5</v>
      </c>
      <c r="G118" s="266">
        <f>+$B118/2/$C118</f>
        <v>2.5434522343048247</v>
      </c>
      <c r="H118" s="20">
        <f>+$B118/$C118</f>
        <v>5.0869044686096494</v>
      </c>
      <c r="I118" s="20">
        <f t="shared" ref="I118:K119" si="67">+$B118/$C118</f>
        <v>5.0869044686096494</v>
      </c>
      <c r="J118" s="20">
        <f t="shared" si="67"/>
        <v>5.0869044686096494</v>
      </c>
      <c r="K118" s="20">
        <f t="shared" si="67"/>
        <v>5.0869044686096494</v>
      </c>
    </row>
    <row r="119" spans="1:11" s="2" customFormat="1">
      <c r="A119" s="2">
        <f>+A118+1</f>
        <v>2023</v>
      </c>
      <c r="B119" s="20">
        <v>49.201930523797543</v>
      </c>
      <c r="C119" s="2">
        <v>8.5</v>
      </c>
      <c r="H119" s="266">
        <f>+$B119/2/$C119</f>
        <v>2.8942312072822083</v>
      </c>
      <c r="I119" s="20">
        <f>+$B119/$C119</f>
        <v>5.7884624145644166</v>
      </c>
      <c r="J119" s="20">
        <f t="shared" si="67"/>
        <v>5.7884624145644166</v>
      </c>
      <c r="K119" s="20">
        <f t="shared" si="67"/>
        <v>5.7884624145644166</v>
      </c>
    </row>
    <row r="120" spans="1:11" s="2" customFormat="1">
      <c r="A120" s="2">
        <f t="shared" ref="A120:A121" si="68">+A119+1</f>
        <v>2024</v>
      </c>
      <c r="B120" s="20">
        <v>53.507729203143107</v>
      </c>
      <c r="C120" s="2">
        <v>8.5</v>
      </c>
      <c r="I120" s="266">
        <f>+$B120/2/$C120</f>
        <v>3.1475134825378297</v>
      </c>
      <c r="J120" s="20">
        <f>+$B120/$C120</f>
        <v>6.2950269650756594</v>
      </c>
      <c r="K120" s="20">
        <f>+$B120/$C120</f>
        <v>6.2950269650756594</v>
      </c>
    </row>
    <row r="121" spans="1:11" s="2" customFormat="1">
      <c r="A121" s="2">
        <f t="shared" si="68"/>
        <v>2025</v>
      </c>
      <c r="B121" s="20">
        <v>58.105355002057024</v>
      </c>
      <c r="C121" s="2">
        <v>8.5</v>
      </c>
      <c r="J121" s="266">
        <f>+$B121/2/$C121</f>
        <v>3.4179620589445308</v>
      </c>
      <c r="K121" s="20">
        <f>+$B121/$C121</f>
        <v>6.8359241178890615</v>
      </c>
    </row>
    <row r="122" spans="1:11" s="2" customFormat="1">
      <c r="A122" s="2">
        <v>2026</v>
      </c>
      <c r="B122" s="20">
        <f>+K43</f>
        <v>63.150894578433586</v>
      </c>
      <c r="C122" s="8">
        <v>8.5</v>
      </c>
      <c r="J122" s="53"/>
      <c r="K122" s="266">
        <f>+$B122/2/$C122</f>
        <v>3.7147585046137404</v>
      </c>
    </row>
    <row r="123" spans="1:11" s="2" customFormat="1">
      <c r="A123" s="49" t="s">
        <v>257</v>
      </c>
      <c r="B123" s="49"/>
      <c r="C123" s="49"/>
      <c r="D123" s="49"/>
      <c r="E123" s="49"/>
      <c r="F123" s="49"/>
      <c r="G123" s="113">
        <f>SUM(G118:G121)+G114</f>
        <v>46.555216940187179</v>
      </c>
      <c r="H123" s="113">
        <f t="shared" ref="H123" si="69">SUM(H118:H121)+H114</f>
        <v>51.992900381774213</v>
      </c>
      <c r="I123" s="113">
        <f t="shared" ref="I123" si="70">SUM(I118:I121)+I114</f>
        <v>58.034645071594255</v>
      </c>
      <c r="J123" s="113">
        <f t="shared" ref="J123" si="71">SUM(J118:J121)+J114</f>
        <v>64.600120613076612</v>
      </c>
      <c r="K123" s="113">
        <f>SUM(K118:K122)+K114</f>
        <v>71.732841176634878</v>
      </c>
    </row>
    <row r="124" spans="1:11" s="2" customFormat="1"/>
    <row r="125" spans="1:11" s="2" customFormat="1"/>
    <row r="126" spans="1:11" s="93" customFormat="1">
      <c r="A126" s="254" t="s">
        <v>262</v>
      </c>
      <c r="B126" s="25"/>
      <c r="C126" s="25"/>
      <c r="D126" s="25"/>
      <c r="E126" s="115"/>
      <c r="F126" s="115"/>
      <c r="G126" s="115">
        <f>G58+G71+G84+G97+G110+G123</f>
        <v>1625.9912485268326</v>
      </c>
      <c r="H126" s="115">
        <f t="shared" ref="H126:J126" si="72">H58+H71+H84+H97+H110+H123</f>
        <v>1815.9082174379487</v>
      </c>
      <c r="I126" s="115">
        <f t="shared" si="72"/>
        <v>2026.9226780536562</v>
      </c>
      <c r="J126" s="115">
        <f t="shared" si="72"/>
        <v>2256.2290044871206</v>
      </c>
      <c r="K126" s="115">
        <f>K58+K71+K84+K97+K110+K123</f>
        <v>2505.346976151468</v>
      </c>
    </row>
    <row r="127" spans="1:11" s="2" customFormat="1">
      <c r="G127" s="116"/>
      <c r="H127" s="116"/>
      <c r="I127" s="116"/>
      <c r="J127" s="116"/>
    </row>
    <row r="128" spans="1:11" s="2" customFormat="1">
      <c r="G128" s="116"/>
      <c r="H128" s="116"/>
      <c r="I128" s="116"/>
      <c r="J128" s="116"/>
    </row>
    <row r="129" spans="7:10" s="2" customFormat="1">
      <c r="G129" s="116"/>
      <c r="H129" s="116"/>
      <c r="I129" s="116"/>
      <c r="J129" s="116"/>
    </row>
    <row r="130" spans="7:10" s="2" customFormat="1">
      <c r="G130" s="116"/>
      <c r="H130" s="116"/>
      <c r="I130" s="116"/>
      <c r="J130" s="116"/>
    </row>
    <row r="131" spans="7:10" s="2" customFormat="1">
      <c r="G131" s="116"/>
      <c r="H131" s="116"/>
      <c r="I131" s="116"/>
      <c r="J131" s="116"/>
    </row>
    <row r="132" spans="7:10" s="2" customFormat="1">
      <c r="G132" s="116"/>
      <c r="H132" s="116"/>
      <c r="I132" s="116"/>
      <c r="J132" s="116"/>
    </row>
    <row r="133" spans="7:10" s="2" customFormat="1">
      <c r="G133" s="116"/>
      <c r="H133" s="116"/>
      <c r="I133" s="116"/>
      <c r="J133" s="116"/>
    </row>
    <row r="134" spans="7:10" s="2" customFormat="1">
      <c r="G134" s="116"/>
      <c r="H134" s="116"/>
      <c r="I134" s="116"/>
      <c r="J134" s="116"/>
    </row>
    <row r="135" spans="7:10" s="2" customFormat="1">
      <c r="G135" s="116"/>
      <c r="H135" s="116"/>
      <c r="I135" s="116"/>
      <c r="J135" s="116"/>
    </row>
    <row r="136" spans="7:10" s="2" customFormat="1">
      <c r="G136" s="116"/>
      <c r="H136" s="116"/>
      <c r="I136" s="116"/>
      <c r="J136" s="116"/>
    </row>
    <row r="137" spans="7:10" s="2" customFormat="1">
      <c r="G137" s="116"/>
      <c r="H137" s="116"/>
      <c r="I137" s="116"/>
      <c r="J137" s="116"/>
    </row>
  </sheetData>
  <mergeCells count="2">
    <mergeCell ref="D1:F1"/>
    <mergeCell ref="G1:K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7"/>
  <sheetViews>
    <sheetView showGridLines="0"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4" sqref="G4"/>
    </sheetView>
  </sheetViews>
  <sheetFormatPr defaultRowHeight="15"/>
  <cols>
    <col min="1" max="1" width="3.7109375" style="1" customWidth="1"/>
    <col min="2" max="2" width="48.7109375" style="1" customWidth="1"/>
    <col min="3" max="3" width="3.7109375" style="1" customWidth="1"/>
    <col min="4" max="4" width="12.7109375" style="18" customWidth="1"/>
    <col min="5" max="5" width="12.7109375" style="1" customWidth="1"/>
    <col min="6" max="6" width="12.7109375" style="15" customWidth="1"/>
    <col min="7" max="10" width="12.7109375" style="7" customWidth="1"/>
    <col min="11" max="11" width="12.7109375" style="1" customWidth="1"/>
    <col min="12" max="16384" width="9.140625" style="1"/>
  </cols>
  <sheetData>
    <row r="1" spans="1:15" ht="31.5">
      <c r="A1" s="122" t="s">
        <v>296</v>
      </c>
      <c r="B1" s="122"/>
      <c r="C1" s="231"/>
      <c r="D1" s="323" t="s">
        <v>293</v>
      </c>
      <c r="E1" s="323"/>
      <c r="F1" s="323"/>
      <c r="G1" s="323" t="s">
        <v>294</v>
      </c>
      <c r="H1" s="323"/>
      <c r="I1" s="323"/>
      <c r="J1" s="323"/>
      <c r="K1" s="323"/>
    </row>
    <row r="2" spans="1:15">
      <c r="A2" s="125" t="s">
        <v>295</v>
      </c>
      <c r="B2" s="125"/>
      <c r="C2" s="232"/>
      <c r="D2" s="111">
        <v>2019</v>
      </c>
      <c r="E2" s="111">
        <f t="shared" ref="E2:K2" si="0">D2+1</f>
        <v>2020</v>
      </c>
      <c r="F2" s="111">
        <f t="shared" si="0"/>
        <v>2021</v>
      </c>
      <c r="G2" s="111">
        <f t="shared" si="0"/>
        <v>2022</v>
      </c>
      <c r="H2" s="111">
        <f t="shared" si="0"/>
        <v>2023</v>
      </c>
      <c r="I2" s="111">
        <f t="shared" si="0"/>
        <v>2024</v>
      </c>
      <c r="J2" s="111">
        <f t="shared" si="0"/>
        <v>2025</v>
      </c>
      <c r="K2" s="111">
        <f t="shared" si="0"/>
        <v>2026</v>
      </c>
    </row>
    <row r="3" spans="1:15">
      <c r="A3" s="2"/>
      <c r="B3" s="2"/>
      <c r="C3" s="2"/>
      <c r="D3" s="238"/>
      <c r="E3" s="238"/>
      <c r="F3" s="238"/>
      <c r="G3" s="247"/>
      <c r="H3" s="247"/>
      <c r="I3" s="247"/>
      <c r="J3" s="247"/>
      <c r="K3" s="238"/>
      <c r="L3" s="2"/>
    </row>
    <row r="4" spans="1:15">
      <c r="A4" s="2"/>
      <c r="B4" s="2" t="s">
        <v>178</v>
      </c>
      <c r="C4" s="2"/>
      <c r="D4" s="238"/>
      <c r="E4" s="248">
        <f>+'Balance Sheet'!D43</f>
        <v>-5771.2</v>
      </c>
      <c r="F4" s="248">
        <f>+'Balance Sheet'!E43</f>
        <v>-7815.6</v>
      </c>
      <c r="G4" s="248">
        <f>+'Balance Sheet'!F43</f>
        <v>-6315.7</v>
      </c>
      <c r="H4" s="248">
        <f>+G12</f>
        <v>-9271.2299369284756</v>
      </c>
      <c r="I4" s="248">
        <f>+H12</f>
        <v>-10880.789180090127</v>
      </c>
      <c r="J4" s="248">
        <f>+I12</f>
        <v>-12316.077090564078</v>
      </c>
      <c r="K4" s="248">
        <f>+J12</f>
        <v>-11565.411633471556</v>
      </c>
      <c r="L4" s="2"/>
    </row>
    <row r="5" spans="1:15">
      <c r="A5" s="2"/>
      <c r="B5" s="2" t="s">
        <v>174</v>
      </c>
      <c r="C5" s="2"/>
      <c r="D5" s="237">
        <f>+'Income Statement'!D44</f>
        <v>3599.2000000000025</v>
      </c>
      <c r="E5" s="237">
        <f>+'Income Statement'!E44</f>
        <v>928.29999999999916</v>
      </c>
      <c r="F5" s="237">
        <f>+'Income Statement'!F44</f>
        <v>4199.3000000000011</v>
      </c>
      <c r="G5" s="241">
        <f>+'Income Statement'!G44</f>
        <v>4223.9978115086178</v>
      </c>
      <c r="H5" s="241">
        <f>+'Income Statement'!H44</f>
        <v>4938.7940218877839</v>
      </c>
      <c r="I5" s="241">
        <f>+'Income Statement'!I44</f>
        <v>5298.849050903772</v>
      </c>
      <c r="J5" s="241">
        <f>+'Income Statement'!J44</f>
        <v>5683.0398648613964</v>
      </c>
      <c r="K5" s="241">
        <f>+'Income Statement'!K44</f>
        <v>6151.3527519361851</v>
      </c>
      <c r="L5" s="2"/>
    </row>
    <row r="6" spans="1:15">
      <c r="A6" s="2"/>
      <c r="B6" s="2" t="s">
        <v>175</v>
      </c>
      <c r="C6" s="2"/>
      <c r="D6" s="237">
        <f>+-'Cash Flow Stat'!D45</f>
        <v>1761.3</v>
      </c>
      <c r="E6" s="237">
        <f>+-'Cash Flow Stat'!E45</f>
        <v>1923.5</v>
      </c>
      <c r="F6" s="237">
        <f>+-'Cash Flow Stat'!F45</f>
        <v>2119</v>
      </c>
      <c r="G6" s="239">
        <f>+G16*G19</f>
        <v>2179.5277484370936</v>
      </c>
      <c r="H6" s="239">
        <f t="shared" ref="H6:J6" si="1">+H16*H19</f>
        <v>2548.3532650494362</v>
      </c>
      <c r="I6" s="239">
        <f t="shared" si="1"/>
        <v>2734.1369613777238</v>
      </c>
      <c r="J6" s="239">
        <f t="shared" si="1"/>
        <v>2932.3744077688743</v>
      </c>
      <c r="K6" s="239">
        <f t="shared" ref="K6" si="2">+K16*K19</f>
        <v>3174.017746112755</v>
      </c>
      <c r="L6" s="20"/>
      <c r="M6" s="10"/>
      <c r="N6" s="10"/>
      <c r="O6" s="10"/>
    </row>
    <row r="7" spans="1:15">
      <c r="A7" s="2"/>
      <c r="B7" s="2" t="s">
        <v>176</v>
      </c>
      <c r="C7" s="2"/>
      <c r="D7" s="237">
        <f>+-'Cash Flow Stat'!D46</f>
        <v>10222.299999999999</v>
      </c>
      <c r="E7" s="237">
        <f>+-'Cash Flow Stat'!E46</f>
        <v>1698.9</v>
      </c>
      <c r="F7" s="242">
        <v>0</v>
      </c>
      <c r="G7" s="242">
        <v>5000</v>
      </c>
      <c r="H7" s="242">
        <v>4000</v>
      </c>
      <c r="I7" s="242">
        <v>4000</v>
      </c>
      <c r="J7" s="242">
        <v>2000</v>
      </c>
      <c r="K7" s="242">
        <v>2000</v>
      </c>
      <c r="L7" s="2"/>
    </row>
    <row r="8" spans="1:15">
      <c r="A8" s="2"/>
      <c r="B8" s="2"/>
      <c r="C8" s="2"/>
      <c r="D8" s="238"/>
      <c r="E8" s="238"/>
      <c r="F8" s="238"/>
      <c r="G8" s="247"/>
      <c r="H8" s="247"/>
      <c r="I8" s="247"/>
      <c r="J8" s="247"/>
      <c r="K8" s="247"/>
      <c r="L8" s="2"/>
    </row>
    <row r="9" spans="1:15">
      <c r="A9" s="2"/>
      <c r="B9" s="2" t="s">
        <v>129</v>
      </c>
      <c r="C9" s="268" t="s">
        <v>182</v>
      </c>
      <c r="D9" s="238"/>
      <c r="E9" s="238"/>
      <c r="F9" s="242">
        <v>87.45</v>
      </c>
      <c r="G9" s="239">
        <f>+F9*(1+G10)</f>
        <v>93.571500000000015</v>
      </c>
      <c r="H9" s="239">
        <f t="shared" ref="H9:K9" si="3">+G9*(1+H10)</f>
        <v>100.12150500000003</v>
      </c>
      <c r="I9" s="239">
        <f t="shared" si="3"/>
        <v>107.13001035000003</v>
      </c>
      <c r="J9" s="239">
        <f t="shared" si="3"/>
        <v>114.62911107450005</v>
      </c>
      <c r="K9" s="239">
        <f t="shared" si="3"/>
        <v>122.65314884971505</v>
      </c>
      <c r="L9" s="2"/>
    </row>
    <row r="10" spans="1:15">
      <c r="A10" s="2"/>
      <c r="B10" s="2" t="s">
        <v>147</v>
      </c>
      <c r="C10" s="2" t="s">
        <v>134</v>
      </c>
      <c r="D10" s="238"/>
      <c r="E10" s="238"/>
      <c r="F10" s="238"/>
      <c r="G10" s="249">
        <v>7.0000000000000007E-2</v>
      </c>
      <c r="H10" s="249">
        <v>7.0000000000000007E-2</v>
      </c>
      <c r="I10" s="249">
        <v>7.0000000000000007E-2</v>
      </c>
      <c r="J10" s="249">
        <v>7.0000000000000007E-2</v>
      </c>
      <c r="K10" s="249">
        <v>7.0000000000000007E-2</v>
      </c>
      <c r="L10" s="2"/>
    </row>
    <row r="11" spans="1:15">
      <c r="A11" s="2"/>
      <c r="B11" s="2"/>
      <c r="C11" s="2"/>
      <c r="D11" s="238"/>
      <c r="E11" s="238"/>
      <c r="F11" s="238"/>
      <c r="G11" s="247"/>
      <c r="H11" s="247"/>
      <c r="I11" s="247"/>
      <c r="J11" s="247"/>
      <c r="K11" s="247"/>
      <c r="L11" s="2"/>
    </row>
    <row r="12" spans="1:15">
      <c r="A12" s="2"/>
      <c r="B12" s="2" t="s">
        <v>177</v>
      </c>
      <c r="C12" s="2"/>
      <c r="D12" s="238"/>
      <c r="E12" s="238"/>
      <c r="F12" s="238">
        <f t="shared" ref="F12:K12" si="4">+F4+F5-F6-F7</f>
        <v>-5735.2999999999993</v>
      </c>
      <c r="G12" s="239">
        <f t="shared" si="4"/>
        <v>-9271.2299369284756</v>
      </c>
      <c r="H12" s="239">
        <f t="shared" si="4"/>
        <v>-10880.789180090127</v>
      </c>
      <c r="I12" s="239">
        <f t="shared" si="4"/>
        <v>-12316.077090564078</v>
      </c>
      <c r="J12" s="239">
        <f t="shared" si="4"/>
        <v>-11565.411633471556</v>
      </c>
      <c r="K12" s="239">
        <f t="shared" si="4"/>
        <v>-10588.076627648126</v>
      </c>
      <c r="L12" s="20"/>
      <c r="M12" s="10"/>
      <c r="N12" s="10"/>
      <c r="O12" s="10"/>
    </row>
    <row r="13" spans="1:15">
      <c r="A13" s="2"/>
      <c r="B13" s="2"/>
      <c r="C13" s="2"/>
      <c r="D13" s="238"/>
      <c r="E13" s="238"/>
      <c r="F13" s="238"/>
      <c r="G13" s="247"/>
      <c r="H13" s="247"/>
      <c r="I13" s="247"/>
      <c r="J13" s="247"/>
      <c r="K13" s="247"/>
      <c r="L13" s="2"/>
    </row>
    <row r="14" spans="1:15">
      <c r="A14" s="2"/>
      <c r="B14" s="2"/>
      <c r="C14" s="2"/>
      <c r="D14" s="238"/>
      <c r="E14" s="238"/>
      <c r="F14" s="238"/>
      <c r="G14" s="247"/>
      <c r="H14" s="247"/>
      <c r="I14" s="247"/>
      <c r="J14" s="247"/>
      <c r="K14" s="247"/>
      <c r="L14" s="2"/>
    </row>
    <row r="15" spans="1:15">
      <c r="A15" s="2"/>
      <c r="B15" s="2" t="s">
        <v>13</v>
      </c>
      <c r="C15" s="2"/>
      <c r="D15" s="239"/>
      <c r="E15" s="239">
        <f>+'Income Statement'!E48</f>
        <v>0.79152455661664323</v>
      </c>
      <c r="F15" s="239">
        <f>+'Income Statement'!F48</f>
        <v>3.5659816576086967</v>
      </c>
      <c r="G15" s="241">
        <f>+'Income Statement'!G48</f>
        <v>3.7635032900260166</v>
      </c>
      <c r="H15" s="241">
        <f>+'Income Statement'!H48</f>
        <v>4.5684926961001366</v>
      </c>
      <c r="I15" s="241">
        <f>+'Income Statement'!I48</f>
        <v>5.0830480958107058</v>
      </c>
      <c r="J15" s="241">
        <f>+'Income Statement'!J48</f>
        <v>5.5475821133850971</v>
      </c>
      <c r="K15" s="241">
        <f>+'Income Statement'!K48</f>
        <v>6.1051981900668864</v>
      </c>
      <c r="L15" s="2"/>
    </row>
    <row r="16" spans="1:15">
      <c r="A16" s="2"/>
      <c r="B16" s="2" t="s">
        <v>180</v>
      </c>
      <c r="C16" s="2"/>
      <c r="D16" s="238"/>
      <c r="E16" s="238">
        <f>0.41*3</f>
        <v>1.23</v>
      </c>
      <c r="F16" s="238">
        <f>+(0.45*3+0.49)</f>
        <v>1.84</v>
      </c>
      <c r="G16" s="239">
        <f>+G15*G17</f>
        <v>1.941918584710721</v>
      </c>
      <c r="H16" s="239">
        <f t="shared" ref="H16:J16" si="5">+H15*H17</f>
        <v>2.3572826132990348</v>
      </c>
      <c r="I16" s="239">
        <f t="shared" si="5"/>
        <v>2.6227864847077136</v>
      </c>
      <c r="J16" s="239">
        <f t="shared" si="5"/>
        <v>2.8624799757028581</v>
      </c>
      <c r="K16" s="239">
        <f t="shared" ref="K16" si="6">+K15*K17</f>
        <v>3.1502025944957222</v>
      </c>
      <c r="L16" s="2"/>
    </row>
    <row r="17" spans="1:12">
      <c r="A17" s="2"/>
      <c r="B17" s="2" t="s">
        <v>179</v>
      </c>
      <c r="C17" s="2"/>
      <c r="D17" s="238"/>
      <c r="E17" s="240">
        <f>+E16/E15</f>
        <v>1.5539631584617055</v>
      </c>
      <c r="F17" s="240">
        <f>+F16/F15</f>
        <v>0.51598695020598662</v>
      </c>
      <c r="G17" s="240">
        <f>+F17</f>
        <v>0.51598695020598662</v>
      </c>
      <c r="H17" s="240">
        <f t="shared" ref="H17:K17" si="7">+G17</f>
        <v>0.51598695020598662</v>
      </c>
      <c r="I17" s="240">
        <f t="shared" si="7"/>
        <v>0.51598695020598662</v>
      </c>
      <c r="J17" s="240">
        <f t="shared" si="7"/>
        <v>0.51598695020598662</v>
      </c>
      <c r="K17" s="240">
        <f t="shared" si="7"/>
        <v>0.51598695020598662</v>
      </c>
      <c r="L17" s="2"/>
    </row>
    <row r="18" spans="1:12">
      <c r="A18" s="2"/>
      <c r="B18" s="2"/>
      <c r="C18" s="2"/>
      <c r="D18" s="238"/>
      <c r="E18" s="238"/>
      <c r="F18" s="238"/>
      <c r="G18" s="247"/>
      <c r="H18" s="247"/>
      <c r="I18" s="247"/>
      <c r="J18" s="247"/>
      <c r="K18" s="247"/>
      <c r="L18" s="2"/>
    </row>
    <row r="19" spans="1:12">
      <c r="A19" s="2"/>
      <c r="B19" s="2" t="s">
        <v>183</v>
      </c>
      <c r="C19" s="2"/>
      <c r="D19" s="238"/>
      <c r="E19" s="238"/>
      <c r="F19" s="239">
        <f>+'Income Statement'!F54</f>
        <v>1177.5999999999999</v>
      </c>
      <c r="G19" s="239">
        <f>F19-G20</f>
        <v>1122.3579431172539</v>
      </c>
      <c r="H19" s="239">
        <f t="shared" ref="H19:K19" si="8">G19-H20</f>
        <v>1081.055470681556</v>
      </c>
      <c r="I19" s="239">
        <f t="shared" si="8"/>
        <v>1042.4550291528665</v>
      </c>
      <c r="J19" s="239">
        <f t="shared" si="8"/>
        <v>1024.4174396534788</v>
      </c>
      <c r="K19" s="239">
        <f t="shared" si="8"/>
        <v>1007.5598793736773</v>
      </c>
      <c r="L19" s="2"/>
    </row>
    <row r="20" spans="1:12">
      <c r="A20" s="2"/>
      <c r="B20" s="2" t="s">
        <v>321</v>
      </c>
      <c r="C20" s="2"/>
      <c r="D20" s="238"/>
      <c r="E20" s="238"/>
      <c r="F20" s="239"/>
      <c r="G20" s="239">
        <f>G7/AVERAGE(F9:G9)</f>
        <v>55.24205688274597</v>
      </c>
      <c r="H20" s="239">
        <f t="shared" ref="H20:K20" si="9">H7/AVERAGE(G9:H9)</f>
        <v>41.302472435697915</v>
      </c>
      <c r="I20" s="239">
        <f t="shared" si="9"/>
        <v>38.600441528689636</v>
      </c>
      <c r="J20" s="239">
        <f t="shared" si="9"/>
        <v>18.037589499387678</v>
      </c>
      <c r="K20" s="239">
        <f t="shared" si="9"/>
        <v>16.857560279801568</v>
      </c>
      <c r="L20" s="2"/>
    </row>
    <row r="21" spans="1:12">
      <c r="A21" s="2"/>
      <c r="B21" s="2" t="s">
        <v>184</v>
      </c>
      <c r="C21" s="2"/>
      <c r="D21" s="238"/>
      <c r="E21" s="238"/>
      <c r="F21" s="239">
        <f>+F22-F19</f>
        <v>7.9000000000000909</v>
      </c>
      <c r="G21" s="239">
        <f>+F21</f>
        <v>7.9000000000000909</v>
      </c>
      <c r="H21" s="239">
        <f t="shared" ref="H21:K21" si="10">+G21</f>
        <v>7.9000000000000909</v>
      </c>
      <c r="I21" s="239">
        <f t="shared" si="10"/>
        <v>7.9000000000000909</v>
      </c>
      <c r="J21" s="239">
        <f t="shared" si="10"/>
        <v>7.9000000000000909</v>
      </c>
      <c r="K21" s="239">
        <f t="shared" si="10"/>
        <v>7.9000000000000909</v>
      </c>
      <c r="L21" s="2"/>
    </row>
    <row r="22" spans="1:12">
      <c r="A22" s="2"/>
      <c r="B22" s="2" t="s">
        <v>185</v>
      </c>
      <c r="C22" s="2"/>
      <c r="D22" s="238"/>
      <c r="E22" s="238"/>
      <c r="F22" s="239">
        <f>+'Income Statement'!F55</f>
        <v>1185.5</v>
      </c>
      <c r="G22" s="239">
        <f>+G19+G21</f>
        <v>1130.2579431172539</v>
      </c>
      <c r="H22" s="239">
        <f t="shared" ref="H22:J22" si="11">+H19+H21</f>
        <v>1088.9554706815561</v>
      </c>
      <c r="I22" s="239">
        <f t="shared" si="11"/>
        <v>1050.3550291528666</v>
      </c>
      <c r="J22" s="239">
        <f t="shared" si="11"/>
        <v>1032.3174396534789</v>
      </c>
      <c r="K22" s="239">
        <f t="shared" ref="K22" si="12">+K19+K21</f>
        <v>1015.4598793736774</v>
      </c>
      <c r="L22" s="2"/>
    </row>
    <row r="23" spans="1:12">
      <c r="A23" s="2"/>
      <c r="B23" s="2"/>
      <c r="C23" s="2"/>
      <c r="D23" s="2"/>
      <c r="E23" s="2"/>
      <c r="F23" s="2"/>
      <c r="G23" s="116"/>
      <c r="H23" s="116"/>
      <c r="I23" s="116"/>
      <c r="J23" s="116"/>
      <c r="K23" s="2"/>
      <c r="L23" s="2"/>
    </row>
    <row r="24" spans="1:12">
      <c r="A24" s="2"/>
      <c r="B24" s="2"/>
      <c r="C24" s="2"/>
      <c r="D24" s="2"/>
      <c r="E24" s="2"/>
      <c r="F24" s="2"/>
      <c r="G24" s="116"/>
      <c r="H24" s="116"/>
      <c r="I24" s="116"/>
      <c r="J24" s="116"/>
      <c r="K24" s="2"/>
      <c r="L24" s="2"/>
    </row>
    <row r="25" spans="1:12">
      <c r="A25" s="2"/>
      <c r="B25" s="2"/>
      <c r="C25" s="2"/>
      <c r="D25" s="2"/>
      <c r="E25" s="2"/>
      <c r="F25" s="2"/>
      <c r="G25" s="116"/>
      <c r="H25" s="116"/>
      <c r="I25" s="116"/>
      <c r="J25" s="116"/>
      <c r="K25" s="2"/>
      <c r="L25" s="2"/>
    </row>
    <row r="26" spans="1:12">
      <c r="A26" s="2"/>
      <c r="B26" s="2"/>
      <c r="C26" s="2"/>
      <c r="D26" s="2"/>
      <c r="E26" s="2"/>
      <c r="F26" s="2"/>
      <c r="G26" s="116"/>
      <c r="H26" s="116"/>
      <c r="I26" s="116"/>
      <c r="J26" s="116"/>
      <c r="K26" s="2"/>
      <c r="L26" s="2"/>
    </row>
    <row r="27" spans="1:12">
      <c r="A27" s="2"/>
      <c r="B27" s="2"/>
      <c r="C27" s="2"/>
      <c r="D27" s="2"/>
      <c r="E27" s="2"/>
      <c r="F27" s="2"/>
      <c r="G27" s="116"/>
      <c r="H27" s="116"/>
      <c r="I27" s="116"/>
      <c r="J27" s="116"/>
      <c r="K27" s="2"/>
      <c r="L27" s="2"/>
    </row>
    <row r="28" spans="1:12">
      <c r="A28" s="2"/>
      <c r="B28" s="2"/>
      <c r="C28" s="2"/>
      <c r="D28" s="2"/>
      <c r="E28" s="2"/>
      <c r="F28" s="2"/>
      <c r="G28" s="116"/>
      <c r="H28" s="116"/>
      <c r="I28" s="116"/>
      <c r="J28" s="116"/>
      <c r="K28" s="2"/>
      <c r="L28" s="2"/>
    </row>
    <row r="29" spans="1:12">
      <c r="A29" s="2"/>
      <c r="B29" s="2"/>
      <c r="C29" s="2"/>
      <c r="D29" s="2"/>
      <c r="E29" s="2"/>
      <c r="F29" s="2"/>
      <c r="G29" s="116"/>
      <c r="H29" s="116"/>
      <c r="I29" s="116"/>
      <c r="J29" s="116"/>
      <c r="K29" s="2"/>
      <c r="L29" s="2"/>
    </row>
    <row r="30" spans="1:12">
      <c r="A30" s="2"/>
      <c r="B30" s="2"/>
      <c r="C30" s="2"/>
      <c r="D30" s="2"/>
      <c r="E30" s="2"/>
      <c r="F30" s="2"/>
      <c r="G30" s="116"/>
      <c r="H30" s="116"/>
      <c r="I30" s="116"/>
      <c r="J30" s="116"/>
      <c r="K30" s="2"/>
      <c r="L30" s="2"/>
    </row>
    <row r="31" spans="1:12">
      <c r="A31" s="2"/>
      <c r="B31" s="2"/>
      <c r="C31" s="2"/>
      <c r="D31" s="2"/>
      <c r="E31" s="2"/>
      <c r="F31" s="2"/>
      <c r="G31" s="116"/>
      <c r="H31" s="116"/>
      <c r="I31" s="116"/>
      <c r="J31" s="116"/>
      <c r="K31" s="2"/>
      <c r="L31" s="2"/>
    </row>
    <row r="32" spans="1:12">
      <c r="A32" s="2"/>
      <c r="B32" s="2"/>
      <c r="C32" s="2"/>
      <c r="D32" s="2"/>
      <c r="E32" s="2"/>
      <c r="F32" s="2"/>
      <c r="G32" s="116"/>
      <c r="H32" s="116"/>
      <c r="I32" s="116"/>
      <c r="J32" s="116"/>
      <c r="K32" s="2"/>
      <c r="L32" s="2"/>
    </row>
    <row r="33" spans="1:12">
      <c r="A33" s="2"/>
      <c r="B33" s="2"/>
      <c r="C33" s="2"/>
      <c r="D33" s="2"/>
      <c r="E33" s="2"/>
      <c r="F33" s="2"/>
      <c r="G33" s="116"/>
      <c r="H33" s="116"/>
      <c r="I33" s="116"/>
      <c r="J33" s="116"/>
      <c r="K33" s="2"/>
      <c r="L33" s="2"/>
    </row>
    <row r="34" spans="1:12">
      <c r="A34" s="2"/>
      <c r="B34" s="2"/>
      <c r="C34" s="2"/>
      <c r="D34" s="2"/>
      <c r="E34" s="2"/>
      <c r="F34" s="2"/>
      <c r="G34" s="116"/>
      <c r="H34" s="116"/>
      <c r="I34" s="116"/>
      <c r="J34" s="116"/>
      <c r="K34" s="2"/>
      <c r="L34" s="2"/>
    </row>
    <row r="35" spans="1:12">
      <c r="A35" s="2"/>
      <c r="B35" s="2"/>
      <c r="C35" s="2"/>
      <c r="D35" s="2"/>
      <c r="E35" s="2"/>
      <c r="F35" s="2"/>
      <c r="G35" s="116"/>
      <c r="H35" s="116"/>
      <c r="I35" s="116"/>
      <c r="J35" s="116"/>
      <c r="K35" s="2"/>
      <c r="L35" s="2"/>
    </row>
    <row r="36" spans="1:12">
      <c r="A36" s="2"/>
      <c r="B36" s="2"/>
      <c r="C36" s="2"/>
      <c r="D36" s="2"/>
      <c r="E36" s="2"/>
      <c r="F36" s="2"/>
      <c r="G36" s="116"/>
      <c r="H36" s="116"/>
      <c r="I36" s="116"/>
      <c r="J36" s="116"/>
      <c r="K36" s="2"/>
      <c r="L36" s="2"/>
    </row>
    <row r="37" spans="1:12">
      <c r="A37" s="2"/>
      <c r="B37" s="2"/>
      <c r="C37" s="2"/>
      <c r="D37" s="2"/>
      <c r="E37" s="2"/>
      <c r="F37" s="2"/>
      <c r="G37" s="116"/>
      <c r="H37" s="116"/>
      <c r="I37" s="116"/>
      <c r="J37" s="116"/>
      <c r="K37" s="2"/>
      <c r="L37" s="2"/>
    </row>
    <row r="38" spans="1:12">
      <c r="A38" s="2"/>
      <c r="B38" s="2"/>
      <c r="C38" s="2"/>
      <c r="D38" s="2"/>
      <c r="E38" s="2"/>
      <c r="F38" s="2"/>
      <c r="G38" s="116"/>
      <c r="H38" s="116"/>
      <c r="I38" s="116"/>
      <c r="J38" s="116"/>
      <c r="K38" s="2"/>
      <c r="L38" s="2"/>
    </row>
    <row r="39" spans="1:12">
      <c r="A39" s="2"/>
      <c r="B39" s="2"/>
      <c r="C39" s="2"/>
      <c r="D39" s="2"/>
      <c r="E39" s="2"/>
      <c r="F39" s="2"/>
      <c r="G39" s="116"/>
      <c r="H39" s="116"/>
      <c r="I39" s="116"/>
      <c r="J39" s="116"/>
      <c r="K39" s="2"/>
      <c r="L39" s="2"/>
    </row>
    <row r="40" spans="1:12">
      <c r="A40" s="2"/>
      <c r="B40" s="2"/>
      <c r="C40" s="2"/>
      <c r="D40" s="2"/>
      <c r="E40" s="2"/>
      <c r="F40" s="2"/>
      <c r="G40" s="116"/>
      <c r="H40" s="116"/>
      <c r="I40" s="116"/>
      <c r="J40" s="116"/>
      <c r="K40" s="2"/>
      <c r="L40" s="2"/>
    </row>
    <row r="41" spans="1:12">
      <c r="A41" s="2"/>
      <c r="B41" s="2"/>
      <c r="C41" s="2"/>
      <c r="D41" s="2"/>
      <c r="E41" s="2"/>
      <c r="F41" s="2"/>
      <c r="G41" s="116"/>
      <c r="H41" s="116"/>
      <c r="I41" s="116"/>
      <c r="J41" s="116"/>
      <c r="K41" s="2"/>
      <c r="L41" s="2"/>
    </row>
    <row r="42" spans="1:12">
      <c r="A42" s="2"/>
      <c r="B42" s="2"/>
      <c r="C42" s="2"/>
      <c r="D42" s="2"/>
      <c r="E42" s="2"/>
      <c r="F42" s="2"/>
      <c r="G42" s="116"/>
      <c r="H42" s="116"/>
      <c r="I42" s="116"/>
      <c r="J42" s="116"/>
      <c r="K42" s="2"/>
      <c r="L42" s="2"/>
    </row>
    <row r="43" spans="1:12">
      <c r="A43" s="2"/>
      <c r="B43" s="2"/>
      <c r="C43" s="2"/>
      <c r="D43" s="2"/>
      <c r="E43" s="2"/>
      <c r="F43" s="2"/>
      <c r="G43" s="116"/>
      <c r="H43" s="116"/>
      <c r="I43" s="116"/>
      <c r="J43" s="116"/>
      <c r="K43" s="2"/>
      <c r="L43" s="2"/>
    </row>
    <row r="44" spans="1:12">
      <c r="A44" s="2"/>
      <c r="B44" s="2"/>
      <c r="C44" s="2"/>
      <c r="D44" s="2"/>
      <c r="E44" s="2"/>
      <c r="F44" s="2"/>
      <c r="G44" s="116"/>
      <c r="H44" s="116"/>
      <c r="I44" s="116"/>
      <c r="J44" s="116"/>
      <c r="K44" s="2"/>
      <c r="L44" s="2"/>
    </row>
    <row r="45" spans="1:12">
      <c r="A45" s="2"/>
      <c r="B45" s="2"/>
      <c r="C45" s="2"/>
      <c r="D45" s="2"/>
      <c r="E45" s="2"/>
      <c r="F45" s="2"/>
      <c r="G45" s="116"/>
      <c r="H45" s="116"/>
      <c r="I45" s="116"/>
      <c r="J45" s="116"/>
      <c r="K45" s="2"/>
      <c r="L45" s="2"/>
    </row>
    <row r="46" spans="1:12">
      <c r="A46" s="2"/>
      <c r="B46" s="2"/>
      <c r="C46" s="2"/>
      <c r="D46" s="2"/>
      <c r="E46" s="2"/>
      <c r="F46" s="2"/>
      <c r="G46" s="116"/>
      <c r="H46" s="116"/>
      <c r="I46" s="116"/>
      <c r="J46" s="116"/>
      <c r="K46" s="2"/>
      <c r="L46" s="2"/>
    </row>
    <row r="47" spans="1:12">
      <c r="A47" s="2"/>
      <c r="B47" s="2"/>
      <c r="C47" s="2"/>
      <c r="D47" s="2"/>
      <c r="E47" s="2"/>
      <c r="F47" s="2"/>
      <c r="G47" s="116"/>
      <c r="H47" s="116"/>
      <c r="I47" s="116"/>
      <c r="J47" s="116"/>
      <c r="K47" s="2"/>
      <c r="L47" s="2"/>
    </row>
    <row r="48" spans="1:12">
      <c r="A48" s="2"/>
      <c r="B48" s="2"/>
      <c r="C48" s="2"/>
      <c r="D48" s="2"/>
      <c r="E48" s="2"/>
      <c r="F48" s="2"/>
      <c r="G48" s="116"/>
      <c r="H48" s="116"/>
      <c r="I48" s="116"/>
      <c r="J48" s="116"/>
      <c r="K48" s="2"/>
      <c r="L48" s="2"/>
    </row>
    <row r="49" spans="1:12">
      <c r="A49" s="2"/>
      <c r="B49" s="2"/>
      <c r="C49" s="2"/>
      <c r="D49" s="2"/>
      <c r="E49" s="2"/>
      <c r="F49" s="2"/>
      <c r="G49" s="116"/>
      <c r="H49" s="116"/>
      <c r="I49" s="116"/>
      <c r="J49" s="116"/>
      <c r="K49" s="2"/>
      <c r="L49" s="2"/>
    </row>
    <row r="50" spans="1:12">
      <c r="A50" s="2"/>
      <c r="B50" s="2"/>
      <c r="C50" s="2"/>
      <c r="D50" s="2"/>
      <c r="E50" s="2"/>
      <c r="F50" s="2"/>
      <c r="G50" s="116"/>
      <c r="H50" s="116"/>
      <c r="I50" s="116"/>
      <c r="J50" s="116"/>
      <c r="K50" s="2"/>
      <c r="L50" s="2"/>
    </row>
    <row r="51" spans="1:12">
      <c r="A51" s="2"/>
      <c r="B51" s="2"/>
      <c r="C51" s="2"/>
      <c r="D51" s="2"/>
      <c r="E51" s="2"/>
      <c r="F51" s="2"/>
      <c r="G51" s="116"/>
      <c r="H51" s="116"/>
      <c r="I51" s="116"/>
      <c r="J51" s="116"/>
      <c r="K51" s="2"/>
      <c r="L51" s="2"/>
    </row>
    <row r="52" spans="1:12">
      <c r="A52" s="2"/>
      <c r="B52" s="2"/>
      <c r="C52" s="2"/>
      <c r="D52" s="2"/>
      <c r="E52" s="2"/>
      <c r="F52" s="2"/>
      <c r="G52" s="116"/>
      <c r="H52" s="116"/>
      <c r="I52" s="116"/>
      <c r="J52" s="116"/>
      <c r="K52" s="2"/>
      <c r="L52" s="2"/>
    </row>
    <row r="53" spans="1:12">
      <c r="A53" s="2"/>
      <c r="B53" s="2"/>
      <c r="C53" s="2"/>
      <c r="D53" s="2"/>
      <c r="E53" s="2"/>
      <c r="F53" s="2"/>
      <c r="G53" s="116"/>
      <c r="H53" s="116"/>
      <c r="I53" s="116"/>
      <c r="J53" s="116"/>
      <c r="K53" s="2"/>
      <c r="L53" s="2"/>
    </row>
    <row r="54" spans="1:12">
      <c r="A54" s="2"/>
      <c r="B54" s="2"/>
      <c r="C54" s="2"/>
      <c r="D54" s="2"/>
      <c r="E54" s="2"/>
      <c r="F54" s="2"/>
      <c r="G54" s="116"/>
      <c r="H54" s="116"/>
      <c r="I54" s="116"/>
      <c r="J54" s="116"/>
      <c r="K54" s="2"/>
      <c r="L54" s="2"/>
    </row>
    <row r="55" spans="1:12">
      <c r="A55" s="2"/>
      <c r="B55" s="2"/>
      <c r="C55" s="2"/>
      <c r="D55" s="2"/>
      <c r="E55" s="2"/>
      <c r="F55" s="2"/>
      <c r="G55" s="116"/>
      <c r="H55" s="116"/>
      <c r="I55" s="116"/>
      <c r="J55" s="116"/>
      <c r="K55" s="2"/>
      <c r="L55" s="2"/>
    </row>
    <row r="56" spans="1:12">
      <c r="A56" s="2"/>
      <c r="B56" s="2"/>
      <c r="C56" s="2"/>
      <c r="D56" s="2"/>
      <c r="E56" s="2"/>
      <c r="F56" s="2"/>
      <c r="G56" s="116"/>
      <c r="H56" s="116"/>
      <c r="I56" s="116"/>
      <c r="J56" s="116"/>
      <c r="K56" s="2"/>
      <c r="L56" s="2"/>
    </row>
    <row r="57" spans="1:12">
      <c r="A57" s="2"/>
      <c r="B57" s="2"/>
      <c r="C57" s="2"/>
      <c r="D57" s="2"/>
      <c r="E57" s="2"/>
      <c r="F57" s="2"/>
      <c r="G57" s="116"/>
      <c r="H57" s="116"/>
      <c r="I57" s="116"/>
      <c r="J57" s="116"/>
      <c r="K57" s="2"/>
      <c r="L57" s="2"/>
    </row>
    <row r="58" spans="1:12">
      <c r="A58" s="2"/>
      <c r="B58" s="2"/>
      <c r="C58" s="2"/>
      <c r="D58" s="2"/>
      <c r="E58" s="2"/>
      <c r="F58" s="2"/>
      <c r="G58" s="116"/>
      <c r="H58" s="116"/>
      <c r="I58" s="116"/>
      <c r="J58" s="116"/>
      <c r="K58" s="2"/>
      <c r="L58" s="2"/>
    </row>
    <row r="59" spans="1:12">
      <c r="A59" s="2"/>
      <c r="B59" s="2"/>
      <c r="C59" s="2"/>
      <c r="D59" s="2"/>
      <c r="E59" s="2"/>
      <c r="F59" s="2"/>
      <c r="G59" s="116"/>
      <c r="H59" s="116"/>
      <c r="I59" s="116"/>
      <c r="J59" s="116"/>
      <c r="K59" s="2"/>
      <c r="L59" s="2"/>
    </row>
    <row r="60" spans="1:12">
      <c r="A60" s="2"/>
      <c r="B60" s="2"/>
      <c r="C60" s="2"/>
      <c r="D60" s="2"/>
      <c r="E60" s="2"/>
      <c r="F60" s="2"/>
      <c r="G60" s="116"/>
      <c r="H60" s="116"/>
      <c r="I60" s="116"/>
      <c r="J60" s="116"/>
      <c r="K60" s="2"/>
      <c r="L60" s="2"/>
    </row>
    <row r="61" spans="1:12">
      <c r="A61" s="2"/>
      <c r="B61" s="2"/>
      <c r="C61" s="2"/>
      <c r="D61" s="2"/>
      <c r="E61" s="2"/>
      <c r="F61" s="2"/>
      <c r="G61" s="116"/>
      <c r="H61" s="116"/>
      <c r="I61" s="116"/>
      <c r="J61" s="116"/>
      <c r="K61" s="2"/>
      <c r="L61" s="2"/>
    </row>
    <row r="62" spans="1:12">
      <c r="A62" s="2"/>
      <c r="B62" s="2"/>
      <c r="C62" s="2"/>
      <c r="D62" s="2"/>
      <c r="E62" s="2"/>
      <c r="F62" s="2"/>
      <c r="G62" s="116"/>
      <c r="H62" s="116"/>
      <c r="I62" s="116"/>
      <c r="J62" s="116"/>
      <c r="K62" s="2"/>
      <c r="L62" s="2"/>
    </row>
    <row r="63" spans="1:12">
      <c r="A63" s="2"/>
      <c r="B63" s="2"/>
      <c r="C63" s="2"/>
      <c r="D63" s="2"/>
      <c r="E63" s="2"/>
      <c r="F63" s="2"/>
      <c r="G63" s="116"/>
      <c r="H63" s="116"/>
      <c r="I63" s="116"/>
      <c r="J63" s="116"/>
      <c r="K63" s="2"/>
      <c r="L63" s="2"/>
    </row>
    <row r="64" spans="1:12">
      <c r="A64" s="2"/>
      <c r="B64" s="2"/>
      <c r="C64" s="2"/>
      <c r="D64" s="2"/>
      <c r="E64" s="2"/>
      <c r="F64" s="2"/>
      <c r="G64" s="116"/>
      <c r="H64" s="116"/>
      <c r="I64" s="116"/>
      <c r="J64" s="116"/>
      <c r="K64" s="2"/>
      <c r="L64" s="2"/>
    </row>
    <row r="65" spans="1:12">
      <c r="A65" s="2"/>
      <c r="B65" s="2"/>
      <c r="C65" s="2"/>
      <c r="D65" s="2"/>
      <c r="E65" s="2"/>
      <c r="F65" s="2"/>
      <c r="G65" s="116"/>
      <c r="H65" s="116"/>
      <c r="I65" s="116"/>
      <c r="J65" s="116"/>
      <c r="K65" s="2"/>
      <c r="L65" s="2"/>
    </row>
    <row r="66" spans="1:12">
      <c r="A66" s="2"/>
      <c r="B66" s="2"/>
      <c r="C66" s="2"/>
      <c r="D66" s="2"/>
      <c r="E66" s="2"/>
      <c r="F66" s="2"/>
      <c r="G66" s="116"/>
      <c r="H66" s="116"/>
      <c r="I66" s="116"/>
      <c r="J66" s="116"/>
      <c r="K66" s="2"/>
      <c r="L66" s="2"/>
    </row>
    <row r="67" spans="1:12">
      <c r="A67" s="2"/>
      <c r="B67" s="2"/>
      <c r="C67" s="2"/>
      <c r="D67" s="2"/>
      <c r="E67" s="2"/>
      <c r="F67" s="2"/>
      <c r="G67" s="116"/>
      <c r="H67" s="116"/>
      <c r="I67" s="116"/>
      <c r="J67" s="116"/>
      <c r="K67" s="2"/>
      <c r="L67" s="2"/>
    </row>
    <row r="68" spans="1:12">
      <c r="A68" s="2"/>
      <c r="B68" s="2"/>
      <c r="C68" s="2"/>
      <c r="D68" s="2"/>
      <c r="E68" s="2"/>
      <c r="F68" s="2"/>
      <c r="G68" s="116"/>
      <c r="H68" s="116"/>
      <c r="I68" s="116"/>
      <c r="J68" s="116"/>
      <c r="K68" s="2"/>
      <c r="L68" s="2"/>
    </row>
    <row r="69" spans="1:12">
      <c r="A69" s="2"/>
      <c r="B69" s="2"/>
      <c r="C69" s="2"/>
      <c r="D69" s="2"/>
      <c r="E69" s="2"/>
      <c r="F69" s="2"/>
      <c r="G69" s="116"/>
      <c r="H69" s="116"/>
      <c r="I69" s="116"/>
      <c r="J69" s="116"/>
      <c r="K69" s="2"/>
      <c r="L69" s="2"/>
    </row>
    <row r="70" spans="1:12">
      <c r="A70" s="2"/>
      <c r="B70" s="2"/>
      <c r="C70" s="2"/>
      <c r="D70" s="2"/>
      <c r="E70" s="2"/>
      <c r="F70" s="2"/>
      <c r="G70" s="116"/>
      <c r="H70" s="116"/>
      <c r="I70" s="116"/>
      <c r="J70" s="116"/>
      <c r="K70" s="2"/>
      <c r="L70" s="2"/>
    </row>
    <row r="71" spans="1:12">
      <c r="A71" s="2"/>
      <c r="B71" s="2"/>
      <c r="C71" s="2"/>
      <c r="D71" s="2"/>
      <c r="E71" s="2"/>
      <c r="F71" s="2"/>
      <c r="G71" s="116"/>
      <c r="H71" s="116"/>
      <c r="I71" s="116"/>
      <c r="J71" s="116"/>
      <c r="K71" s="2"/>
      <c r="L71" s="2"/>
    </row>
    <row r="72" spans="1:12">
      <c r="A72" s="2"/>
      <c r="B72" s="2"/>
      <c r="C72" s="2"/>
      <c r="D72" s="2"/>
      <c r="E72" s="2"/>
      <c r="F72" s="2"/>
      <c r="G72" s="116"/>
      <c r="H72" s="116"/>
      <c r="I72" s="116"/>
      <c r="J72" s="116"/>
      <c r="K72" s="2"/>
      <c r="L72" s="2"/>
    </row>
    <row r="73" spans="1:12">
      <c r="A73" s="2"/>
      <c r="B73" s="2"/>
      <c r="C73" s="2"/>
      <c r="D73" s="2"/>
      <c r="E73" s="2"/>
      <c r="F73" s="2"/>
      <c r="G73" s="116"/>
      <c r="H73" s="116"/>
      <c r="I73" s="116"/>
      <c r="J73" s="116"/>
      <c r="K73" s="2"/>
      <c r="L73" s="2"/>
    </row>
    <row r="74" spans="1:12">
      <c r="A74" s="2"/>
      <c r="B74" s="2"/>
      <c r="C74" s="2"/>
      <c r="D74" s="2"/>
      <c r="E74" s="2"/>
      <c r="F74" s="2"/>
      <c r="G74" s="116"/>
      <c r="H74" s="116"/>
      <c r="I74" s="116"/>
      <c r="J74" s="116"/>
      <c r="K74" s="2"/>
      <c r="L74" s="2"/>
    </row>
    <row r="75" spans="1:12">
      <c r="A75" s="2"/>
      <c r="B75" s="2"/>
      <c r="C75" s="2"/>
      <c r="D75" s="2"/>
      <c r="E75" s="2"/>
      <c r="F75" s="2"/>
      <c r="G75" s="116"/>
      <c r="H75" s="116"/>
      <c r="I75" s="116"/>
      <c r="J75" s="116"/>
      <c r="K75" s="2"/>
      <c r="L75" s="2"/>
    </row>
    <row r="76" spans="1:12">
      <c r="A76" s="2"/>
      <c r="B76" s="2"/>
      <c r="C76" s="2"/>
      <c r="D76" s="2"/>
      <c r="E76" s="2"/>
      <c r="F76" s="2"/>
      <c r="G76" s="116"/>
      <c r="H76" s="116"/>
      <c r="I76" s="116"/>
      <c r="J76" s="116"/>
      <c r="K76" s="2"/>
      <c r="L76" s="2"/>
    </row>
    <row r="77" spans="1:12">
      <c r="A77" s="2"/>
      <c r="B77" s="2"/>
      <c r="C77" s="2"/>
      <c r="D77" s="2"/>
      <c r="E77" s="2"/>
      <c r="F77" s="2"/>
      <c r="G77" s="116"/>
      <c r="H77" s="116"/>
      <c r="I77" s="116"/>
      <c r="J77" s="116"/>
      <c r="K77" s="2"/>
      <c r="L77" s="2"/>
    </row>
    <row r="78" spans="1:12">
      <c r="A78" s="2"/>
      <c r="B78" s="2"/>
      <c r="C78" s="2"/>
      <c r="D78" s="2"/>
      <c r="E78" s="2"/>
      <c r="F78" s="2"/>
      <c r="G78" s="116"/>
      <c r="H78" s="116"/>
      <c r="I78" s="116"/>
      <c r="J78" s="116"/>
      <c r="K78" s="2"/>
      <c r="L78" s="2"/>
    </row>
    <row r="79" spans="1:12">
      <c r="A79" s="2"/>
      <c r="B79" s="2"/>
      <c r="C79" s="2"/>
      <c r="D79" s="2"/>
      <c r="E79" s="2"/>
      <c r="F79" s="2"/>
      <c r="G79" s="116"/>
      <c r="H79" s="116"/>
      <c r="I79" s="116"/>
      <c r="J79" s="116"/>
      <c r="K79" s="2"/>
      <c r="L79" s="2"/>
    </row>
    <row r="80" spans="1:12">
      <c r="A80" s="2"/>
      <c r="B80" s="2"/>
      <c r="C80" s="2"/>
      <c r="D80" s="2"/>
      <c r="E80" s="2"/>
      <c r="F80" s="2"/>
      <c r="G80" s="116"/>
      <c r="H80" s="116"/>
      <c r="I80" s="116"/>
      <c r="J80" s="116"/>
      <c r="K80" s="2"/>
      <c r="L80" s="2"/>
    </row>
    <row r="81" spans="1:12">
      <c r="A81" s="2"/>
      <c r="B81" s="2"/>
      <c r="C81" s="2"/>
      <c r="D81" s="2"/>
      <c r="E81" s="2"/>
      <c r="F81" s="2"/>
      <c r="G81" s="116"/>
      <c r="H81" s="116"/>
      <c r="I81" s="116"/>
      <c r="J81" s="116"/>
      <c r="K81" s="2"/>
      <c r="L81" s="2"/>
    </row>
    <row r="82" spans="1:12">
      <c r="A82" s="2"/>
      <c r="B82" s="2"/>
      <c r="C82" s="2"/>
      <c r="D82" s="2"/>
      <c r="E82" s="2"/>
      <c r="F82" s="2"/>
      <c r="G82" s="116"/>
      <c r="H82" s="116"/>
      <c r="I82" s="116"/>
      <c r="J82" s="116"/>
      <c r="K82" s="2"/>
      <c r="L82" s="2"/>
    </row>
    <row r="83" spans="1:12">
      <c r="A83" s="2"/>
      <c r="B83" s="2"/>
      <c r="C83" s="2"/>
      <c r="D83" s="2"/>
      <c r="E83" s="2"/>
      <c r="F83" s="2"/>
      <c r="G83" s="116"/>
      <c r="H83" s="116"/>
      <c r="I83" s="116"/>
      <c r="J83" s="116"/>
      <c r="K83" s="2"/>
      <c r="L83" s="2"/>
    </row>
    <row r="84" spans="1:12">
      <c r="A84" s="2"/>
      <c r="B84" s="2"/>
      <c r="C84" s="2"/>
      <c r="D84" s="2"/>
      <c r="E84" s="2"/>
      <c r="F84" s="2"/>
      <c r="G84" s="116"/>
      <c r="H84" s="116"/>
      <c r="I84" s="116"/>
      <c r="J84" s="116"/>
      <c r="K84" s="2"/>
      <c r="L84" s="2"/>
    </row>
    <row r="85" spans="1:12">
      <c r="A85" s="2"/>
      <c r="B85" s="2"/>
      <c r="C85" s="2"/>
      <c r="D85" s="2"/>
      <c r="E85" s="2"/>
      <c r="F85" s="2"/>
      <c r="G85" s="116"/>
      <c r="H85" s="116"/>
      <c r="I85" s="116"/>
      <c r="J85" s="116"/>
      <c r="K85" s="2"/>
      <c r="L85" s="2"/>
    </row>
    <row r="86" spans="1:12">
      <c r="A86" s="2"/>
      <c r="B86" s="2"/>
      <c r="C86" s="2"/>
      <c r="D86" s="2"/>
      <c r="E86" s="2"/>
      <c r="F86" s="2"/>
      <c r="G86" s="116"/>
      <c r="H86" s="116"/>
      <c r="I86" s="116"/>
      <c r="J86" s="116"/>
      <c r="K86" s="2"/>
      <c r="L86" s="2"/>
    </row>
    <row r="87" spans="1:12">
      <c r="A87" s="2"/>
      <c r="B87" s="2"/>
      <c r="C87" s="2"/>
      <c r="D87" s="2"/>
      <c r="E87" s="2"/>
      <c r="F87" s="2"/>
      <c r="G87" s="116"/>
      <c r="H87" s="116"/>
      <c r="I87" s="116"/>
      <c r="J87" s="116"/>
      <c r="K87" s="2"/>
      <c r="L87" s="2"/>
    </row>
    <row r="88" spans="1:12">
      <c r="A88" s="2"/>
      <c r="B88" s="2"/>
      <c r="C88" s="2"/>
      <c r="D88" s="2"/>
      <c r="E88" s="2"/>
      <c r="F88" s="2"/>
      <c r="G88" s="116"/>
      <c r="H88" s="116"/>
      <c r="I88" s="116"/>
      <c r="J88" s="116"/>
      <c r="K88" s="2"/>
      <c r="L88" s="2"/>
    </row>
    <row r="89" spans="1:12">
      <c r="A89" s="2"/>
      <c r="B89" s="2"/>
      <c r="C89" s="2"/>
      <c r="D89" s="2"/>
      <c r="E89" s="2"/>
      <c r="F89" s="2"/>
      <c r="G89" s="116"/>
      <c r="H89" s="116"/>
      <c r="I89" s="116"/>
      <c r="J89" s="116"/>
      <c r="K89" s="2"/>
      <c r="L89" s="2"/>
    </row>
    <row r="90" spans="1:12">
      <c r="A90" s="2"/>
      <c r="B90" s="2"/>
      <c r="C90" s="2"/>
      <c r="D90" s="2"/>
      <c r="E90" s="2"/>
      <c r="F90" s="2"/>
      <c r="G90" s="116"/>
      <c r="H90" s="116"/>
      <c r="I90" s="116"/>
      <c r="J90" s="116"/>
      <c r="K90" s="2"/>
      <c r="L90" s="2"/>
    </row>
    <row r="91" spans="1:12">
      <c r="A91" s="2"/>
      <c r="B91" s="2"/>
      <c r="C91" s="2"/>
      <c r="D91" s="2"/>
      <c r="E91" s="2"/>
      <c r="F91" s="2"/>
      <c r="G91" s="116"/>
      <c r="H91" s="116"/>
      <c r="I91" s="116"/>
      <c r="J91" s="116"/>
      <c r="K91" s="2"/>
      <c r="L91" s="2"/>
    </row>
    <row r="92" spans="1:12">
      <c r="A92" s="2"/>
      <c r="B92" s="2"/>
      <c r="C92" s="2"/>
      <c r="D92" s="2"/>
      <c r="E92" s="2"/>
      <c r="F92" s="2"/>
      <c r="G92" s="116"/>
      <c r="H92" s="116"/>
      <c r="I92" s="116"/>
      <c r="J92" s="116"/>
      <c r="K92" s="2"/>
      <c r="L92" s="2"/>
    </row>
    <row r="93" spans="1:12">
      <c r="A93" s="2"/>
      <c r="B93" s="2"/>
      <c r="C93" s="2"/>
      <c r="D93" s="2"/>
      <c r="E93" s="2"/>
      <c r="F93" s="2"/>
      <c r="G93" s="116"/>
      <c r="H93" s="116"/>
      <c r="I93" s="116"/>
      <c r="J93" s="116"/>
      <c r="K93" s="2"/>
      <c r="L93" s="2"/>
    </row>
    <row r="94" spans="1:12">
      <c r="A94" s="2"/>
      <c r="B94" s="2"/>
      <c r="C94" s="2"/>
      <c r="D94" s="2"/>
      <c r="E94" s="2"/>
      <c r="F94" s="2"/>
      <c r="G94" s="116"/>
      <c r="H94" s="116"/>
      <c r="I94" s="116"/>
      <c r="J94" s="116"/>
      <c r="K94" s="2"/>
      <c r="L94" s="2"/>
    </row>
    <row r="95" spans="1:12">
      <c r="A95" s="2"/>
      <c r="B95" s="2"/>
      <c r="C95" s="2"/>
      <c r="D95" s="2"/>
      <c r="E95" s="2"/>
      <c r="F95" s="2"/>
      <c r="G95" s="116"/>
      <c r="H95" s="116"/>
      <c r="I95" s="116"/>
      <c r="J95" s="116"/>
      <c r="K95" s="2"/>
      <c r="L95" s="2"/>
    </row>
    <row r="96" spans="1:12">
      <c r="A96" s="2"/>
      <c r="B96" s="2"/>
      <c r="C96" s="2"/>
      <c r="D96" s="2"/>
      <c r="E96" s="2"/>
      <c r="F96" s="2"/>
      <c r="G96" s="116"/>
      <c r="H96" s="116"/>
      <c r="I96" s="116"/>
      <c r="J96" s="116"/>
      <c r="K96" s="2"/>
      <c r="L96" s="2"/>
    </row>
    <row r="97" spans="1:12">
      <c r="A97" s="2"/>
      <c r="B97" s="2"/>
      <c r="C97" s="2"/>
      <c r="D97" s="2"/>
      <c r="E97" s="2"/>
      <c r="F97" s="2"/>
      <c r="G97" s="116"/>
      <c r="H97" s="116"/>
      <c r="I97" s="116"/>
      <c r="J97" s="116"/>
      <c r="K97" s="2"/>
      <c r="L97" s="2"/>
    </row>
  </sheetData>
  <mergeCells count="2">
    <mergeCell ref="D1:F1"/>
    <mergeCell ref="G1:K1"/>
  </mergeCells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showGridLines="0" zoomScale="90" zoomScaleNormal="9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I10" sqref="I10"/>
    </sheetView>
  </sheetViews>
  <sheetFormatPr defaultRowHeight="15" outlineLevelRow="1"/>
  <cols>
    <col min="1" max="1" width="3.7109375" style="2" customWidth="1"/>
    <col min="2" max="2" width="48.7109375" style="2" customWidth="1"/>
    <col min="3" max="3" width="9.85546875" style="2" bestFit="1" customWidth="1"/>
    <col min="4" max="11" width="12.7109375" style="2" customWidth="1"/>
    <col min="12" max="12" width="8.85546875" style="8" customWidth="1"/>
    <col min="13" max="16384" width="9.140625" style="8"/>
  </cols>
  <sheetData>
    <row r="1" spans="1:11" ht="31.5">
      <c r="A1" s="122" t="s">
        <v>296</v>
      </c>
      <c r="B1" s="122"/>
      <c r="C1" s="231"/>
      <c r="D1" s="323" t="s">
        <v>293</v>
      </c>
      <c r="E1" s="323"/>
      <c r="F1" s="323"/>
      <c r="G1" s="323" t="s">
        <v>294</v>
      </c>
      <c r="H1" s="323"/>
      <c r="I1" s="323"/>
      <c r="J1" s="323"/>
      <c r="K1" s="323"/>
    </row>
    <row r="2" spans="1:11">
      <c r="A2" s="125" t="s">
        <v>295</v>
      </c>
      <c r="B2" s="125"/>
      <c r="C2" s="232"/>
      <c r="D2" s="111">
        <v>2019</v>
      </c>
      <c r="E2" s="111">
        <f t="shared" ref="E2:K2" si="0">D2+1</f>
        <v>2020</v>
      </c>
      <c r="F2" s="111">
        <f t="shared" si="0"/>
        <v>2021</v>
      </c>
      <c r="G2" s="111">
        <f t="shared" si="0"/>
        <v>2022</v>
      </c>
      <c r="H2" s="111">
        <f t="shared" si="0"/>
        <v>2023</v>
      </c>
      <c r="I2" s="111">
        <f t="shared" si="0"/>
        <v>2024</v>
      </c>
      <c r="J2" s="111">
        <f t="shared" si="0"/>
        <v>2025</v>
      </c>
      <c r="K2" s="111">
        <f t="shared" si="0"/>
        <v>2026</v>
      </c>
    </row>
    <row r="3" spans="1:11" ht="15" customHeight="1" outlineLevel="1">
      <c r="A3" s="91"/>
      <c r="B3" s="2" t="s">
        <v>186</v>
      </c>
      <c r="D3" s="237">
        <f>+'Balance Sheet'!D30+'Balance Sheet'!D31+'Balance Sheet'!D34</f>
        <v>11167</v>
      </c>
      <c r="E3" s="237">
        <f>+'Balance Sheet'!E30+'Balance Sheet'!E31+'Balance Sheet'!E34</f>
        <v>15909.5</v>
      </c>
      <c r="F3" s="237">
        <f>+'Balance Sheet'!F30+'Balance Sheet'!F31+'Balance Sheet'!F34</f>
        <v>15054.6</v>
      </c>
      <c r="G3" s="237">
        <f>+'Balance Sheet'!G30+'Balance Sheet'!G31+'Balance Sheet'!G34</f>
        <v>16919.900000000001</v>
      </c>
      <c r="H3" s="237">
        <f>+'Balance Sheet'!H30+'Balance Sheet'!H31+'Balance Sheet'!H34</f>
        <v>19785.2</v>
      </c>
      <c r="I3" s="237">
        <f>+'Balance Sheet'!I30+'Balance Sheet'!I31+'Balance Sheet'!I34</f>
        <v>22136.7</v>
      </c>
      <c r="J3" s="237">
        <f>+'Balance Sheet'!J30+'Balance Sheet'!J31+'Balance Sheet'!J34</f>
        <v>25101.800000000003</v>
      </c>
      <c r="K3" s="237">
        <f>+'Balance Sheet'!K30+'Balance Sheet'!K31+'Balance Sheet'!K34</f>
        <v>28816.9</v>
      </c>
    </row>
    <row r="4" spans="1:11" ht="12" customHeight="1" outlineLevel="1">
      <c r="A4" s="91"/>
      <c r="B4" s="2" t="s">
        <v>30</v>
      </c>
      <c r="D4" s="237">
        <f>+'Income Statement'!D34</f>
        <v>331</v>
      </c>
      <c r="E4" s="237">
        <f>+'Income Statement'!E34</f>
        <v>437</v>
      </c>
      <c r="F4" s="241">
        <f>+'Income Statement'!F34</f>
        <v>469.8</v>
      </c>
      <c r="G4" s="239">
        <f>G29</f>
        <v>485.1302023956776</v>
      </c>
      <c r="H4" s="239">
        <f t="shared" ref="H4:K4" si="1">H29</f>
        <v>556.90480201265348</v>
      </c>
      <c r="I4" s="239">
        <f t="shared" si="1"/>
        <v>636.05622705003555</v>
      </c>
      <c r="J4" s="239">
        <f t="shared" si="1"/>
        <v>716.72185853940539</v>
      </c>
      <c r="K4" s="239">
        <f t="shared" si="1"/>
        <v>818.07658740283114</v>
      </c>
    </row>
    <row r="5" spans="1:11" ht="12" customHeight="1" outlineLevel="1">
      <c r="A5" s="91"/>
      <c r="B5" s="2" t="s">
        <v>187</v>
      </c>
      <c r="D5" s="240">
        <f>+D4/D3</f>
        <v>2.9640906241604727E-2</v>
      </c>
      <c r="E5" s="240">
        <f t="shared" ref="E5:F5" si="2">+E4/E3</f>
        <v>2.7467865112039976E-2</v>
      </c>
      <c r="F5" s="240">
        <f t="shared" si="2"/>
        <v>3.1206408672432347E-2</v>
      </c>
      <c r="G5" s="240">
        <f>G30</f>
        <v>1.5172409338556587E-2</v>
      </c>
      <c r="H5" s="240">
        <f t="shared" ref="H5:K5" si="3">H30</f>
        <v>1.5172409338556587E-2</v>
      </c>
      <c r="I5" s="240">
        <f t="shared" si="3"/>
        <v>1.5172409338556587E-2</v>
      </c>
      <c r="J5" s="240">
        <f t="shared" si="3"/>
        <v>1.5172409338556587E-2</v>
      </c>
      <c r="K5" s="240">
        <f t="shared" si="3"/>
        <v>1.5172409338556587E-2</v>
      </c>
    </row>
    <row r="6" spans="1:11" ht="12.75" customHeight="1">
      <c r="A6" s="91"/>
      <c r="D6" s="238"/>
      <c r="E6" s="238"/>
      <c r="F6" s="238"/>
      <c r="G6" s="238"/>
      <c r="H6" s="238"/>
      <c r="I6" s="238"/>
      <c r="J6" s="238"/>
      <c r="K6" s="238"/>
    </row>
    <row r="7" spans="1:11" ht="13.5" customHeight="1">
      <c r="A7" s="91"/>
      <c r="D7" s="238"/>
      <c r="E7" s="238"/>
      <c r="F7" s="238"/>
      <c r="G7" s="238"/>
      <c r="H7" s="238"/>
      <c r="I7" s="238"/>
      <c r="J7" s="238"/>
      <c r="K7" s="238"/>
    </row>
    <row r="8" spans="1:11" ht="14.25" customHeight="1">
      <c r="A8" s="91"/>
      <c r="B8" s="225" t="s">
        <v>263</v>
      </c>
      <c r="D8" s="238"/>
      <c r="E8" s="238"/>
      <c r="F8" s="238"/>
      <c r="G8" s="241">
        <f>+'Cash Flow Stat'!G25+'Cash Flow Stat'!G34</f>
        <v>3362.7297112423403</v>
      </c>
      <c r="H8" s="241">
        <f>+'Cash Flow Stat'!H25+'Cash Flow Stat'!H34</f>
        <v>3587.9046963188321</v>
      </c>
      <c r="I8" s="241">
        <f>+'Cash Flow Stat'!I25+'Cash Flow Stat'!I34</f>
        <v>4005.9715427929532</v>
      </c>
      <c r="J8" s="241">
        <f>+'Cash Flow Stat'!J25+'Cash Flow Stat'!J34</f>
        <v>4608.5252368888796</v>
      </c>
      <c r="K8" s="241">
        <f>+'Cash Flow Stat'!K25+'Cash Flow Stat'!K34</f>
        <v>5423.6039509473512</v>
      </c>
    </row>
    <row r="9" spans="1:11" ht="14.25" customHeight="1">
      <c r="A9" s="91"/>
      <c r="B9" s="225" t="s">
        <v>264</v>
      </c>
      <c r="D9" s="238"/>
      <c r="E9" s="238"/>
      <c r="F9" s="238"/>
      <c r="G9" s="239">
        <f>+G8</f>
        <v>3362.7297112423403</v>
      </c>
      <c r="H9" s="239">
        <f t="shared" ref="H9:J9" si="4">+H8</f>
        <v>3587.9046963188321</v>
      </c>
      <c r="I9" s="239">
        <f t="shared" si="4"/>
        <v>4005.9715427929532</v>
      </c>
      <c r="J9" s="239">
        <f t="shared" si="4"/>
        <v>4608.5252368888796</v>
      </c>
      <c r="K9" s="239">
        <f t="shared" ref="K9" si="5">+K8</f>
        <v>5423.6039509473512</v>
      </c>
    </row>
    <row r="10" spans="1:11" ht="13.5" customHeight="1">
      <c r="A10" s="91"/>
      <c r="B10" s="21" t="s">
        <v>265</v>
      </c>
      <c r="D10" s="238"/>
      <c r="E10" s="238"/>
      <c r="F10" s="238"/>
      <c r="G10" s="238"/>
      <c r="H10" s="238"/>
      <c r="I10" s="238"/>
      <c r="J10" s="238"/>
      <c r="K10" s="238"/>
    </row>
    <row r="11" spans="1:11" ht="14.25" customHeight="1">
      <c r="A11" s="91"/>
      <c r="B11" s="235" t="s">
        <v>266</v>
      </c>
      <c r="D11" s="238"/>
      <c r="E11" s="238"/>
      <c r="F11" s="238"/>
      <c r="G11" s="238"/>
      <c r="H11" s="238"/>
      <c r="I11" s="238"/>
      <c r="J11" s="238"/>
      <c r="K11" s="238"/>
    </row>
    <row r="12" spans="1:11">
      <c r="A12" s="91"/>
      <c r="B12" s="21"/>
      <c r="D12" s="238"/>
      <c r="E12" s="238"/>
      <c r="F12" s="238"/>
      <c r="G12" s="238"/>
      <c r="H12" s="238"/>
      <c r="I12" s="238"/>
      <c r="J12" s="238"/>
      <c r="K12" s="238"/>
    </row>
    <row r="13" spans="1:11">
      <c r="A13" s="91"/>
      <c r="B13" s="225" t="s">
        <v>275</v>
      </c>
      <c r="D13" s="238"/>
      <c r="E13" s="238"/>
      <c r="F13" s="238"/>
      <c r="G13" s="238"/>
      <c r="H13" s="238"/>
      <c r="I13" s="238"/>
      <c r="J13" s="238"/>
      <c r="K13" s="238"/>
    </row>
    <row r="14" spans="1:11">
      <c r="A14" s="91"/>
      <c r="B14" s="21" t="s">
        <v>267</v>
      </c>
      <c r="D14" s="238"/>
      <c r="E14" s="238"/>
      <c r="F14" s="238"/>
      <c r="G14" s="237">
        <f>+'Balance Sheet'!F30</f>
        <v>438.8</v>
      </c>
      <c r="H14" s="237">
        <f>+G17</f>
        <v>304.09999999999997</v>
      </c>
      <c r="I14" s="237">
        <f t="shared" ref="I14:K14" si="6">+H17</f>
        <v>169.39999999999992</v>
      </c>
      <c r="J14" s="237">
        <f t="shared" si="6"/>
        <v>34.699999999999875</v>
      </c>
      <c r="K14" s="237">
        <f t="shared" si="6"/>
        <v>249.79999999999987</v>
      </c>
    </row>
    <row r="15" spans="1:11">
      <c r="A15" s="91"/>
      <c r="B15" s="21" t="s">
        <v>269</v>
      </c>
      <c r="D15" s="238"/>
      <c r="E15" s="238"/>
      <c r="F15" s="238"/>
      <c r="G15" s="242">
        <v>215.1</v>
      </c>
      <c r="H15" s="238">
        <f>+G15</f>
        <v>215.1</v>
      </c>
      <c r="I15" s="238">
        <f t="shared" ref="I15:K15" si="7">+H15</f>
        <v>215.1</v>
      </c>
      <c r="J15" s="238">
        <f t="shared" si="7"/>
        <v>215.1</v>
      </c>
      <c r="K15" s="238">
        <f t="shared" si="7"/>
        <v>215.1</v>
      </c>
    </row>
    <row r="16" spans="1:11">
      <c r="A16" s="91"/>
      <c r="B16" s="21" t="s">
        <v>270</v>
      </c>
      <c r="D16" s="238"/>
      <c r="E16" s="238"/>
      <c r="F16" s="238"/>
      <c r="G16" s="242">
        <v>-349.8</v>
      </c>
      <c r="H16" s="238">
        <f>+G16</f>
        <v>-349.8</v>
      </c>
      <c r="I16" s="238">
        <f t="shared" ref="I16" si="8">+H16</f>
        <v>-349.8</v>
      </c>
      <c r="J16" s="242">
        <v>0</v>
      </c>
      <c r="K16" s="242">
        <v>0</v>
      </c>
    </row>
    <row r="17" spans="1:11">
      <c r="A17" s="91"/>
      <c r="B17" s="215" t="s">
        <v>268</v>
      </c>
      <c r="C17" s="29"/>
      <c r="D17" s="243"/>
      <c r="E17" s="243"/>
      <c r="F17" s="243"/>
      <c r="G17" s="244">
        <f>SUM(G14:G16)</f>
        <v>304.09999999999997</v>
      </c>
      <c r="H17" s="244">
        <f t="shared" ref="H17:J17" si="9">SUM(H14:H16)</f>
        <v>169.39999999999992</v>
      </c>
      <c r="I17" s="244">
        <f t="shared" si="9"/>
        <v>34.699999999999875</v>
      </c>
      <c r="J17" s="244">
        <f t="shared" si="9"/>
        <v>249.79999999999987</v>
      </c>
      <c r="K17" s="244">
        <f t="shared" ref="K17" si="10">SUM(K14:K16)</f>
        <v>464.89999999999986</v>
      </c>
    </row>
    <row r="18" spans="1:11">
      <c r="A18" s="91"/>
      <c r="B18" s="21"/>
      <c r="D18" s="238"/>
      <c r="E18" s="238"/>
      <c r="F18" s="238"/>
      <c r="G18" s="238"/>
      <c r="H18" s="238"/>
      <c r="I18" s="238"/>
      <c r="J18" s="238"/>
      <c r="K18" s="238"/>
    </row>
    <row r="19" spans="1:11">
      <c r="A19" s="91"/>
      <c r="B19" s="225" t="s">
        <v>276</v>
      </c>
      <c r="D19" s="238"/>
      <c r="E19" s="238"/>
      <c r="F19" s="238"/>
      <c r="G19" s="238"/>
      <c r="H19" s="238"/>
      <c r="I19" s="238"/>
      <c r="J19" s="238"/>
      <c r="K19" s="238"/>
    </row>
    <row r="20" spans="1:11">
      <c r="A20" s="91"/>
      <c r="B20" s="21" t="s">
        <v>267</v>
      </c>
      <c r="D20" s="238"/>
      <c r="E20" s="238"/>
      <c r="F20" s="238"/>
      <c r="G20" s="237">
        <f>+'Balance Sheet'!F34</f>
        <v>13616.9</v>
      </c>
      <c r="H20" s="237">
        <f>+G23</f>
        <v>15616.900000000001</v>
      </c>
      <c r="I20" s="237">
        <f t="shared" ref="I20:K20" si="11">+H23</f>
        <v>18616.900000000001</v>
      </c>
      <c r="J20" s="237">
        <f t="shared" si="11"/>
        <v>21103.100000000002</v>
      </c>
      <c r="K20" s="237">
        <f t="shared" si="11"/>
        <v>23853.100000000002</v>
      </c>
    </row>
    <row r="21" spans="1:11">
      <c r="A21" s="91"/>
      <c r="B21" s="21" t="s">
        <v>269</v>
      </c>
      <c r="D21" s="238"/>
      <c r="E21" s="238"/>
      <c r="F21" s="238"/>
      <c r="G21" s="242">
        <v>3000</v>
      </c>
      <c r="H21" s="242">
        <v>4000</v>
      </c>
      <c r="I21" s="242">
        <v>4000</v>
      </c>
      <c r="J21" s="242">
        <v>4000</v>
      </c>
      <c r="K21" s="242">
        <v>4000</v>
      </c>
    </row>
    <row r="22" spans="1:11" ht="17.25" customHeight="1">
      <c r="A22" s="91"/>
      <c r="B22" s="21" t="s">
        <v>270</v>
      </c>
      <c r="D22" s="238"/>
      <c r="E22" s="238"/>
      <c r="F22" s="238"/>
      <c r="G22" s="239">
        <f>-C39</f>
        <v>-1000</v>
      </c>
      <c r="H22" s="239">
        <f>-C40</f>
        <v>-1000</v>
      </c>
      <c r="I22" s="239">
        <f>-C41</f>
        <v>-1513.8</v>
      </c>
      <c r="J22" s="239">
        <f>+-C42</f>
        <v>-1250</v>
      </c>
      <c r="K22" s="239">
        <f>+-C43</f>
        <v>-500</v>
      </c>
    </row>
    <row r="23" spans="1:11">
      <c r="A23" s="91"/>
      <c r="B23" s="215" t="s">
        <v>268</v>
      </c>
      <c r="C23" s="29"/>
      <c r="D23" s="243"/>
      <c r="E23" s="243"/>
      <c r="F23" s="243"/>
      <c r="G23" s="244">
        <f>SUM(G20:G22)</f>
        <v>15616.900000000001</v>
      </c>
      <c r="H23" s="244">
        <f t="shared" ref="H23:J23" si="12">SUM(H20:H22)</f>
        <v>18616.900000000001</v>
      </c>
      <c r="I23" s="244">
        <f t="shared" si="12"/>
        <v>21103.100000000002</v>
      </c>
      <c r="J23" s="244">
        <f t="shared" si="12"/>
        <v>23853.100000000002</v>
      </c>
      <c r="K23" s="244">
        <f t="shared" ref="K23" si="13">SUM(K20:K22)</f>
        <v>27353.100000000002</v>
      </c>
    </row>
    <row r="24" spans="1:11">
      <c r="A24" s="91"/>
      <c r="B24" s="21"/>
      <c r="D24" s="238"/>
      <c r="E24" s="238"/>
      <c r="F24" s="238"/>
      <c r="G24" s="238"/>
      <c r="H24" s="238"/>
      <c r="I24" s="238"/>
      <c r="J24" s="238"/>
      <c r="K24" s="238"/>
    </row>
    <row r="25" spans="1:11">
      <c r="A25" s="91"/>
      <c r="B25" s="233" t="s">
        <v>271</v>
      </c>
      <c r="D25" s="238"/>
      <c r="E25" s="238"/>
      <c r="F25" s="238"/>
      <c r="G25" s="238"/>
      <c r="H25" s="238"/>
      <c r="I25" s="238"/>
      <c r="J25" s="238"/>
      <c r="K25" s="238"/>
    </row>
    <row r="26" spans="1:11">
      <c r="A26" s="91"/>
      <c r="B26" s="21"/>
      <c r="D26" s="238"/>
      <c r="E26" s="238"/>
      <c r="F26" s="238"/>
      <c r="G26" s="238"/>
      <c r="H26" s="238"/>
      <c r="I26" s="238"/>
      <c r="J26" s="238"/>
      <c r="K26" s="238"/>
    </row>
    <row r="27" spans="1:11">
      <c r="A27" s="91"/>
      <c r="B27" s="21" t="s">
        <v>280</v>
      </c>
      <c r="D27" s="238"/>
      <c r="E27" s="238"/>
      <c r="F27" s="237">
        <f>+AVERAGE('Balance Sheet'!F30+'Balance Sheet'!F31+'Balance Sheet'!F34+'Balance Sheet'!E30+'Balance Sheet'!E31+'Balance Sheet'!E34)</f>
        <v>30964.1</v>
      </c>
      <c r="G27" s="237">
        <f>+AVERAGE('Balance Sheet'!G30+'Balance Sheet'!G31+'Balance Sheet'!G34+'Balance Sheet'!F30+'Balance Sheet'!F31+'Balance Sheet'!F34)</f>
        <v>31974.5</v>
      </c>
      <c r="H27" s="237">
        <f>+AVERAGE('Balance Sheet'!H30+'Balance Sheet'!H31+'Balance Sheet'!H34+'Balance Sheet'!G30+'Balance Sheet'!G31+'Balance Sheet'!G34)</f>
        <v>36705.100000000006</v>
      </c>
      <c r="I27" s="237">
        <f>+AVERAGE('Balance Sheet'!I30+'Balance Sheet'!I31+'Balance Sheet'!I34+'Balance Sheet'!H30+'Balance Sheet'!H31+'Balance Sheet'!H34)</f>
        <v>41921.900000000009</v>
      </c>
      <c r="J27" s="237">
        <f>+AVERAGE('Balance Sheet'!J30+'Balance Sheet'!J31+'Balance Sheet'!J34+'Balance Sheet'!I30+'Balance Sheet'!I31+'Balance Sheet'!I34)</f>
        <v>47238.500000000007</v>
      </c>
      <c r="K27" s="237">
        <f>+AVERAGE('Balance Sheet'!K30+'Balance Sheet'!K31+'Balance Sheet'!K34+'Balance Sheet'!J30+'Balance Sheet'!J31+'Balance Sheet'!J34)</f>
        <v>53918.700000000004</v>
      </c>
    </row>
    <row r="28" spans="1:11">
      <c r="A28" s="91"/>
      <c r="B28" s="21"/>
      <c r="D28" s="238"/>
      <c r="E28" s="238"/>
      <c r="F28" s="238"/>
      <c r="G28" s="238"/>
      <c r="H28" s="238"/>
      <c r="I28" s="238"/>
      <c r="J28" s="238"/>
      <c r="K28" s="238"/>
    </row>
    <row r="29" spans="1:11">
      <c r="A29" s="91"/>
      <c r="B29" s="234" t="s">
        <v>277</v>
      </c>
      <c r="D29" s="238"/>
      <c r="E29" s="238"/>
      <c r="F29" s="237">
        <f>+'Income Statement'!F34</f>
        <v>469.8</v>
      </c>
      <c r="G29" s="239">
        <f>+G27*G30</f>
        <v>485.1302023956776</v>
      </c>
      <c r="H29" s="239">
        <f t="shared" ref="H29:J29" si="14">+H27*H30</f>
        <v>556.90480201265348</v>
      </c>
      <c r="I29" s="239">
        <f t="shared" si="14"/>
        <v>636.05622705003555</v>
      </c>
      <c r="J29" s="239">
        <f t="shared" si="14"/>
        <v>716.72185853940539</v>
      </c>
      <c r="K29" s="239">
        <f t="shared" ref="K29" si="15">+K27*K30</f>
        <v>818.07658740283114</v>
      </c>
    </row>
    <row r="30" spans="1:11">
      <c r="A30" s="91"/>
      <c r="B30" s="21" t="s">
        <v>278</v>
      </c>
      <c r="D30" s="238"/>
      <c r="E30" s="238"/>
      <c r="F30" s="240">
        <f>+F29/F27</f>
        <v>1.5172409338556587E-2</v>
      </c>
      <c r="G30" s="240">
        <f>+F30</f>
        <v>1.5172409338556587E-2</v>
      </c>
      <c r="H30" s="240">
        <f t="shared" ref="H30:K30" si="16">+G30</f>
        <v>1.5172409338556587E-2</v>
      </c>
      <c r="I30" s="240">
        <f t="shared" si="16"/>
        <v>1.5172409338556587E-2</v>
      </c>
      <c r="J30" s="240">
        <f t="shared" si="16"/>
        <v>1.5172409338556587E-2</v>
      </c>
      <c r="K30" s="240">
        <f t="shared" si="16"/>
        <v>1.5172409338556587E-2</v>
      </c>
    </row>
    <row r="31" spans="1:11">
      <c r="A31" s="91"/>
      <c r="B31" s="21"/>
      <c r="D31" s="238"/>
      <c r="E31" s="238"/>
      <c r="F31" s="238"/>
      <c r="G31" s="238"/>
      <c r="H31" s="238"/>
      <c r="I31" s="238"/>
      <c r="J31" s="238"/>
      <c r="K31" s="238"/>
    </row>
    <row r="32" spans="1:11">
      <c r="A32" s="91"/>
      <c r="B32" s="233" t="s">
        <v>272</v>
      </c>
      <c r="D32" s="238"/>
      <c r="E32" s="238"/>
      <c r="F32" s="238"/>
      <c r="G32" s="238"/>
      <c r="H32" s="238"/>
      <c r="I32" s="238"/>
      <c r="J32" s="238"/>
      <c r="K32" s="238"/>
    </row>
    <row r="33" spans="1:13">
      <c r="A33" s="91"/>
      <c r="B33" s="21" t="s">
        <v>322</v>
      </c>
      <c r="D33" s="238"/>
      <c r="E33" s="238"/>
      <c r="F33" s="237">
        <f>'Balance Sheet'!E5</f>
        <v>4350.8999999999996</v>
      </c>
      <c r="G33" s="241">
        <f>'Balance Sheet'!F5</f>
        <v>6455.7</v>
      </c>
      <c r="H33" s="241">
        <f>'Balance Sheet'!G5</f>
        <v>4407.2019628052494</v>
      </c>
      <c r="I33" s="241">
        <f>'Balance Sheet'!H5</f>
        <v>4215.0533940746454</v>
      </c>
      <c r="J33" s="241">
        <f>'Balance Sheet'!I5</f>
        <v>3741.3879754898744</v>
      </c>
      <c r="K33" s="241">
        <f>'Balance Sheet'!J5</f>
        <v>6285.63880460988</v>
      </c>
    </row>
    <row r="34" spans="1:13">
      <c r="A34" s="91"/>
      <c r="B34" s="21" t="s">
        <v>273</v>
      </c>
      <c r="D34" s="238"/>
      <c r="E34" s="238"/>
      <c r="F34" s="239">
        <f>F35/F33*100</f>
        <v>2.0708359190052632</v>
      </c>
      <c r="G34" s="239">
        <f>+F34</f>
        <v>2.0708359190052632</v>
      </c>
      <c r="H34" s="239">
        <f t="shared" ref="H34:K34" si="17">+G34</f>
        <v>2.0708359190052632</v>
      </c>
      <c r="I34" s="239">
        <f t="shared" si="17"/>
        <v>2.0708359190052632</v>
      </c>
      <c r="J34" s="239">
        <f t="shared" si="17"/>
        <v>2.0708359190052632</v>
      </c>
      <c r="K34" s="239">
        <f t="shared" si="17"/>
        <v>2.0708359190052632</v>
      </c>
    </row>
    <row r="35" spans="1:13">
      <c r="A35" s="91"/>
      <c r="B35" s="215" t="s">
        <v>274</v>
      </c>
      <c r="C35" s="29"/>
      <c r="D35" s="243"/>
      <c r="E35" s="243"/>
      <c r="F35" s="244">
        <f>+'Income Statement'!F32</f>
        <v>90.1</v>
      </c>
      <c r="G35" s="288">
        <f>+G34*G33/100</f>
        <v>133.68695442322277</v>
      </c>
      <c r="H35" s="288">
        <f t="shared" ref="H35:J35" si="18">+H34*H33/100</f>
        <v>91.265921268876085</v>
      </c>
      <c r="I35" s="288">
        <f t="shared" si="18"/>
        <v>87.286839689748234</v>
      </c>
      <c r="J35" s="288">
        <f t="shared" si="18"/>
        <v>77.478006065788151</v>
      </c>
      <c r="K35" s="288">
        <f t="shared" ref="K35" si="19">+K34*K33/100</f>
        <v>130.16526610479445</v>
      </c>
    </row>
    <row r="36" spans="1:13">
      <c r="A36" s="91"/>
      <c r="D36" s="238"/>
      <c r="E36" s="238"/>
      <c r="F36" s="238"/>
      <c r="G36" s="238"/>
      <c r="H36" s="238"/>
      <c r="I36" s="238"/>
      <c r="J36" s="238"/>
      <c r="K36" s="238"/>
    </row>
    <row r="37" spans="1:13">
      <c r="A37" s="91"/>
      <c r="B37" s="225" t="s">
        <v>168</v>
      </c>
      <c r="C37" s="8"/>
      <c r="D37" s="8"/>
      <c r="E37" s="8"/>
      <c r="F37" s="8"/>
      <c r="G37" s="8"/>
      <c r="H37" s="8"/>
      <c r="I37" s="8"/>
      <c r="J37" s="8"/>
      <c r="K37" s="8"/>
    </row>
    <row r="38" spans="1:13">
      <c r="A38" s="91"/>
      <c r="B38" s="21" t="s">
        <v>169</v>
      </c>
      <c r="C38" s="2" t="s">
        <v>19</v>
      </c>
    </row>
    <row r="39" spans="1:13">
      <c r="A39" s="91"/>
      <c r="B39" s="2">
        <v>2022</v>
      </c>
      <c r="C39" s="20">
        <v>1000</v>
      </c>
    </row>
    <row r="40" spans="1:13">
      <c r="A40" s="91"/>
      <c r="B40" s="2">
        <v>2023</v>
      </c>
      <c r="C40" s="20">
        <v>1000</v>
      </c>
    </row>
    <row r="41" spans="1:13">
      <c r="A41" s="91"/>
      <c r="B41" s="2">
        <v>2024</v>
      </c>
      <c r="C41" s="20">
        <v>1513.8</v>
      </c>
    </row>
    <row r="42" spans="1:13">
      <c r="A42" s="91"/>
      <c r="B42" s="2">
        <v>2025</v>
      </c>
      <c r="C42" s="20">
        <v>1250</v>
      </c>
    </row>
    <row r="43" spans="1:13">
      <c r="A43" s="91"/>
      <c r="B43" s="2">
        <v>2026</v>
      </c>
      <c r="C43" s="2">
        <v>500</v>
      </c>
    </row>
    <row r="44" spans="1:13">
      <c r="A44" s="91"/>
      <c r="B44" s="21" t="s">
        <v>167</v>
      </c>
      <c r="C44" s="20">
        <v>9450</v>
      </c>
    </row>
    <row r="45" spans="1:13">
      <c r="A45" s="91"/>
      <c r="B45" s="21" t="s">
        <v>19</v>
      </c>
      <c r="C45" s="20">
        <v>14713.8</v>
      </c>
    </row>
    <row r="46" spans="1:13">
      <c r="A46" s="91"/>
    </row>
    <row r="47" spans="1:13">
      <c r="A47" s="91"/>
      <c r="B47" s="275" t="s">
        <v>170</v>
      </c>
    </row>
    <row r="48" spans="1:13">
      <c r="A48" s="91"/>
      <c r="B48" s="21" t="s">
        <v>165</v>
      </c>
      <c r="C48" s="2" t="s">
        <v>166</v>
      </c>
      <c r="M48" s="53"/>
    </row>
    <row r="49" spans="1:13">
      <c r="A49" s="91"/>
      <c r="C49" s="312">
        <v>2022</v>
      </c>
      <c r="D49" s="312">
        <v>2023</v>
      </c>
      <c r="E49" s="312">
        <v>2024</v>
      </c>
      <c r="F49" s="312">
        <v>2025</v>
      </c>
      <c r="G49" s="312">
        <v>2026</v>
      </c>
      <c r="H49" s="312">
        <v>2027</v>
      </c>
      <c r="I49" s="313" t="s">
        <v>309</v>
      </c>
      <c r="M49" s="53"/>
    </row>
    <row r="50" spans="1:13">
      <c r="A50" s="91"/>
      <c r="C50" s="2">
        <v>1504.6</v>
      </c>
      <c r="D50" s="2">
        <v>1441.3</v>
      </c>
      <c r="E50" s="2">
        <v>1310.2</v>
      </c>
      <c r="F50" s="2">
        <v>1156.5999999999999</v>
      </c>
      <c r="G50" s="2">
        <v>1012.5</v>
      </c>
      <c r="H50" s="2">
        <v>1012.5</v>
      </c>
      <c r="I50" s="8">
        <v>3704.7</v>
      </c>
      <c r="M50" s="53"/>
    </row>
    <row r="51" spans="1:13">
      <c r="A51" s="91"/>
      <c r="B51" s="49">
        <v>2021</v>
      </c>
      <c r="C51" s="49">
        <f>+B51+1</f>
        <v>2022</v>
      </c>
      <c r="D51" s="49">
        <f t="shared" ref="D51:H51" si="20">+C51+1</f>
        <v>2023</v>
      </c>
      <c r="E51" s="49">
        <f t="shared" si="20"/>
        <v>2024</v>
      </c>
      <c r="F51" s="49">
        <f t="shared" si="20"/>
        <v>2025</v>
      </c>
      <c r="G51" s="49">
        <f t="shared" si="20"/>
        <v>2026</v>
      </c>
      <c r="H51" s="49">
        <f t="shared" si="20"/>
        <v>2027</v>
      </c>
      <c r="M51" s="53"/>
    </row>
    <row r="52" spans="1:13">
      <c r="A52" s="91"/>
      <c r="B52" s="2">
        <f>+'Balance Sheet'!F35</f>
        <v>7738</v>
      </c>
      <c r="C52" s="2">
        <f>B52-C50</f>
        <v>6233.4</v>
      </c>
      <c r="D52" s="2">
        <f t="shared" ref="D52:H52" si="21">C52-D50</f>
        <v>4792.0999999999995</v>
      </c>
      <c r="E52" s="2">
        <f t="shared" si="21"/>
        <v>3481.8999999999996</v>
      </c>
      <c r="F52" s="2">
        <f t="shared" si="21"/>
        <v>2325.2999999999997</v>
      </c>
      <c r="G52" s="2">
        <f t="shared" si="21"/>
        <v>1312.7999999999997</v>
      </c>
      <c r="H52" s="2">
        <f t="shared" si="21"/>
        <v>300.29999999999973</v>
      </c>
      <c r="M52" s="53"/>
    </row>
    <row r="53" spans="1:13">
      <c r="A53" s="91"/>
      <c r="C53" s="20"/>
      <c r="M53" s="53"/>
    </row>
    <row r="54" spans="1:13">
      <c r="A54" s="91"/>
      <c r="B54" s="8"/>
      <c r="C54" s="20"/>
    </row>
    <row r="55" spans="1:13">
      <c r="A55" s="91"/>
      <c r="C55" s="20"/>
    </row>
    <row r="56" spans="1:13">
      <c r="A56" s="91"/>
      <c r="C56" s="20"/>
    </row>
    <row r="57" spans="1:13">
      <c r="A57" s="91"/>
      <c r="C57" s="20"/>
    </row>
    <row r="58" spans="1:13">
      <c r="A58" s="91"/>
      <c r="C58" s="20"/>
    </row>
    <row r="59" spans="1:13">
      <c r="A59" s="91"/>
    </row>
    <row r="60" spans="1:13">
      <c r="A60" s="91"/>
    </row>
    <row r="61" spans="1:13">
      <c r="A61" s="91"/>
    </row>
    <row r="62" spans="1:13">
      <c r="A62" s="91"/>
    </row>
    <row r="63" spans="1:13">
      <c r="A63" s="91"/>
    </row>
    <row r="64" spans="1:13">
      <c r="A64" s="91"/>
    </row>
    <row r="65" spans="1:1">
      <c r="A65" s="91"/>
    </row>
    <row r="66" spans="1:1">
      <c r="A66" s="91"/>
    </row>
  </sheetData>
  <mergeCells count="2">
    <mergeCell ref="D1:F1"/>
    <mergeCell ref="G1:K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9"/>
  <sheetViews>
    <sheetView tabSelected="1" workbookViewId="0">
      <selection activeCell="K9" sqref="K9"/>
    </sheetView>
  </sheetViews>
  <sheetFormatPr defaultRowHeight="15"/>
  <cols>
    <col min="2" max="2" width="30.7109375" bestFit="1" customWidth="1"/>
  </cols>
  <sheetData>
    <row r="2" spans="2:2">
      <c r="B2" s="325" t="s">
        <v>191</v>
      </c>
    </row>
    <row r="3" spans="2:2">
      <c r="B3" s="325" t="s">
        <v>192</v>
      </c>
    </row>
    <row r="4" spans="2:2">
      <c r="B4" s="325" t="s">
        <v>193</v>
      </c>
    </row>
    <row r="5" spans="2:2">
      <c r="B5" s="325" t="s">
        <v>194</v>
      </c>
    </row>
    <row r="6" spans="2:2">
      <c r="B6" s="325" t="s">
        <v>195</v>
      </c>
    </row>
    <row r="7" spans="2:2">
      <c r="B7" s="325" t="s">
        <v>196</v>
      </c>
    </row>
    <row r="9" spans="2:2">
      <c r="B9" s="326" t="s">
        <v>326</v>
      </c>
    </row>
    <row r="11" spans="2:2">
      <c r="B11" t="s">
        <v>327</v>
      </c>
    </row>
    <row r="13" spans="2:2">
      <c r="B13" t="s">
        <v>328</v>
      </c>
    </row>
    <row r="15" spans="2:2">
      <c r="B15" t="s">
        <v>329</v>
      </c>
    </row>
    <row r="17" spans="2:2">
      <c r="B17" t="s">
        <v>330</v>
      </c>
    </row>
    <row r="19" spans="2:2">
      <c r="B19" t="s">
        <v>331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3"/>
  <sheetViews>
    <sheetView showGridLines="0" zoomScale="85" zoomScaleNormal="85" workbookViewId="0">
      <pane xSplit="6" ySplit="2" topLeftCell="G6" activePane="bottomRight" state="frozen"/>
      <selection pane="topRight" activeCell="G1" sqref="G1"/>
      <selection pane="bottomLeft" activeCell="A3" sqref="A3"/>
      <selection pane="bottomRight" activeCell="L23" sqref="L23"/>
    </sheetView>
  </sheetViews>
  <sheetFormatPr defaultRowHeight="15"/>
  <cols>
    <col min="1" max="1" width="28.140625" style="1" customWidth="1"/>
    <col min="2" max="2" width="12.85546875" style="1" customWidth="1"/>
    <col min="3" max="3" width="9.140625" style="1"/>
    <col min="4" max="11" width="12.7109375" style="1" customWidth="1"/>
    <col min="12" max="13" width="9.140625" style="1"/>
    <col min="14" max="14" width="9.140625" style="1" customWidth="1"/>
    <col min="15" max="16" width="9.140625" style="1"/>
    <col min="17" max="16384" width="9.140625" style="4"/>
  </cols>
  <sheetData>
    <row r="1" spans="1:16" ht="31.5">
      <c r="A1" s="122" t="s">
        <v>296</v>
      </c>
      <c r="B1" s="122"/>
      <c r="C1" s="231"/>
      <c r="D1" s="323" t="s">
        <v>293</v>
      </c>
      <c r="E1" s="323"/>
      <c r="F1" s="323"/>
      <c r="G1" s="323" t="s">
        <v>294</v>
      </c>
      <c r="H1" s="323"/>
      <c r="I1" s="323"/>
      <c r="J1" s="323"/>
      <c r="K1" s="323"/>
    </row>
    <row r="2" spans="1:16">
      <c r="A2" s="125" t="s">
        <v>295</v>
      </c>
      <c r="B2" s="125"/>
      <c r="C2" s="232"/>
      <c r="D2" s="289">
        <v>2019</v>
      </c>
      <c r="E2" s="289">
        <f t="shared" ref="E2:K2" si="0">D2+1</f>
        <v>2020</v>
      </c>
      <c r="F2" s="289">
        <f t="shared" si="0"/>
        <v>2021</v>
      </c>
      <c r="G2" s="289">
        <f t="shared" si="0"/>
        <v>2022</v>
      </c>
      <c r="H2" s="289">
        <f t="shared" si="0"/>
        <v>2023</v>
      </c>
      <c r="I2" s="289">
        <f t="shared" si="0"/>
        <v>2024</v>
      </c>
      <c r="J2" s="289">
        <f t="shared" si="0"/>
        <v>2025</v>
      </c>
      <c r="K2" s="289">
        <f t="shared" si="0"/>
        <v>2026</v>
      </c>
    </row>
    <row r="4" spans="1:16">
      <c r="A4" s="271" t="s">
        <v>197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3"/>
      <c r="N4" s="4"/>
      <c r="O4" s="4"/>
      <c r="P4" s="4"/>
    </row>
    <row r="5" spans="1:16">
      <c r="A5" s="272" t="s">
        <v>191</v>
      </c>
      <c r="G5" s="273">
        <f>+'Income Statement'!G44</f>
        <v>4223.9978115086178</v>
      </c>
      <c r="H5" s="273">
        <f>+'Income Statement'!H44</f>
        <v>4938.7940218877839</v>
      </c>
      <c r="I5" s="273">
        <f>+'Income Statement'!I44</f>
        <v>5298.849050903772</v>
      </c>
      <c r="J5" s="273">
        <f>+'Income Statement'!J44</f>
        <v>5683.0398648613964</v>
      </c>
      <c r="K5" s="273">
        <f>+'Income Statement'!K44</f>
        <v>6151.3527519361851</v>
      </c>
      <c r="M5" s="271" t="s">
        <v>198</v>
      </c>
      <c r="N5" s="4"/>
      <c r="O5" s="4"/>
    </row>
    <row r="6" spans="1:16">
      <c r="A6" s="272" t="s">
        <v>192</v>
      </c>
      <c r="G6" s="273">
        <f>+'Income Statement'!G34</f>
        <v>485.1302023956776</v>
      </c>
      <c r="H6" s="273">
        <f>+'Income Statement'!H34</f>
        <v>556.90480201265348</v>
      </c>
      <c r="I6" s="273">
        <f>+'Income Statement'!I34</f>
        <v>636.05622705003555</v>
      </c>
      <c r="J6" s="273">
        <f>+'Income Statement'!J34</f>
        <v>716.72185853940539</v>
      </c>
      <c r="K6" s="273">
        <f>+'Income Statement'!K34</f>
        <v>818.07658740283114</v>
      </c>
      <c r="M6" s="272" t="s">
        <v>199</v>
      </c>
      <c r="N6" s="4"/>
      <c r="O6" s="4">
        <v>2.5</v>
      </c>
    </row>
    <row r="7" spans="1:16">
      <c r="A7" s="272" t="s">
        <v>193</v>
      </c>
      <c r="G7" s="273">
        <f>+'Income Statement'!G19</f>
        <v>1820.2912485268325</v>
      </c>
      <c r="H7" s="273">
        <f>+'Income Statement'!H19</f>
        <v>1836.9082174379487</v>
      </c>
      <c r="I7" s="273">
        <f>+'Income Statement'!I19</f>
        <v>2047.3226780536563</v>
      </c>
      <c r="J7" s="273">
        <f>+'Income Statement'!J19</f>
        <v>2270.6290044871207</v>
      </c>
      <c r="K7" s="273">
        <f>+'Income Statement'!K19</f>
        <v>2506.7469761514681</v>
      </c>
      <c r="M7" s="272" t="s">
        <v>200</v>
      </c>
      <c r="N7" s="4"/>
      <c r="O7" s="4">
        <v>1.04</v>
      </c>
    </row>
    <row r="8" spans="1:16">
      <c r="A8" s="272" t="s">
        <v>194</v>
      </c>
      <c r="G8" s="273">
        <f>+'Cash Flow Stat'!G31</f>
        <v>-1713.921027439213</v>
      </c>
      <c r="H8" s="273">
        <f>+'Cash Flow Stat'!H31</f>
        <v>-1950.2956090651942</v>
      </c>
      <c r="I8" s="273">
        <f>+'Cash Flow Stat'!I31</f>
        <v>-2120.9714376037655</v>
      </c>
      <c r="J8" s="273">
        <f>+'Cash Flow Stat'!J31</f>
        <v>-2303.2148844012386</v>
      </c>
      <c r="K8" s="273">
        <f>+'Cash Flow Stat'!K31</f>
        <v>-2503.2130059467418</v>
      </c>
      <c r="M8" s="272" t="s">
        <v>201</v>
      </c>
      <c r="N8" s="4"/>
      <c r="O8" s="4">
        <v>5.2</v>
      </c>
    </row>
    <row r="9" spans="1:16">
      <c r="A9" s="272" t="s">
        <v>195</v>
      </c>
      <c r="G9" s="273">
        <f>+'Cash Flow Stat'!G28</f>
        <v>-432</v>
      </c>
      <c r="H9" s="273">
        <f>+'Cash Flow Stat'!H28</f>
        <v>-432</v>
      </c>
      <c r="I9" s="273">
        <f>+'Cash Flow Stat'!I28</f>
        <v>-432</v>
      </c>
      <c r="J9" s="273">
        <f>+'Cash Flow Stat'!J28</f>
        <v>-432</v>
      </c>
      <c r="K9" s="273">
        <f>+'Cash Flow Stat'!K28</f>
        <v>-432</v>
      </c>
      <c r="M9" s="271" t="s">
        <v>213</v>
      </c>
      <c r="N9" s="3"/>
      <c r="O9" s="55">
        <f>+O6+O7*O8</f>
        <v>7.9080000000000004</v>
      </c>
    </row>
    <row r="10" spans="1:16">
      <c r="A10" s="272" t="s">
        <v>196</v>
      </c>
      <c r="G10" s="273">
        <f>+'Working Capital Forecast'!G24</f>
        <v>330.27238980612879</v>
      </c>
      <c r="H10" s="273">
        <f>+'Working Capital Forecast'!H24</f>
        <v>320.05439950228174</v>
      </c>
      <c r="I10" s="273">
        <f>+'Working Capital Forecast'!I24</f>
        <v>231.09739396134137</v>
      </c>
      <c r="J10" s="273">
        <f>+'Working Capital Forecast'!J24</f>
        <v>246.76010646645591</v>
      </c>
      <c r="K10" s="273">
        <f>+'Working Capital Forecast'!K24</f>
        <v>270.8001776354904</v>
      </c>
      <c r="M10" s="272" t="s">
        <v>214</v>
      </c>
      <c r="N10" s="4"/>
      <c r="O10" s="9">
        <f>+'Debt Schedule'!F5*100</f>
        <v>3.1206408672432349</v>
      </c>
    </row>
    <row r="11" spans="1:16">
      <c r="G11" s="7"/>
      <c r="H11" s="7"/>
      <c r="I11" s="7"/>
      <c r="J11" s="7"/>
      <c r="K11" s="7"/>
      <c r="M11" s="272" t="s">
        <v>215</v>
      </c>
      <c r="N11" s="4"/>
      <c r="O11" s="9">
        <v>0.14630000000000001</v>
      </c>
    </row>
    <row r="12" spans="1:16" s="3" customFormat="1">
      <c r="A12" s="254" t="s">
        <v>128</v>
      </c>
      <c r="B12" s="23"/>
      <c r="C12" s="23"/>
      <c r="D12" s="23"/>
      <c r="E12" s="23"/>
      <c r="F12" s="23"/>
      <c r="G12" s="30">
        <f>+G5+G6+G7+G8+G9+G10</f>
        <v>4713.7706247980441</v>
      </c>
      <c r="H12" s="30">
        <f t="shared" ref="H12:I12" si="1">+H5+H6+H7+H8+H9+H10</f>
        <v>5270.3658317754735</v>
      </c>
      <c r="I12" s="30">
        <f t="shared" si="1"/>
        <v>5660.3539123650398</v>
      </c>
      <c r="J12" s="30">
        <f>+J5+J6+J7+J8+J9+J10</f>
        <v>6181.9359499531402</v>
      </c>
      <c r="K12" s="30">
        <f>+K5+K6+K7+K8+K9+K10</f>
        <v>6811.7634871792325</v>
      </c>
      <c r="M12" s="275" t="s">
        <v>236</v>
      </c>
      <c r="O12" s="55">
        <f>1-O11</f>
        <v>0.85370000000000001</v>
      </c>
    </row>
    <row r="13" spans="1:16">
      <c r="A13" s="272" t="s">
        <v>202</v>
      </c>
      <c r="D13" s="10">
        <f>+O13</f>
        <v>7.1090364060284763</v>
      </c>
      <c r="G13" s="7"/>
      <c r="H13" s="7"/>
      <c r="I13" s="7"/>
      <c r="J13" s="7"/>
      <c r="K13" s="7"/>
      <c r="M13" s="271" t="s">
        <v>216</v>
      </c>
      <c r="N13" s="4"/>
      <c r="O13" s="9">
        <f>+O10*O11*(1-'Income Statement'!F40)+O9*O12</f>
        <v>7.1090364060284763</v>
      </c>
    </row>
    <row r="14" spans="1:16">
      <c r="A14" s="272" t="s">
        <v>325</v>
      </c>
      <c r="G14" s="279">
        <v>1</v>
      </c>
      <c r="H14" s="279">
        <f>+G14+1</f>
        <v>2</v>
      </c>
      <c r="I14" s="279">
        <f t="shared" ref="I14:K14" si="2">+H14+1</f>
        <v>3</v>
      </c>
      <c r="J14" s="279">
        <f t="shared" si="2"/>
        <v>4</v>
      </c>
      <c r="K14" s="279">
        <f t="shared" si="2"/>
        <v>5</v>
      </c>
    </row>
    <row r="15" spans="1:16">
      <c r="A15" s="254" t="s">
        <v>203</v>
      </c>
      <c r="B15" s="23"/>
      <c r="C15" s="23"/>
      <c r="D15" s="23"/>
      <c r="E15" s="23"/>
      <c r="F15" s="23"/>
      <c r="G15" s="30">
        <f>+G12/(1+$D$13/100)^G14</f>
        <v>4400.9084414961062</v>
      </c>
      <c r="H15" s="30">
        <f t="shared" ref="H15:J15" si="3">+H12/(1+$D$13/100)^H14</f>
        <v>4593.974047558966</v>
      </c>
      <c r="I15" s="30">
        <f t="shared" si="3"/>
        <v>4606.4382044181557</v>
      </c>
      <c r="J15" s="30">
        <f t="shared" si="3"/>
        <v>4696.9945049716944</v>
      </c>
      <c r="K15" s="30">
        <f t="shared" ref="K15" si="4">+K12/(1+$D$13/100)^K14</f>
        <v>4832.0230695293976</v>
      </c>
    </row>
    <row r="17" spans="1:17">
      <c r="A17" s="271" t="s">
        <v>204</v>
      </c>
    </row>
    <row r="18" spans="1:17">
      <c r="A18" s="272" t="s">
        <v>308</v>
      </c>
      <c r="B18" s="10">
        <f>+K12</f>
        <v>6811.7634871792325</v>
      </c>
    </row>
    <row r="19" spans="1:17">
      <c r="A19" s="272" t="s">
        <v>205</v>
      </c>
      <c r="B19" s="55">
        <v>3.25</v>
      </c>
    </row>
    <row r="20" spans="1:17">
      <c r="A20" s="272" t="s">
        <v>206</v>
      </c>
      <c r="B20" s="10">
        <f>+B18*(1+B19/100)/((D13-B19)/100)</f>
        <v>182251.34620460117</v>
      </c>
    </row>
    <row r="21" spans="1:17">
      <c r="A21" s="272" t="s">
        <v>208</v>
      </c>
      <c r="B21" s="10">
        <f>+B20/(1+D13/100)^5</f>
        <v>129282.63157858085</v>
      </c>
      <c r="Q21" s="9"/>
    </row>
    <row r="22" spans="1:17">
      <c r="A22" s="272" t="s">
        <v>207</v>
      </c>
      <c r="B22" s="10">
        <f>+SUM(G15:K15)+B21</f>
        <v>152412.96984655518</v>
      </c>
    </row>
    <row r="24" spans="1:17">
      <c r="A24" s="272" t="s">
        <v>209</v>
      </c>
      <c r="B24" s="274">
        <f>+'Balance Sheet'!F30+'Balance Sheet'!F31+'Balance Sheet'!F34-'Balance Sheet'!F5</f>
        <v>8598.9000000000015</v>
      </c>
    </row>
    <row r="25" spans="1:17">
      <c r="A25" s="272" t="s">
        <v>210</v>
      </c>
      <c r="B25" s="10">
        <f>+B22-B24</f>
        <v>143814.06984655518</v>
      </c>
    </row>
    <row r="26" spans="1:17">
      <c r="A26" s="272" t="s">
        <v>211</v>
      </c>
      <c r="B26" s="273">
        <f>+'Income Statement'!F54</f>
        <v>1177.5999999999999</v>
      </c>
    </row>
    <row r="28" spans="1:17">
      <c r="A28" s="254" t="s">
        <v>212</v>
      </c>
      <c r="B28" s="324">
        <f>+B25/B26</f>
        <v>122.12471963871874</v>
      </c>
    </row>
    <row r="33" spans="1:1" ht="17.25">
      <c r="A33" s="321" t="s">
        <v>324</v>
      </c>
    </row>
  </sheetData>
  <mergeCells count="2">
    <mergeCell ref="D1:F1"/>
    <mergeCell ref="G1:K1"/>
  </mergeCells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showGridLines="0" zoomScale="85" zoomScaleNormal="85" workbookViewId="0">
      <selection activeCell="K14" sqref="K14"/>
    </sheetView>
  </sheetViews>
  <sheetFormatPr defaultRowHeight="15"/>
  <cols>
    <col min="1" max="1" width="9.140625" style="4"/>
    <col min="2" max="2" width="15.7109375" style="4" bestFit="1" customWidth="1"/>
    <col min="3" max="5" width="12.7109375" style="4" customWidth="1"/>
    <col min="6" max="16384" width="9.140625" style="4"/>
  </cols>
  <sheetData>
    <row r="2" spans="2:5" s="3" customFormat="1">
      <c r="B2" s="3" t="s">
        <v>224</v>
      </c>
      <c r="C2" s="3">
        <v>93.73</v>
      </c>
    </row>
    <row r="3" spans="2:5" s="3" customFormat="1">
      <c r="B3" s="3" t="s">
        <v>223</v>
      </c>
      <c r="C3" s="3">
        <v>108.2</v>
      </c>
    </row>
    <row r="4" spans="2:5" s="3" customFormat="1">
      <c r="B4" s="3" t="s">
        <v>226</v>
      </c>
      <c r="C4" s="55">
        <f>(C3*1000+'Balance Sheet'!F34+'Balance Sheet'!F30+'Balance Sheet'!F31-'Balance Sheet'!F5)/1000</f>
        <v>116.79889999999999</v>
      </c>
    </row>
    <row r="5" spans="2:5" s="3" customFormat="1">
      <c r="B5" s="277" t="s">
        <v>225</v>
      </c>
      <c r="C5" s="278" t="s">
        <v>217</v>
      </c>
      <c r="D5" s="278" t="s">
        <v>218</v>
      </c>
      <c r="E5" s="278" t="s">
        <v>219</v>
      </c>
    </row>
    <row r="6" spans="2:5">
      <c r="B6" s="4" t="s">
        <v>220</v>
      </c>
      <c r="C6" s="276">
        <f>+$C2/'Income Statement'!F48</f>
        <v>26.284487414569089</v>
      </c>
      <c r="D6" s="276">
        <f>+$C2/'Income Statement'!G48</f>
        <v>24.904986863809029</v>
      </c>
      <c r="E6" s="276">
        <f>+$C2/'Income Statement'!H48</f>
        <v>20.516613735644579</v>
      </c>
    </row>
    <row r="7" spans="2:5">
      <c r="B7" s="4" t="s">
        <v>221</v>
      </c>
      <c r="C7" s="276">
        <f>+$C4*1000/'Income Statement'!F28</f>
        <v>18.012846611763976</v>
      </c>
      <c r="D7" s="276">
        <f>+$C4*1000/'Income Statement'!G28</f>
        <v>15.449302561422815</v>
      </c>
      <c r="E7" s="276">
        <f>+$C4*1000/'Income Statement'!H28</f>
        <v>13.576856962716935</v>
      </c>
    </row>
    <row r="8" spans="2:5">
      <c r="B8" s="4" t="s">
        <v>222</v>
      </c>
      <c r="C8" s="276">
        <f>+$C4*1000/'Income Statement'!F7</f>
        <v>4.0191496390301644</v>
      </c>
      <c r="D8" s="276">
        <f>+$C4*1000/'Income Statement'!G7</f>
        <v>3.4471541423362835</v>
      </c>
      <c r="E8" s="276">
        <f>+$C4*1000/'Income Statement'!H7</f>
        <v>3.0293612629350104</v>
      </c>
    </row>
    <row r="9" spans="2:5">
      <c r="B9" s="4" t="s">
        <v>227</v>
      </c>
      <c r="C9" s="51">
        <f>+'Shareholders Equity Schedule'!F16/Comparables!$C2</f>
        <v>1.9630854582310894E-2</v>
      </c>
      <c r="D9" s="51">
        <f>+'Shareholders Equity Schedule'!G16/Comparables!$C2</f>
        <v>2.071821812344736E-2</v>
      </c>
      <c r="E9" s="51">
        <f>+'Shareholders Equity Schedule'!H16/Comparables!$C2</f>
        <v>2.51497131473278E-2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Income Statement</vt:lpstr>
      <vt:lpstr>Balance Sheet</vt:lpstr>
      <vt:lpstr>Cash Flow Stat</vt:lpstr>
      <vt:lpstr>Ratio Analysis</vt:lpstr>
      <vt:lpstr>Revenue Drivers</vt:lpstr>
      <vt:lpstr>Cost Drivers</vt:lpstr>
      <vt:lpstr>Working Capital Forecast</vt:lpstr>
      <vt:lpstr>PPE Schedule</vt:lpstr>
      <vt:lpstr>Shareholders Equity Schedule</vt:lpstr>
      <vt:lpstr>Debt Schedule</vt:lpstr>
      <vt:lpstr>DCF Explanation</vt:lpstr>
      <vt:lpstr>DCF Valuation</vt:lpstr>
      <vt:lpstr>Comparables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2022-03-27T13:57:50Z</cp:lastPrinted>
  <dcterms:created xsi:type="dcterms:W3CDTF">2022-02-01T12:36:03Z</dcterms:created>
  <dcterms:modified xsi:type="dcterms:W3CDTF">2022-04-09T15:40:48Z</dcterms:modified>
</cp:coreProperties>
</file>