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\CICLOS\9. NOVENO CICLO\_Abastecimiento de Agua y Alcantarillado\Escalonado\Adrian avance\Diseño de toma\Entregables\"/>
    </mc:Choice>
  </mc:AlternateContent>
  <xr:revisionPtr revIDLastSave="0" documentId="13_ncr:1_{A607D0E9-D595-4ADC-A876-F5D78CD80D98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PUSACPAMPA 1" sheetId="1" r:id="rId1"/>
    <sheet name="PUSACPAMPA 2" sheetId="7" r:id="rId2"/>
    <sheet name="RESUMEN" sheetId="6" state="hidden" r:id="rId3"/>
  </sheets>
  <definedNames>
    <definedName name="_xlnm.Print_Area" localSheetId="0">'PUSACPAMPA 1'!$A$1:$S$215</definedName>
    <definedName name="_xlnm.Print_Area" localSheetId="1">'PUSACPAMPA 2'!$A$1:$S$215</definedName>
    <definedName name="_xlnm.Print_Area" localSheetId="2">RESUMEN!$A$1:$S$8</definedName>
    <definedName name="_xlnm.Print_Titles" localSheetId="0">'PUSACPAMPA 1'!$1:$6</definedName>
    <definedName name="_xlnm.Print_Titles" localSheetId="1">'PUSACPAMPA 2'!$1:$6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2" i="7" l="1"/>
  <c r="G211" i="7"/>
  <c r="J211" i="7" s="1"/>
  <c r="M211" i="7" s="1"/>
  <c r="L214" i="7" s="1"/>
  <c r="K201" i="7"/>
  <c r="K198" i="7"/>
  <c r="L194" i="7"/>
  <c r="N194" i="7" s="1"/>
  <c r="E196" i="7" s="1"/>
  <c r="K204" i="7" s="1"/>
  <c r="J194" i="7"/>
  <c r="G187" i="7"/>
  <c r="G188" i="7" s="1"/>
  <c r="I188" i="7" s="1"/>
  <c r="K188" i="7" s="1"/>
  <c r="K181" i="7"/>
  <c r="H181" i="7"/>
  <c r="M198" i="7" s="1"/>
  <c r="E176" i="7"/>
  <c r="G168" i="7"/>
  <c r="E168" i="7"/>
  <c r="E164" i="7"/>
  <c r="F151" i="7"/>
  <c r="E162" i="7" s="1"/>
  <c r="E167" i="7" s="1"/>
  <c r="I167" i="7" s="1"/>
  <c r="L167" i="7" s="1"/>
  <c r="G175" i="7" s="1"/>
  <c r="K175" i="7" s="1"/>
  <c r="E178" i="7" s="1"/>
  <c r="I178" i="7" s="1"/>
  <c r="M139" i="7"/>
  <c r="K139" i="7"/>
  <c r="D139" i="7"/>
  <c r="F130" i="7"/>
  <c r="F129" i="7"/>
  <c r="D129" i="7"/>
  <c r="E125" i="7"/>
  <c r="G130" i="7" s="1"/>
  <c r="E123" i="7"/>
  <c r="G112" i="7"/>
  <c r="E112" i="7" s="1"/>
  <c r="E93" i="7"/>
  <c r="J87" i="7"/>
  <c r="E80" i="7"/>
  <c r="G72" i="7"/>
  <c r="E72" i="7"/>
  <c r="E66" i="7"/>
  <c r="E71" i="7" s="1"/>
  <c r="I71" i="7" s="1"/>
  <c r="L71" i="7" s="1"/>
  <c r="G79" i="7" s="1"/>
  <c r="K79" i="7" s="1"/>
  <c r="E82" i="7" s="1"/>
  <c r="P53" i="7"/>
  <c r="J23" i="7"/>
  <c r="G29" i="7" s="1"/>
  <c r="A32" i="7" s="1"/>
  <c r="L32" i="7" s="1"/>
  <c r="G53" i="7" s="1"/>
  <c r="I53" i="7" s="1"/>
  <c r="N53" i="7" s="1"/>
  <c r="R53" i="7" s="1"/>
  <c r="E124" i="7" l="1"/>
  <c r="H130" i="7" s="1"/>
  <c r="K129" i="7" s="1"/>
  <c r="D133" i="7" s="1"/>
  <c r="D135" i="7" s="1"/>
  <c r="I139" i="7" s="1"/>
  <c r="D141" i="7" s="1"/>
  <c r="I141" i="7" s="1"/>
  <c r="D145" i="7" s="1"/>
  <c r="G139" i="7"/>
  <c r="I82" i="7"/>
  <c r="E92" i="7"/>
  <c r="I92" i="7" s="1"/>
  <c r="N92" i="7" s="1"/>
  <c r="D99" i="7" s="1"/>
  <c r="O198" i="7"/>
  <c r="M201" i="7" s="1"/>
  <c r="P201" i="7" s="1"/>
  <c r="K203" i="7" s="1"/>
  <c r="N203" i="7" s="1"/>
  <c r="I187" i="7"/>
  <c r="K187" i="7" s="1"/>
  <c r="F151" i="1" l="1"/>
  <c r="M15" i="6" l="1"/>
  <c r="K8" i="6" l="1"/>
  <c r="M13" i="6" l="1"/>
  <c r="M14" i="6" s="1"/>
  <c r="F8" i="6"/>
  <c r="H8" i="6"/>
  <c r="G8" i="6"/>
  <c r="J194" i="1"/>
  <c r="L194" i="1"/>
  <c r="G112" i="1"/>
  <c r="E123" i="1" l="1"/>
  <c r="M8" i="6" l="1"/>
  <c r="H181" i="1" l="1"/>
  <c r="E176" i="1"/>
  <c r="G168" i="1"/>
  <c r="E164" i="1"/>
  <c r="E168" i="1" s="1"/>
  <c r="E93" i="1"/>
  <c r="B8" i="6" l="1"/>
  <c r="J87" i="1"/>
  <c r="E212" i="1"/>
  <c r="K201" i="1"/>
  <c r="K198" i="1"/>
  <c r="N194" i="1"/>
  <c r="P8" i="6" s="1"/>
  <c r="D139" i="1"/>
  <c r="K139" i="1"/>
  <c r="M139" i="1"/>
  <c r="D129" i="1"/>
  <c r="F130" i="1"/>
  <c r="E125" i="1"/>
  <c r="G130" i="1" s="1"/>
  <c r="E72" i="1"/>
  <c r="E80" i="1"/>
  <c r="P53" i="1"/>
  <c r="J23" i="1"/>
  <c r="G29" i="1" s="1"/>
  <c r="A32" i="1" s="1"/>
  <c r="L32" i="1" s="1"/>
  <c r="E196" i="1" l="1"/>
  <c r="K204" i="1" s="1"/>
  <c r="S8" i="6"/>
  <c r="E112" i="1"/>
  <c r="J8" i="6" s="1"/>
  <c r="G53" i="1"/>
  <c r="I53" i="1" s="1"/>
  <c r="C8" i="6"/>
  <c r="G72" i="1"/>
  <c r="E66" i="1" l="1"/>
  <c r="E71" i="1" s="1"/>
  <c r="G211" i="1"/>
  <c r="J211" i="1" s="1"/>
  <c r="M211" i="1" s="1"/>
  <c r="L214" i="1" s="1"/>
  <c r="R8" i="6" s="1"/>
  <c r="G139" i="1"/>
  <c r="E124" i="1"/>
  <c r="H130" i="1" s="1"/>
  <c r="M198" i="1"/>
  <c r="O198" i="1" s="1"/>
  <c r="M201" i="1" s="1"/>
  <c r="P201" i="1" s="1"/>
  <c r="K203" i="1" s="1"/>
  <c r="N203" i="1" s="1"/>
  <c r="K181" i="1"/>
  <c r="O8" i="6" s="1"/>
  <c r="G187" i="1"/>
  <c r="D8" i="6"/>
  <c r="N53" i="1"/>
  <c r="R53" i="1" s="1"/>
  <c r="E8" i="6" s="1"/>
  <c r="Q8" i="6" l="1"/>
  <c r="E162" i="1"/>
  <c r="E167" i="1" s="1"/>
  <c r="I167" i="1" s="1"/>
  <c r="L167" i="1" s="1"/>
  <c r="G175" i="1" s="1"/>
  <c r="K175" i="1" s="1"/>
  <c r="E178" i="1" s="1"/>
  <c r="I178" i="1" s="1"/>
  <c r="I71" i="1"/>
  <c r="L71" i="1" s="1"/>
  <c r="G188" i="1"/>
  <c r="I188" i="1" s="1"/>
  <c r="K188" i="1" s="1"/>
  <c r="I187" i="1"/>
  <c r="K187" i="1" s="1"/>
  <c r="G79" i="1" l="1"/>
  <c r="K79" i="1" s="1"/>
  <c r="E82" i="1" s="1"/>
  <c r="I82" i="1" s="1"/>
  <c r="F129" i="1"/>
  <c r="K129" i="1" s="1"/>
  <c r="D133" i="1" s="1"/>
  <c r="D135" i="1" s="1"/>
  <c r="I8" i="6" s="1"/>
  <c r="I139" i="1" l="1"/>
  <c r="D141" i="1" s="1"/>
  <c r="E92" i="1"/>
  <c r="I92" i="1" s="1"/>
  <c r="N92" i="1" l="1"/>
  <c r="D99" i="1" s="1"/>
  <c r="I141" i="1"/>
  <c r="D145" i="1" s="1"/>
  <c r="L8" i="6" s="1"/>
  <c r="N8" i="6" l="1"/>
</calcChain>
</file>

<file path=xl/sharedStrings.xml><?xml version="1.0" encoding="utf-8"?>
<sst xmlns="http://schemas.openxmlformats.org/spreadsheetml/2006/main" count="711" uniqueCount="141">
  <si>
    <t>Manantial de Ladera y Concentrado, cuyo rendimiento es el siguiente:</t>
  </si>
  <si>
    <t>=</t>
  </si>
  <si>
    <t>l/s.</t>
  </si>
  <si>
    <t>1/2</t>
  </si>
  <si>
    <t>Donde</t>
  </si>
  <si>
    <t>Altura entre el afloramiento y el orificio de entrada (se recomiendan valores de 0.4 a 0.5 m.)</t>
  </si>
  <si>
    <t>g</t>
  </si>
  <si>
    <t>Velocidad de pase (se recomiendan valores menores o iguales a 0.6 m/s.)</t>
  </si>
  <si>
    <t>Caudal Máximo Diario</t>
  </si>
  <si>
    <t>x</t>
  </si>
  <si>
    <t>m/s.</t>
  </si>
  <si>
    <t>m/s</t>
  </si>
  <si>
    <t>Hf</t>
  </si>
  <si>
    <t>H</t>
  </si>
  <si>
    <t>L</t>
  </si>
  <si>
    <t>En la figura se observa:</t>
  </si>
  <si>
    <t>-</t>
  </si>
  <si>
    <t>Reemplazando Valores</t>
  </si>
  <si>
    <t>m.</t>
  </si>
  <si>
    <t>/</t>
  </si>
  <si>
    <t>y</t>
  </si>
  <si>
    <t>El valor de área está definida como:</t>
  </si>
  <si>
    <t>A</t>
  </si>
  <si>
    <t>Qmáx</t>
  </si>
  <si>
    <t>Cd</t>
  </si>
  <si>
    <t>Cd x V</t>
  </si>
  <si>
    <t>considerando:</t>
  </si>
  <si>
    <t>V</t>
  </si>
  <si>
    <t xml:space="preserve">Coeficiente de descarga </t>
  </si>
  <si>
    <t>a</t>
  </si>
  <si>
    <t>Reemplazando valores se obtiene:</t>
  </si>
  <si>
    <t>l/m.</t>
  </si>
  <si>
    <t>El diámetro del orificio está definido mediante:</t>
  </si>
  <si>
    <t>D</t>
  </si>
  <si>
    <t>4A</t>
  </si>
  <si>
    <t>π</t>
  </si>
  <si>
    <t>cm.</t>
  </si>
  <si>
    <t>"</t>
  </si>
  <si>
    <t>Calculo del número de orificios (NA)</t>
  </si>
  <si>
    <t>NA</t>
  </si>
  <si>
    <t>+</t>
  </si>
  <si>
    <t xml:space="preserve">D Calculado </t>
  </si>
  <si>
    <t>&gt;</t>
  </si>
  <si>
    <t>D Recomendado</t>
  </si>
  <si>
    <t>D asum.</t>
  </si>
  <si>
    <t>D recom.</t>
  </si>
  <si>
    <t>Asumiendose NA =</t>
  </si>
  <si>
    <t>b</t>
  </si>
  <si>
    <t>Entonces se asume:</t>
  </si>
  <si>
    <t>Utilizando la ecuación:</t>
  </si>
  <si>
    <t xml:space="preserve"> </t>
  </si>
  <si>
    <t>Ht = A + B + H + D + E</t>
  </si>
  <si>
    <t>Donde:</t>
  </si>
  <si>
    <t>B</t>
  </si>
  <si>
    <t>Desnivel mínimo entre el ingreso del agua de afloramiento y el nivel de agua de la cámara húmeda.</t>
  </si>
  <si>
    <t>E</t>
  </si>
  <si>
    <t>El valor de la carga requerida (H) se define mediante la ecuación:</t>
  </si>
  <si>
    <t>Qmd</t>
  </si>
  <si>
    <t>Gasto máximo diario</t>
  </si>
  <si>
    <t>Área de la Tuberia de salida</t>
  </si>
  <si>
    <t>Aceleración gravitacional</t>
  </si>
  <si>
    <t>Reemplazando Valores se obtiene:</t>
  </si>
  <si>
    <t>Entonces:</t>
  </si>
  <si>
    <t>Ht</t>
  </si>
  <si>
    <t>En el diseño se considera:</t>
  </si>
  <si>
    <t>Aceleración de la gravedad en m/s2</t>
  </si>
  <si>
    <t>La longitud de la canastilla debe ser:</t>
  </si>
  <si>
    <t>3Dc</t>
  </si>
  <si>
    <t>&lt;</t>
  </si>
  <si>
    <t>6Dc</t>
  </si>
  <si>
    <t>Asumido</t>
  </si>
  <si>
    <t>Ancho de ranura</t>
  </si>
  <si>
    <t>Largo de ranura</t>
  </si>
  <si>
    <t>mm</t>
  </si>
  <si>
    <t>Ar</t>
  </si>
  <si>
    <t>Ac</t>
  </si>
  <si>
    <t>At</t>
  </si>
  <si>
    <t>Nº de ranuras</t>
  </si>
  <si>
    <t>5.- Rebose y Limpia</t>
  </si>
  <si>
    <t>Q</t>
  </si>
  <si>
    <t>m/m</t>
  </si>
  <si>
    <t>Perdida de carga unitaria</t>
  </si>
  <si>
    <t>siendo el área de ranura (Ar)</t>
  </si>
  <si>
    <t>2.- Ancho de pantalla (b)</t>
  </si>
  <si>
    <t>4.- Dimensionamiento de la canastilla</t>
  </si>
  <si>
    <t>cm</t>
  </si>
  <si>
    <t>ORIFICIOS</t>
  </si>
  <si>
    <t>CANT.</t>
  </si>
  <si>
    <t>CANASTILLA</t>
  </si>
  <si>
    <t>N° Ranuras</t>
  </si>
  <si>
    <t>REBOSE</t>
  </si>
  <si>
    <t>CAMARA HUMEDA</t>
  </si>
  <si>
    <t>AFLORAMIENTO</t>
  </si>
  <si>
    <t>Linea De Conduccion</t>
  </si>
  <si>
    <t>CAPTACION 01</t>
  </si>
  <si>
    <t>CAPTACIONES</t>
  </si>
  <si>
    <t>H1</t>
  </si>
  <si>
    <t>NOTA:</t>
  </si>
  <si>
    <t>DISEÑO CAPTACIÓN DE LADERA   CHAMIZ</t>
  </si>
  <si>
    <r>
      <t>h</t>
    </r>
    <r>
      <rPr>
        <b/>
        <vertAlign val="subscript"/>
        <sz val="10"/>
        <rFont val="Arial"/>
        <family val="2"/>
      </rPr>
      <t>0</t>
    </r>
  </si>
  <si>
    <t>b = 9*D+4*N°A*D</t>
  </si>
  <si>
    <t>Borde libre (min=0.30m)</t>
  </si>
  <si>
    <t>Min=0.30m</t>
  </si>
  <si>
    <t>Ø (pulg)</t>
  </si>
  <si>
    <t>VERTEDERO</t>
  </si>
  <si>
    <t>25*5</t>
  </si>
  <si>
    <t>MM2</t>
  </si>
  <si>
    <t>A(mm2)</t>
  </si>
  <si>
    <t>D canastilla</t>
  </si>
  <si>
    <t>1.- Cálculo de la distancia entre el punto de afloramiento y la cámara húmeda (L)</t>
  </si>
  <si>
    <t>Dicho valor es mayor que la velocidad máxima recomendada de 0.6 m/s por lo que se asume para el diseño una velocidad de 0.6 m/s</t>
  </si>
  <si>
    <t>Cálculo del diámetro de la tubería de entrada (D)</t>
  </si>
  <si>
    <t>(Dato de cálculo de dotación)</t>
  </si>
  <si>
    <t>Cálculo de ancho de pantalla (b)</t>
  </si>
  <si>
    <t>3.- Cálculo de la cámara húmeda (Ht)</t>
  </si>
  <si>
    <t>Es el diámetro de la tubería de salida a la línea de conducción.</t>
  </si>
  <si>
    <t>H=0.30; Altura mínima para facilitar el paso del agua.</t>
  </si>
  <si>
    <t>Estas dimensiones se obtienen en funcion al caudal Máximo diario que la poblacion requiere.</t>
  </si>
  <si>
    <t>Por cálculo hidráulico</t>
  </si>
  <si>
    <t>Entonces el diámetro de la tubería de rebose será</t>
  </si>
  <si>
    <t>Pulgada</t>
  </si>
  <si>
    <t>Caudal de Aforo</t>
  </si>
  <si>
    <r>
      <t>v</t>
    </r>
    <r>
      <rPr>
        <vertAlign val="subscript"/>
        <sz val="11"/>
        <rFont val="Arial Narrow"/>
        <family val="2"/>
      </rPr>
      <t>2</t>
    </r>
  </si>
  <si>
    <r>
      <t>2gh</t>
    </r>
    <r>
      <rPr>
        <vertAlign val="subscript"/>
        <sz val="11"/>
        <rFont val="Arial Narrow"/>
        <family val="2"/>
      </rPr>
      <t>0</t>
    </r>
  </si>
  <si>
    <r>
      <t>h</t>
    </r>
    <r>
      <rPr>
        <vertAlign val="subscript"/>
        <sz val="11"/>
        <rFont val="Arial Narrow"/>
        <family val="2"/>
      </rPr>
      <t>0</t>
    </r>
  </si>
  <si>
    <r>
      <t>Reemplazando v</t>
    </r>
    <r>
      <rPr>
        <vertAlign val="subscript"/>
        <sz val="11"/>
        <rFont val="Arial Narrow"/>
        <family val="2"/>
      </rPr>
      <t>2</t>
    </r>
    <r>
      <rPr>
        <sz val="11"/>
        <rFont val="Arial Narrow"/>
        <family val="2"/>
      </rPr>
      <t xml:space="preserve"> =</t>
    </r>
  </si>
  <si>
    <r>
      <rPr>
        <b/>
        <sz val="11"/>
        <rFont val="Arial Narrow"/>
        <family val="2"/>
      </rPr>
      <t xml:space="preserve">Figura Nro. 01: </t>
    </r>
    <r>
      <rPr>
        <sz val="11"/>
        <rFont val="Arial Narrow"/>
        <family val="2"/>
      </rPr>
      <t>Carga disponible y perdida de carga</t>
    </r>
  </si>
  <si>
    <r>
      <t>m</t>
    </r>
    <r>
      <rPr>
        <vertAlign val="superscript"/>
        <sz val="11"/>
        <rFont val="Arial Narrow"/>
        <family val="2"/>
      </rPr>
      <t>2</t>
    </r>
  </si>
  <si>
    <r>
      <t>D</t>
    </r>
    <r>
      <rPr>
        <vertAlign val="superscript"/>
        <sz val="11"/>
        <rFont val="Arial Narrow"/>
        <family val="2"/>
      </rPr>
      <t>2</t>
    </r>
    <r>
      <rPr>
        <vertAlign val="subscript"/>
        <sz val="11"/>
        <rFont val="Arial Narrow"/>
        <family val="2"/>
      </rPr>
      <t>(4/7")</t>
    </r>
  </si>
  <si>
    <r>
      <t>D</t>
    </r>
    <r>
      <rPr>
        <vertAlign val="superscript"/>
        <sz val="11"/>
        <rFont val="Arial Narrow"/>
        <family val="2"/>
      </rPr>
      <t>2</t>
    </r>
    <r>
      <rPr>
        <vertAlign val="subscript"/>
        <sz val="11"/>
        <rFont val="Arial Narrow"/>
        <family val="2"/>
      </rPr>
      <t>(3/4 ")</t>
    </r>
  </si>
  <si>
    <r>
      <t>Q</t>
    </r>
    <r>
      <rPr>
        <vertAlign val="superscript"/>
        <sz val="11"/>
        <rFont val="Arial Narrow"/>
        <family val="2"/>
      </rPr>
      <t>2</t>
    </r>
    <r>
      <rPr>
        <sz val="11"/>
        <rFont val="Arial Narrow"/>
        <family val="2"/>
      </rPr>
      <t>md</t>
    </r>
  </si>
  <si>
    <r>
      <t>A</t>
    </r>
    <r>
      <rPr>
        <vertAlign val="superscript"/>
        <sz val="11"/>
        <rFont val="Arial Narrow"/>
        <family val="2"/>
      </rPr>
      <t>2</t>
    </r>
  </si>
  <si>
    <r>
      <t>m</t>
    </r>
    <r>
      <rPr>
        <vertAlign val="superscript"/>
        <sz val="11"/>
        <rFont val="Arial Narrow"/>
        <family val="2"/>
      </rPr>
      <t>3</t>
    </r>
    <r>
      <rPr>
        <sz val="11"/>
        <rFont val="Arial Narrow"/>
        <family val="2"/>
      </rPr>
      <t>/s.</t>
    </r>
  </si>
  <si>
    <r>
      <t>m</t>
    </r>
    <r>
      <rPr>
        <vertAlign val="superscript"/>
        <sz val="11"/>
        <rFont val="Arial Narrow"/>
        <family val="2"/>
      </rPr>
      <t>2</t>
    </r>
    <r>
      <rPr>
        <sz val="11"/>
        <rFont val="Arial Narrow"/>
        <family val="2"/>
      </rPr>
      <t>.</t>
    </r>
  </si>
  <si>
    <r>
      <t>m/s</t>
    </r>
    <r>
      <rPr>
        <vertAlign val="superscript"/>
        <sz val="11"/>
        <rFont val="Arial Narrow"/>
        <family val="2"/>
      </rPr>
      <t>2</t>
    </r>
    <r>
      <rPr>
        <sz val="11"/>
        <rFont val="Arial Narrow"/>
        <family val="2"/>
      </rPr>
      <t>.</t>
    </r>
  </si>
  <si>
    <r>
      <t>Q</t>
    </r>
    <r>
      <rPr>
        <b/>
        <vertAlign val="subscript"/>
        <sz val="11"/>
        <rFont val="Arial Narrow"/>
        <family val="2"/>
      </rPr>
      <t>max diario</t>
    </r>
  </si>
  <si>
    <r>
      <t>mm</t>
    </r>
    <r>
      <rPr>
        <vertAlign val="superscript"/>
        <sz val="11"/>
        <rFont val="Arial Narrow"/>
        <family val="2"/>
      </rPr>
      <t>2</t>
    </r>
  </si>
  <si>
    <r>
      <t>Dc</t>
    </r>
    <r>
      <rPr>
        <vertAlign val="superscript"/>
        <sz val="11"/>
        <rFont val="Arial Narrow"/>
        <family val="2"/>
      </rPr>
      <t>2</t>
    </r>
  </si>
  <si>
    <t>DISEÑO CAPTACIÓN DE LADERA  (PUSACPAMPA 1)</t>
  </si>
  <si>
    <t>"MEJORAMIENTO DEL SISTEMA DE AGUA POTABLE Y ALCANTARILLADO DE LA LOCALIDAD DE PUSACPAMPA, DISTRITO DE COMAS - DISTRITO DE COMAS - PROVINCIA DE CONCEPCION - REGIÓN JUNÍN"</t>
  </si>
  <si>
    <t>DISEÑO CAPTACIÓN DE LADERA  (PUSACPAMPA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</si>
</sst>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000"/>
    <numFmt numFmtId="166" formatCode="0.00000"/>
    <numFmt numFmtId="167" formatCode="0.000"/>
    <numFmt numFmtId="168" formatCode="_ * #,##0.000000_ ;_ * \-#,##0.000000_ ;_ * &quot;-&quot;??_ ;_ @_ "/>
  </numFmts>
  <fonts count="19" x14ac:knownFonts="1">
    <font>
      <sz val="10"/>
      <name val="Arial"/>
    </font>
    <font>
      <sz val="10"/>
      <name val="Arial"/>
      <family val="2"/>
    </font>
    <font>
      <b/>
      <u/>
      <sz val="12"/>
      <name val="Arial"/>
      <family val="2"/>
    </font>
    <font>
      <b/>
      <sz val="9"/>
      <name val="Arial"/>
      <family val="2"/>
    </font>
    <font>
      <b/>
      <u/>
      <sz val="12"/>
      <name val="Arial Narrow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Calibri"/>
      <family val="2"/>
    </font>
    <font>
      <sz val="10"/>
      <name val="Arial"/>
      <family val="2"/>
    </font>
    <font>
      <b/>
      <u/>
      <sz val="1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vertAlign val="subscript"/>
      <sz val="11"/>
      <name val="Arial Narrow"/>
      <family val="2"/>
    </font>
    <font>
      <vertAlign val="superscript"/>
      <sz val="11"/>
      <name val="Arial Narrow"/>
      <family val="2"/>
    </font>
    <font>
      <sz val="11"/>
      <color theme="3" tint="0.39997558519241921"/>
      <name val="Arial Narrow"/>
      <family val="2"/>
    </font>
    <font>
      <b/>
      <i/>
      <u/>
      <sz val="11"/>
      <name val="Arial Narrow"/>
      <family val="2"/>
    </font>
    <font>
      <sz val="11"/>
      <color rgb="FFFF0000"/>
      <name val="Arial Narrow"/>
      <family val="2"/>
    </font>
    <font>
      <b/>
      <vertAlign val="subscript"/>
      <sz val="11"/>
      <name val="Arial Narrow"/>
      <family val="2"/>
    </font>
    <font>
      <sz val="11"/>
      <color theme="4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2" fontId="0" fillId="0" borderId="4" xfId="0" applyNumberFormat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4" xfId="0" applyFont="1" applyBorder="1"/>
    <xf numFmtId="0" fontId="5" fillId="0" borderId="0" xfId="0" applyFont="1"/>
    <xf numFmtId="0" fontId="5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" fillId="0" borderId="0" xfId="0" applyFont="1"/>
    <xf numFmtId="0" fontId="10" fillId="0" borderId="0" xfId="0" applyFont="1" applyFill="1"/>
    <xf numFmtId="0" fontId="9" fillId="0" borderId="0" xfId="0" applyFont="1" applyFill="1" applyAlignment="1">
      <alignment horizontal="center" vertical="center"/>
    </xf>
    <xf numFmtId="167" fontId="10" fillId="0" borderId="0" xfId="0" applyNumberFormat="1" applyFont="1" applyFill="1"/>
    <xf numFmtId="167" fontId="10" fillId="0" borderId="0" xfId="0" applyNumberFormat="1" applyFont="1" applyFill="1" applyAlignment="1">
      <alignment horizontal="center"/>
    </xf>
    <xf numFmtId="0" fontId="11" fillId="0" borderId="0" xfId="0" applyFont="1" applyFill="1"/>
    <xf numFmtId="2" fontId="10" fillId="0" borderId="0" xfId="0" applyNumberFormat="1" applyFont="1" applyFill="1" applyAlignment="1"/>
    <xf numFmtId="16" fontId="13" fillId="0" borderId="0" xfId="0" quotePrefix="1" applyNumberFormat="1" applyFont="1" applyFill="1"/>
    <xf numFmtId="0" fontId="10" fillId="0" borderId="0" xfId="0" applyFont="1" applyFill="1" applyAlignment="1">
      <alignment horizontal="right"/>
    </xf>
    <xf numFmtId="0" fontId="10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/>
    </xf>
    <xf numFmtId="0" fontId="13" fillId="0" borderId="0" xfId="0" applyFont="1" applyFill="1" applyAlignment="1">
      <alignment horizontal="center"/>
    </xf>
    <xf numFmtId="0" fontId="10" fillId="0" borderId="0" xfId="0" applyFont="1" applyFill="1" applyAlignment="1">
      <alignment horizontal="justify" wrapText="1"/>
    </xf>
    <xf numFmtId="0" fontId="10" fillId="0" borderId="0" xfId="0" applyFont="1" applyFill="1" applyAlignment="1">
      <alignment horizontal="left"/>
    </xf>
    <xf numFmtId="0" fontId="10" fillId="0" borderId="1" xfId="0" applyFont="1" applyFill="1" applyBorder="1"/>
    <xf numFmtId="0" fontId="10" fillId="0" borderId="2" xfId="0" applyFont="1" applyFill="1" applyBorder="1"/>
    <xf numFmtId="0" fontId="10" fillId="0" borderId="3" xfId="0" applyFont="1" applyFill="1" applyBorder="1"/>
    <xf numFmtId="0" fontId="10" fillId="0" borderId="0" xfId="0" quotePrefix="1" applyFont="1" applyFill="1" applyAlignment="1">
      <alignment horizontal="center"/>
    </xf>
    <xf numFmtId="0" fontId="14" fillId="0" borderId="0" xfId="0" applyFont="1" applyFill="1"/>
    <xf numFmtId="2" fontId="10" fillId="0" borderId="0" xfId="0" applyNumberFormat="1" applyFont="1" applyFill="1" applyAlignment="1">
      <alignment horizontal="center"/>
    </xf>
    <xf numFmtId="2" fontId="10" fillId="0" borderId="0" xfId="0" applyNumberFormat="1" applyFont="1" applyFill="1"/>
    <xf numFmtId="0" fontId="11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0" fontId="11" fillId="0" borderId="0" xfId="0" quotePrefix="1" applyFont="1" applyFill="1" applyAlignment="1">
      <alignment horizontal="center"/>
    </xf>
    <xf numFmtId="0" fontId="15" fillId="0" borderId="0" xfId="0" applyFont="1" applyFill="1"/>
    <xf numFmtId="0" fontId="10" fillId="0" borderId="0" xfId="0" applyFont="1" applyFill="1" applyBorder="1" applyAlignment="1">
      <alignment textRotation="90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12" fontId="13" fillId="0" borderId="0" xfId="0" applyNumberFormat="1" applyFont="1" applyFill="1" applyAlignment="1">
      <alignment horizontal="center"/>
    </xf>
    <xf numFmtId="12" fontId="13" fillId="0" borderId="0" xfId="0" applyNumberFormat="1" applyFont="1" applyFill="1" applyAlignment="1">
      <alignment horizontal="left" indent="1" readingOrder="1"/>
    </xf>
    <xf numFmtId="12" fontId="10" fillId="0" borderId="0" xfId="0" applyNumberFormat="1" applyFont="1" applyFill="1" applyAlignment="1">
      <alignment horizontal="center"/>
    </xf>
    <xf numFmtId="12" fontId="14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11" fontId="10" fillId="0" borderId="0" xfId="0" applyNumberFormat="1" applyFont="1" applyFill="1"/>
    <xf numFmtId="2" fontId="10" fillId="0" borderId="1" xfId="0" applyNumberFormat="1" applyFont="1" applyFill="1" applyBorder="1" applyAlignment="1">
      <alignment horizontal="center"/>
    </xf>
    <xf numFmtId="12" fontId="10" fillId="0" borderId="0" xfId="0" applyNumberFormat="1" applyFont="1" applyFill="1"/>
    <xf numFmtId="4" fontId="10" fillId="0" borderId="0" xfId="0" applyNumberFormat="1" applyFont="1" applyFill="1"/>
    <xf numFmtId="12" fontId="16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0" fontId="10" fillId="3" borderId="0" xfId="0" applyFont="1" applyFill="1"/>
    <xf numFmtId="12" fontId="16" fillId="0" borderId="0" xfId="0" applyNumberFormat="1" applyFont="1" applyFill="1"/>
    <xf numFmtId="0" fontId="18" fillId="0" borderId="0" xfId="0" applyFont="1" applyFill="1"/>
    <xf numFmtId="168" fontId="10" fillId="0" borderId="0" xfId="1" applyNumberFormat="1" applyFont="1" applyFill="1" applyAlignment="1"/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1" fontId="10" fillId="0" borderId="1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horizontal="right" vertical="center"/>
    </xf>
    <xf numFmtId="0" fontId="13" fillId="0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2" fontId="10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justify" wrapText="1"/>
    </xf>
    <xf numFmtId="167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left"/>
    </xf>
    <xf numFmtId="167" fontId="10" fillId="4" borderId="8" xfId="0" applyNumberFormat="1" applyFont="1" applyFill="1" applyBorder="1" applyAlignment="1">
      <alignment horizontal="center"/>
    </xf>
    <xf numFmtId="2" fontId="10" fillId="5" borderId="8" xfId="0" applyNumberFormat="1" applyFont="1" applyFill="1" applyBorder="1"/>
    <xf numFmtId="0" fontId="11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vertical="center"/>
    </xf>
    <xf numFmtId="11" fontId="10" fillId="0" borderId="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2" fontId="10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horizontal="left" vertical="center"/>
    </xf>
    <xf numFmtId="4" fontId="10" fillId="0" borderId="0" xfId="0" applyNumberFormat="1" applyFont="1" applyFill="1" applyAlignment="1">
      <alignment horizontal="center" vertical="center"/>
    </xf>
    <xf numFmtId="4" fontId="10" fillId="0" borderId="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0" fontId="10" fillId="0" borderId="5" xfId="0" applyFont="1" applyFill="1" applyBorder="1" applyAlignment="1">
      <alignment horizontal="center"/>
    </xf>
    <xf numFmtId="11" fontId="10" fillId="0" borderId="0" xfId="0" applyNumberFormat="1" applyFont="1" applyFill="1" applyAlignment="1">
      <alignment horizontal="center" vertical="center"/>
    </xf>
    <xf numFmtId="165" fontId="10" fillId="0" borderId="0" xfId="0" applyNumberFormat="1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2" fontId="16" fillId="0" borderId="0" xfId="0" applyNumberFormat="1" applyFont="1" applyFill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0" xfId="0" applyFont="1" applyFill="1" applyAlignment="1">
      <alignment horizontal="justify" vertical="top" wrapText="1"/>
    </xf>
    <xf numFmtId="0" fontId="10" fillId="0" borderId="0" xfId="0" applyFont="1" applyFill="1" applyAlignment="1">
      <alignment horizontal="justify" wrapText="1"/>
    </xf>
    <xf numFmtId="166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right" vertical="center"/>
    </xf>
    <xf numFmtId="167" fontId="10" fillId="0" borderId="0" xfId="0" applyNumberFormat="1" applyFont="1" applyFill="1" applyAlignment="1">
      <alignment horizontal="center"/>
    </xf>
    <xf numFmtId="0" fontId="10" fillId="0" borderId="0" xfId="0" applyFont="1" applyFill="1" applyBorder="1" applyAlignment="1">
      <alignment horizontal="center" textRotation="90" wrapText="1"/>
    </xf>
    <xf numFmtId="0" fontId="10" fillId="0" borderId="0" xfId="0" applyFont="1" applyFill="1" applyAlignment="1">
      <alignment horizontal="left"/>
    </xf>
    <xf numFmtId="165" fontId="10" fillId="0" borderId="0" xfId="0" applyNumberFormat="1" applyFont="1" applyFill="1" applyAlignment="1">
      <alignment horizontal="left"/>
    </xf>
    <xf numFmtId="2" fontId="10" fillId="0" borderId="0" xfId="0" applyNumberFormat="1" applyFont="1" applyFill="1" applyAlignment="1">
      <alignment horizontal="center" vertical="center"/>
    </xf>
    <xf numFmtId="167" fontId="11" fillId="0" borderId="0" xfId="0" applyNumberFormat="1" applyFont="1" applyFill="1" applyAlignment="1">
      <alignment horizontal="center"/>
    </xf>
    <xf numFmtId="0" fontId="10" fillId="0" borderId="6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right"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34</xdr:row>
      <xdr:rowOff>66675</xdr:rowOff>
    </xdr:from>
    <xdr:to>
      <xdr:col>9</xdr:col>
      <xdr:colOff>247650</xdr:colOff>
      <xdr:row>43</xdr:row>
      <xdr:rowOff>114300</xdr:rowOff>
    </xdr:to>
    <xdr:sp macro="" textlink="">
      <xdr:nvSpPr>
        <xdr:cNvPr id="7340" name="Rectangle 30">
          <a:extLst>
            <a:ext uri="{FF2B5EF4-FFF2-40B4-BE49-F238E27FC236}">
              <a16:creationId xmlns:a16="http://schemas.microsoft.com/office/drawing/2014/main" id="{00000000-0008-0000-0000-0000AC1C0000}"/>
            </a:ext>
          </a:extLst>
        </xdr:cNvPr>
        <xdr:cNvSpPr>
          <a:spLocks noChangeArrowheads="1"/>
        </xdr:cNvSpPr>
      </xdr:nvSpPr>
      <xdr:spPr bwMode="auto">
        <a:xfrm>
          <a:off x="323850" y="7153275"/>
          <a:ext cx="2676525" cy="15049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12</xdr:row>
      <xdr:rowOff>152400</xdr:rowOff>
    </xdr:from>
    <xdr:to>
      <xdr:col>6</xdr:col>
      <xdr:colOff>390525</xdr:colOff>
      <xdr:row>16</xdr:row>
      <xdr:rowOff>0</xdr:rowOff>
    </xdr:to>
    <xdr:sp macro="" textlink="">
      <xdr:nvSpPr>
        <xdr:cNvPr id="7341" name="AutoShape 1">
          <a:extLst>
            <a:ext uri="{FF2B5EF4-FFF2-40B4-BE49-F238E27FC236}">
              <a16:creationId xmlns:a16="http://schemas.microsoft.com/office/drawing/2014/main" id="{00000000-0008-0000-0000-0000AD1C0000}"/>
            </a:ext>
          </a:extLst>
        </xdr:cNvPr>
        <xdr:cNvSpPr>
          <a:spLocks noChangeArrowheads="1"/>
        </xdr:cNvSpPr>
      </xdr:nvSpPr>
      <xdr:spPr bwMode="auto">
        <a:xfrm>
          <a:off x="1447800" y="3705225"/>
          <a:ext cx="590550" cy="523875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95250</xdr:colOff>
      <xdr:row>14</xdr:row>
      <xdr:rowOff>57150</xdr:rowOff>
    </xdr:from>
    <xdr:to>
      <xdr:col>6</xdr:col>
      <xdr:colOff>161925</xdr:colOff>
      <xdr:row>14</xdr:row>
      <xdr:rowOff>57150</xdr:rowOff>
    </xdr:to>
    <xdr:sp macro="" textlink="">
      <xdr:nvSpPr>
        <xdr:cNvPr id="7342" name="Line 2">
          <a:extLst>
            <a:ext uri="{FF2B5EF4-FFF2-40B4-BE49-F238E27FC236}">
              <a16:creationId xmlns:a16="http://schemas.microsoft.com/office/drawing/2014/main" id="{00000000-0008-0000-0000-0000AE1C0000}"/>
            </a:ext>
          </a:extLst>
        </xdr:cNvPr>
        <xdr:cNvSpPr>
          <a:spLocks noChangeShapeType="1"/>
        </xdr:cNvSpPr>
      </xdr:nvSpPr>
      <xdr:spPr bwMode="auto">
        <a:xfrm>
          <a:off x="1543050" y="3962400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6</xdr:col>
      <xdr:colOff>285750</xdr:colOff>
      <xdr:row>24</xdr:row>
      <xdr:rowOff>19050</xdr:rowOff>
    </xdr:to>
    <xdr:sp macro="" textlink="">
      <xdr:nvSpPr>
        <xdr:cNvPr id="7343" name="AutoShape 3">
          <a:extLst>
            <a:ext uri="{FF2B5EF4-FFF2-40B4-BE49-F238E27FC236}">
              <a16:creationId xmlns:a16="http://schemas.microsoft.com/office/drawing/2014/main" id="{00000000-0008-0000-0000-0000AF1C0000}"/>
            </a:ext>
          </a:extLst>
        </xdr:cNvPr>
        <xdr:cNvSpPr>
          <a:spLocks noChangeArrowheads="1"/>
        </xdr:cNvSpPr>
      </xdr:nvSpPr>
      <xdr:spPr bwMode="auto">
        <a:xfrm>
          <a:off x="647700" y="5067300"/>
          <a:ext cx="1314450" cy="561975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95250</xdr:colOff>
      <xdr:row>22</xdr:row>
      <xdr:rowOff>95250</xdr:rowOff>
    </xdr:from>
    <xdr:to>
      <xdr:col>6</xdr:col>
      <xdr:colOff>247650</xdr:colOff>
      <xdr:row>22</xdr:row>
      <xdr:rowOff>95250</xdr:rowOff>
    </xdr:to>
    <xdr:sp macro="" textlink="">
      <xdr:nvSpPr>
        <xdr:cNvPr id="7344" name="Line 4">
          <a:extLst>
            <a:ext uri="{FF2B5EF4-FFF2-40B4-BE49-F238E27FC236}">
              <a16:creationId xmlns:a16="http://schemas.microsoft.com/office/drawing/2014/main" id="{00000000-0008-0000-0000-0000B01C0000}"/>
            </a:ext>
          </a:extLst>
        </xdr:cNvPr>
        <xdr:cNvSpPr>
          <a:spLocks noChangeShapeType="1"/>
        </xdr:cNvSpPr>
      </xdr:nvSpPr>
      <xdr:spPr bwMode="auto">
        <a:xfrm>
          <a:off x="742950" y="5343525"/>
          <a:ext cx="1181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29</xdr:row>
      <xdr:rowOff>133350</xdr:rowOff>
    </xdr:from>
    <xdr:to>
      <xdr:col>6</xdr:col>
      <xdr:colOff>285750</xdr:colOff>
      <xdr:row>33</xdr:row>
      <xdr:rowOff>19050</xdr:rowOff>
    </xdr:to>
    <xdr:sp macro="" textlink="">
      <xdr:nvSpPr>
        <xdr:cNvPr id="7345" name="AutoShape 5">
          <a:extLst>
            <a:ext uri="{FF2B5EF4-FFF2-40B4-BE49-F238E27FC236}">
              <a16:creationId xmlns:a16="http://schemas.microsoft.com/office/drawing/2014/main" id="{00000000-0008-0000-0000-0000B11C0000}"/>
            </a:ext>
          </a:extLst>
        </xdr:cNvPr>
        <xdr:cNvSpPr>
          <a:spLocks noChangeArrowheads="1"/>
        </xdr:cNvSpPr>
      </xdr:nvSpPr>
      <xdr:spPr bwMode="auto">
        <a:xfrm>
          <a:off x="647700" y="6391275"/>
          <a:ext cx="1314450" cy="60960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95250</xdr:colOff>
      <xdr:row>31</xdr:row>
      <xdr:rowOff>95250</xdr:rowOff>
    </xdr:from>
    <xdr:to>
      <xdr:col>6</xdr:col>
      <xdr:colOff>247650</xdr:colOff>
      <xdr:row>31</xdr:row>
      <xdr:rowOff>95250</xdr:rowOff>
    </xdr:to>
    <xdr:sp macro="" textlink="">
      <xdr:nvSpPr>
        <xdr:cNvPr id="7346" name="Line 6">
          <a:extLst>
            <a:ext uri="{FF2B5EF4-FFF2-40B4-BE49-F238E27FC236}">
              <a16:creationId xmlns:a16="http://schemas.microsoft.com/office/drawing/2014/main" id="{00000000-0008-0000-0000-0000B21C0000}"/>
            </a:ext>
          </a:extLst>
        </xdr:cNvPr>
        <xdr:cNvSpPr>
          <a:spLocks noChangeShapeType="1"/>
        </xdr:cNvSpPr>
      </xdr:nvSpPr>
      <xdr:spPr bwMode="auto">
        <a:xfrm>
          <a:off x="742950" y="6715125"/>
          <a:ext cx="1181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66675</xdr:colOff>
      <xdr:row>35</xdr:row>
      <xdr:rowOff>0</xdr:rowOff>
    </xdr:from>
    <xdr:to>
      <xdr:col>8</xdr:col>
      <xdr:colOff>66675</xdr:colOff>
      <xdr:row>38</xdr:row>
      <xdr:rowOff>9525</xdr:rowOff>
    </xdr:to>
    <xdr:sp macro="" textlink="">
      <xdr:nvSpPr>
        <xdr:cNvPr id="7347" name="Line 8">
          <a:extLst>
            <a:ext uri="{FF2B5EF4-FFF2-40B4-BE49-F238E27FC236}">
              <a16:creationId xmlns:a16="http://schemas.microsoft.com/office/drawing/2014/main" id="{00000000-0008-0000-0000-0000B31C0000}"/>
            </a:ext>
          </a:extLst>
        </xdr:cNvPr>
        <xdr:cNvSpPr>
          <a:spLocks noChangeShapeType="1"/>
        </xdr:cNvSpPr>
      </xdr:nvSpPr>
      <xdr:spPr bwMode="auto">
        <a:xfrm>
          <a:off x="2362200" y="7248525"/>
          <a:ext cx="0" cy="495300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sm" len="med"/>
          <a:tailEnd type="arrow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66675</xdr:colOff>
      <xdr:row>38</xdr:row>
      <xdr:rowOff>9525</xdr:rowOff>
    </xdr:from>
    <xdr:to>
      <xdr:col>8</xdr:col>
      <xdr:colOff>66675</xdr:colOff>
      <xdr:row>40</xdr:row>
      <xdr:rowOff>0</xdr:rowOff>
    </xdr:to>
    <xdr:sp macro="" textlink="">
      <xdr:nvSpPr>
        <xdr:cNvPr id="7348" name="Line 9">
          <a:extLst>
            <a:ext uri="{FF2B5EF4-FFF2-40B4-BE49-F238E27FC236}">
              <a16:creationId xmlns:a16="http://schemas.microsoft.com/office/drawing/2014/main" id="{00000000-0008-0000-0000-0000B41C0000}"/>
            </a:ext>
          </a:extLst>
        </xdr:cNvPr>
        <xdr:cNvSpPr>
          <a:spLocks noChangeShapeType="1"/>
        </xdr:cNvSpPr>
      </xdr:nvSpPr>
      <xdr:spPr bwMode="auto">
        <a:xfrm>
          <a:off x="2362200" y="7743825"/>
          <a:ext cx="0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sm" len="med"/>
          <a:tailEnd type="arrow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419100</xdr:colOff>
      <xdr:row>35</xdr:row>
      <xdr:rowOff>0</xdr:rowOff>
    </xdr:from>
    <xdr:to>
      <xdr:col>8</xdr:col>
      <xdr:colOff>419100</xdr:colOff>
      <xdr:row>40</xdr:row>
      <xdr:rowOff>0</xdr:rowOff>
    </xdr:to>
    <xdr:sp macro="" textlink="">
      <xdr:nvSpPr>
        <xdr:cNvPr id="7349" name="Line 10">
          <a:extLst>
            <a:ext uri="{FF2B5EF4-FFF2-40B4-BE49-F238E27FC236}">
              <a16:creationId xmlns:a16="http://schemas.microsoft.com/office/drawing/2014/main" id="{00000000-0008-0000-0000-0000B51C0000}"/>
            </a:ext>
          </a:extLst>
        </xdr:cNvPr>
        <xdr:cNvSpPr>
          <a:spLocks noChangeShapeType="1"/>
        </xdr:cNvSpPr>
      </xdr:nvSpPr>
      <xdr:spPr bwMode="auto">
        <a:xfrm>
          <a:off x="2714625" y="7248525"/>
          <a:ext cx="0" cy="809625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sm" len="med"/>
          <a:tailEnd type="arrow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371475</xdr:colOff>
      <xdr:row>42</xdr:row>
      <xdr:rowOff>0</xdr:rowOff>
    </xdr:from>
    <xdr:to>
      <xdr:col>5</xdr:col>
      <xdr:colOff>0</xdr:colOff>
      <xdr:row>42</xdr:row>
      <xdr:rowOff>0</xdr:rowOff>
    </xdr:to>
    <xdr:sp macro="" textlink="">
      <xdr:nvSpPr>
        <xdr:cNvPr id="7350" name="Line 11">
          <a:extLst>
            <a:ext uri="{FF2B5EF4-FFF2-40B4-BE49-F238E27FC236}">
              <a16:creationId xmlns:a16="http://schemas.microsoft.com/office/drawing/2014/main" id="{00000000-0008-0000-0000-0000B61C0000}"/>
            </a:ext>
          </a:extLst>
        </xdr:cNvPr>
        <xdr:cNvSpPr>
          <a:spLocks noChangeShapeType="1"/>
        </xdr:cNvSpPr>
      </xdr:nvSpPr>
      <xdr:spPr bwMode="auto">
        <a:xfrm flipH="1">
          <a:off x="371475" y="8382000"/>
          <a:ext cx="1076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sm" len="med"/>
          <a:tailEnd type="arrow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38</xdr:row>
      <xdr:rowOff>0</xdr:rowOff>
    </xdr:from>
    <xdr:to>
      <xdr:col>7</xdr:col>
      <xdr:colOff>104775</xdr:colOff>
      <xdr:row>38</xdr:row>
      <xdr:rowOff>0</xdr:rowOff>
    </xdr:to>
    <xdr:sp macro="" textlink="">
      <xdr:nvSpPr>
        <xdr:cNvPr id="7351" name="Line 12">
          <a:extLst>
            <a:ext uri="{FF2B5EF4-FFF2-40B4-BE49-F238E27FC236}">
              <a16:creationId xmlns:a16="http://schemas.microsoft.com/office/drawing/2014/main" id="{00000000-0008-0000-0000-0000B71C0000}"/>
            </a:ext>
          </a:extLst>
        </xdr:cNvPr>
        <xdr:cNvSpPr>
          <a:spLocks noChangeShapeType="1"/>
        </xdr:cNvSpPr>
      </xdr:nvSpPr>
      <xdr:spPr bwMode="auto">
        <a:xfrm flipH="1">
          <a:off x="1543050" y="7734300"/>
          <a:ext cx="600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</xdr:colOff>
      <xdr:row>40</xdr:row>
      <xdr:rowOff>0</xdr:rowOff>
    </xdr:from>
    <xdr:to>
      <xdr:col>7</xdr:col>
      <xdr:colOff>85725</xdr:colOff>
      <xdr:row>40</xdr:row>
      <xdr:rowOff>0</xdr:rowOff>
    </xdr:to>
    <xdr:sp macro="" textlink="">
      <xdr:nvSpPr>
        <xdr:cNvPr id="7352" name="Line 13">
          <a:extLst>
            <a:ext uri="{FF2B5EF4-FFF2-40B4-BE49-F238E27FC236}">
              <a16:creationId xmlns:a16="http://schemas.microsoft.com/office/drawing/2014/main" id="{00000000-0008-0000-0000-0000B81C0000}"/>
            </a:ext>
          </a:extLst>
        </xdr:cNvPr>
        <xdr:cNvSpPr>
          <a:spLocks noChangeShapeType="1"/>
        </xdr:cNvSpPr>
      </xdr:nvSpPr>
      <xdr:spPr bwMode="auto">
        <a:xfrm flipH="1">
          <a:off x="1524000" y="8058150"/>
          <a:ext cx="600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133350</xdr:colOff>
      <xdr:row>39</xdr:row>
      <xdr:rowOff>57150</xdr:rowOff>
    </xdr:from>
    <xdr:to>
      <xdr:col>5</xdr:col>
      <xdr:colOff>85725</xdr:colOff>
      <xdr:row>40</xdr:row>
      <xdr:rowOff>0</xdr:rowOff>
    </xdr:to>
    <xdr:sp macro="" textlink="">
      <xdr:nvSpPr>
        <xdr:cNvPr id="7353" name="Line 14">
          <a:extLst>
            <a:ext uri="{FF2B5EF4-FFF2-40B4-BE49-F238E27FC236}">
              <a16:creationId xmlns:a16="http://schemas.microsoft.com/office/drawing/2014/main" id="{00000000-0008-0000-0000-0000B91C0000}"/>
            </a:ext>
          </a:extLst>
        </xdr:cNvPr>
        <xdr:cNvSpPr>
          <a:spLocks noChangeShapeType="1"/>
        </xdr:cNvSpPr>
      </xdr:nvSpPr>
      <xdr:spPr bwMode="auto">
        <a:xfrm flipH="1" flipV="1">
          <a:off x="1190625" y="7953375"/>
          <a:ext cx="34290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123825</xdr:colOff>
      <xdr:row>38</xdr:row>
      <xdr:rowOff>0</xdr:rowOff>
    </xdr:from>
    <xdr:to>
      <xdr:col>5</xdr:col>
      <xdr:colOff>85725</xdr:colOff>
      <xdr:row>38</xdr:row>
      <xdr:rowOff>95250</xdr:rowOff>
    </xdr:to>
    <xdr:sp macro="" textlink="">
      <xdr:nvSpPr>
        <xdr:cNvPr id="7354" name="Line 15">
          <a:extLst>
            <a:ext uri="{FF2B5EF4-FFF2-40B4-BE49-F238E27FC236}">
              <a16:creationId xmlns:a16="http://schemas.microsoft.com/office/drawing/2014/main" id="{00000000-0008-0000-0000-0000BA1C0000}"/>
            </a:ext>
          </a:extLst>
        </xdr:cNvPr>
        <xdr:cNvSpPr>
          <a:spLocks noChangeShapeType="1"/>
        </xdr:cNvSpPr>
      </xdr:nvSpPr>
      <xdr:spPr bwMode="auto">
        <a:xfrm flipH="1">
          <a:off x="1181100" y="7734300"/>
          <a:ext cx="352425" cy="95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66675</xdr:colOff>
      <xdr:row>38</xdr:row>
      <xdr:rowOff>19050</xdr:rowOff>
    </xdr:from>
    <xdr:to>
      <xdr:col>4</xdr:col>
      <xdr:colOff>123825</xdr:colOff>
      <xdr:row>38</xdr:row>
      <xdr:rowOff>95250</xdr:rowOff>
    </xdr:to>
    <xdr:sp macro="" textlink="">
      <xdr:nvSpPr>
        <xdr:cNvPr id="7355" name="Line 16">
          <a:extLst>
            <a:ext uri="{FF2B5EF4-FFF2-40B4-BE49-F238E27FC236}">
              <a16:creationId xmlns:a16="http://schemas.microsoft.com/office/drawing/2014/main" id="{00000000-0008-0000-0000-0000BB1C0000}"/>
            </a:ext>
          </a:extLst>
        </xdr:cNvPr>
        <xdr:cNvSpPr>
          <a:spLocks noChangeShapeType="1"/>
        </xdr:cNvSpPr>
      </xdr:nvSpPr>
      <xdr:spPr bwMode="auto">
        <a:xfrm flipH="1" flipV="1">
          <a:off x="952500" y="7753350"/>
          <a:ext cx="2286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39</xdr:row>
      <xdr:rowOff>66675</xdr:rowOff>
    </xdr:from>
    <xdr:to>
      <xdr:col>4</xdr:col>
      <xdr:colOff>133350</xdr:colOff>
      <xdr:row>39</xdr:row>
      <xdr:rowOff>142875</xdr:rowOff>
    </xdr:to>
    <xdr:sp macro="" textlink="">
      <xdr:nvSpPr>
        <xdr:cNvPr id="7356" name="Line 17">
          <a:extLst>
            <a:ext uri="{FF2B5EF4-FFF2-40B4-BE49-F238E27FC236}">
              <a16:creationId xmlns:a16="http://schemas.microsoft.com/office/drawing/2014/main" id="{00000000-0008-0000-0000-0000BC1C0000}"/>
            </a:ext>
          </a:extLst>
        </xdr:cNvPr>
        <xdr:cNvSpPr>
          <a:spLocks noChangeShapeType="1"/>
        </xdr:cNvSpPr>
      </xdr:nvSpPr>
      <xdr:spPr bwMode="auto">
        <a:xfrm flipH="1">
          <a:off x="933450" y="7962900"/>
          <a:ext cx="25717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38100</xdr:colOff>
      <xdr:row>38</xdr:row>
      <xdr:rowOff>66675</xdr:rowOff>
    </xdr:from>
    <xdr:to>
      <xdr:col>7</xdr:col>
      <xdr:colOff>95250</xdr:colOff>
      <xdr:row>38</xdr:row>
      <xdr:rowOff>66675</xdr:rowOff>
    </xdr:to>
    <xdr:sp macro="" textlink="">
      <xdr:nvSpPr>
        <xdr:cNvPr id="7357" name="Line 18">
          <a:extLst>
            <a:ext uri="{FF2B5EF4-FFF2-40B4-BE49-F238E27FC236}">
              <a16:creationId xmlns:a16="http://schemas.microsoft.com/office/drawing/2014/main" id="{00000000-0008-0000-0000-0000BD1C0000}"/>
            </a:ext>
          </a:extLst>
        </xdr:cNvPr>
        <xdr:cNvSpPr>
          <a:spLocks noChangeShapeType="1"/>
        </xdr:cNvSpPr>
      </xdr:nvSpPr>
      <xdr:spPr bwMode="auto">
        <a:xfrm flipH="1">
          <a:off x="1485900" y="7800975"/>
          <a:ext cx="647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152400</xdr:colOff>
      <xdr:row>38</xdr:row>
      <xdr:rowOff>66675</xdr:rowOff>
    </xdr:from>
    <xdr:to>
      <xdr:col>5</xdr:col>
      <xdr:colOff>38100</xdr:colOff>
      <xdr:row>38</xdr:row>
      <xdr:rowOff>114300</xdr:rowOff>
    </xdr:to>
    <xdr:sp macro="" textlink="">
      <xdr:nvSpPr>
        <xdr:cNvPr id="7358" name="Line 19">
          <a:extLst>
            <a:ext uri="{FF2B5EF4-FFF2-40B4-BE49-F238E27FC236}">
              <a16:creationId xmlns:a16="http://schemas.microsoft.com/office/drawing/2014/main" id="{00000000-0008-0000-0000-0000BE1C0000}"/>
            </a:ext>
          </a:extLst>
        </xdr:cNvPr>
        <xdr:cNvSpPr>
          <a:spLocks noChangeShapeType="1"/>
        </xdr:cNvSpPr>
      </xdr:nvSpPr>
      <xdr:spPr bwMode="auto">
        <a:xfrm flipH="1">
          <a:off x="1209675" y="7800975"/>
          <a:ext cx="2762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38</xdr:row>
      <xdr:rowOff>123825</xdr:rowOff>
    </xdr:from>
    <xdr:to>
      <xdr:col>7</xdr:col>
      <xdr:colOff>76200</xdr:colOff>
      <xdr:row>38</xdr:row>
      <xdr:rowOff>123825</xdr:rowOff>
    </xdr:to>
    <xdr:sp macro="" textlink="">
      <xdr:nvSpPr>
        <xdr:cNvPr id="7359" name="Line 20">
          <a:extLst>
            <a:ext uri="{FF2B5EF4-FFF2-40B4-BE49-F238E27FC236}">
              <a16:creationId xmlns:a16="http://schemas.microsoft.com/office/drawing/2014/main" id="{00000000-0008-0000-0000-0000BF1C0000}"/>
            </a:ext>
          </a:extLst>
        </xdr:cNvPr>
        <xdr:cNvSpPr>
          <a:spLocks noChangeShapeType="1"/>
        </xdr:cNvSpPr>
      </xdr:nvSpPr>
      <xdr:spPr bwMode="auto">
        <a:xfrm flipH="1">
          <a:off x="1447800" y="7858125"/>
          <a:ext cx="666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95250</xdr:colOff>
      <xdr:row>38</xdr:row>
      <xdr:rowOff>123825</xdr:rowOff>
    </xdr:from>
    <xdr:to>
      <xdr:col>5</xdr:col>
      <xdr:colOff>9525</xdr:colOff>
      <xdr:row>38</xdr:row>
      <xdr:rowOff>152400</xdr:rowOff>
    </xdr:to>
    <xdr:sp macro="" textlink="">
      <xdr:nvSpPr>
        <xdr:cNvPr id="7360" name="Line 21">
          <a:extLst>
            <a:ext uri="{FF2B5EF4-FFF2-40B4-BE49-F238E27FC236}">
              <a16:creationId xmlns:a16="http://schemas.microsoft.com/office/drawing/2014/main" id="{00000000-0008-0000-0000-0000C01C0000}"/>
            </a:ext>
          </a:extLst>
        </xdr:cNvPr>
        <xdr:cNvSpPr>
          <a:spLocks noChangeShapeType="1"/>
        </xdr:cNvSpPr>
      </xdr:nvSpPr>
      <xdr:spPr bwMode="auto">
        <a:xfrm flipH="1">
          <a:off x="1152525" y="7858125"/>
          <a:ext cx="30480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39</xdr:row>
      <xdr:rowOff>104775</xdr:rowOff>
    </xdr:from>
    <xdr:to>
      <xdr:col>7</xdr:col>
      <xdr:colOff>76200</xdr:colOff>
      <xdr:row>39</xdr:row>
      <xdr:rowOff>104775</xdr:rowOff>
    </xdr:to>
    <xdr:sp macro="" textlink="">
      <xdr:nvSpPr>
        <xdr:cNvPr id="7361" name="Line 22">
          <a:extLst>
            <a:ext uri="{FF2B5EF4-FFF2-40B4-BE49-F238E27FC236}">
              <a16:creationId xmlns:a16="http://schemas.microsoft.com/office/drawing/2014/main" id="{00000000-0008-0000-0000-0000C11C0000}"/>
            </a:ext>
          </a:extLst>
        </xdr:cNvPr>
        <xdr:cNvSpPr>
          <a:spLocks noChangeShapeType="1"/>
        </xdr:cNvSpPr>
      </xdr:nvSpPr>
      <xdr:spPr bwMode="auto">
        <a:xfrm flipH="1">
          <a:off x="1466850" y="8001000"/>
          <a:ext cx="647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123825</xdr:colOff>
      <xdr:row>39</xdr:row>
      <xdr:rowOff>28575</xdr:rowOff>
    </xdr:from>
    <xdr:to>
      <xdr:col>5</xdr:col>
      <xdr:colOff>28575</xdr:colOff>
      <xdr:row>39</xdr:row>
      <xdr:rowOff>104775</xdr:rowOff>
    </xdr:to>
    <xdr:sp macro="" textlink="">
      <xdr:nvSpPr>
        <xdr:cNvPr id="7362" name="Line 23">
          <a:extLst>
            <a:ext uri="{FF2B5EF4-FFF2-40B4-BE49-F238E27FC236}">
              <a16:creationId xmlns:a16="http://schemas.microsoft.com/office/drawing/2014/main" id="{00000000-0008-0000-0000-0000C21C0000}"/>
            </a:ext>
          </a:extLst>
        </xdr:cNvPr>
        <xdr:cNvSpPr>
          <a:spLocks noChangeShapeType="1"/>
        </xdr:cNvSpPr>
      </xdr:nvSpPr>
      <xdr:spPr bwMode="auto">
        <a:xfrm flipH="1" flipV="1">
          <a:off x="1181100" y="7924800"/>
          <a:ext cx="29527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295275</xdr:colOff>
      <xdr:row>39</xdr:row>
      <xdr:rowOff>28575</xdr:rowOff>
    </xdr:from>
    <xdr:to>
      <xdr:col>7</xdr:col>
      <xdr:colOff>57150</xdr:colOff>
      <xdr:row>39</xdr:row>
      <xdr:rowOff>28575</xdr:rowOff>
    </xdr:to>
    <xdr:sp macro="" textlink="">
      <xdr:nvSpPr>
        <xdr:cNvPr id="7363" name="Line 24">
          <a:extLst>
            <a:ext uri="{FF2B5EF4-FFF2-40B4-BE49-F238E27FC236}">
              <a16:creationId xmlns:a16="http://schemas.microsoft.com/office/drawing/2014/main" id="{00000000-0008-0000-0000-0000C31C0000}"/>
            </a:ext>
          </a:extLst>
        </xdr:cNvPr>
        <xdr:cNvSpPr>
          <a:spLocks noChangeShapeType="1"/>
        </xdr:cNvSpPr>
      </xdr:nvSpPr>
      <xdr:spPr bwMode="auto">
        <a:xfrm flipH="1">
          <a:off x="1352550" y="7924800"/>
          <a:ext cx="742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123825</xdr:colOff>
      <xdr:row>39</xdr:row>
      <xdr:rowOff>0</xdr:rowOff>
    </xdr:from>
    <xdr:to>
      <xdr:col>4</xdr:col>
      <xdr:colOff>295275</xdr:colOff>
      <xdr:row>39</xdr:row>
      <xdr:rowOff>28575</xdr:rowOff>
    </xdr:to>
    <xdr:sp macro="" textlink="">
      <xdr:nvSpPr>
        <xdr:cNvPr id="7364" name="Line 25">
          <a:extLst>
            <a:ext uri="{FF2B5EF4-FFF2-40B4-BE49-F238E27FC236}">
              <a16:creationId xmlns:a16="http://schemas.microsoft.com/office/drawing/2014/main" id="{00000000-0008-0000-0000-0000C41C0000}"/>
            </a:ext>
          </a:extLst>
        </xdr:cNvPr>
        <xdr:cNvSpPr>
          <a:spLocks noChangeShapeType="1"/>
        </xdr:cNvSpPr>
      </xdr:nvSpPr>
      <xdr:spPr bwMode="auto">
        <a:xfrm flipH="1" flipV="1">
          <a:off x="1181100" y="7896225"/>
          <a:ext cx="17145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228600</xdr:colOff>
      <xdr:row>39</xdr:row>
      <xdr:rowOff>28575</xdr:rowOff>
    </xdr:from>
    <xdr:to>
      <xdr:col>4</xdr:col>
      <xdr:colOff>123825</xdr:colOff>
      <xdr:row>39</xdr:row>
      <xdr:rowOff>95250</xdr:rowOff>
    </xdr:to>
    <xdr:sp macro="" textlink="">
      <xdr:nvSpPr>
        <xdr:cNvPr id="7365" name="Line 26">
          <a:extLst>
            <a:ext uri="{FF2B5EF4-FFF2-40B4-BE49-F238E27FC236}">
              <a16:creationId xmlns:a16="http://schemas.microsoft.com/office/drawing/2014/main" id="{00000000-0008-0000-0000-0000C51C0000}"/>
            </a:ext>
          </a:extLst>
        </xdr:cNvPr>
        <xdr:cNvSpPr>
          <a:spLocks noChangeShapeType="1"/>
        </xdr:cNvSpPr>
      </xdr:nvSpPr>
      <xdr:spPr bwMode="auto">
        <a:xfrm flipH="1">
          <a:off x="876300" y="7924800"/>
          <a:ext cx="304800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209550</xdr:colOff>
      <xdr:row>38</xdr:row>
      <xdr:rowOff>28575</xdr:rowOff>
    </xdr:from>
    <xdr:to>
      <xdr:col>4</xdr:col>
      <xdr:colOff>152400</xdr:colOff>
      <xdr:row>38</xdr:row>
      <xdr:rowOff>114300</xdr:rowOff>
    </xdr:to>
    <xdr:sp macro="" textlink="">
      <xdr:nvSpPr>
        <xdr:cNvPr id="7366" name="Line 27">
          <a:extLst>
            <a:ext uri="{FF2B5EF4-FFF2-40B4-BE49-F238E27FC236}">
              <a16:creationId xmlns:a16="http://schemas.microsoft.com/office/drawing/2014/main" id="{00000000-0008-0000-0000-0000C61C0000}"/>
            </a:ext>
          </a:extLst>
        </xdr:cNvPr>
        <xdr:cNvSpPr>
          <a:spLocks noChangeShapeType="1"/>
        </xdr:cNvSpPr>
      </xdr:nvSpPr>
      <xdr:spPr bwMode="auto">
        <a:xfrm flipH="1" flipV="1">
          <a:off x="857250" y="7762875"/>
          <a:ext cx="352425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123825</xdr:colOff>
      <xdr:row>38</xdr:row>
      <xdr:rowOff>95250</xdr:rowOff>
    </xdr:from>
    <xdr:to>
      <xdr:col>4</xdr:col>
      <xdr:colOff>104775</xdr:colOff>
      <xdr:row>38</xdr:row>
      <xdr:rowOff>152400</xdr:rowOff>
    </xdr:to>
    <xdr:sp macro="" textlink="">
      <xdr:nvSpPr>
        <xdr:cNvPr id="7367" name="Line 28">
          <a:extLst>
            <a:ext uri="{FF2B5EF4-FFF2-40B4-BE49-F238E27FC236}">
              <a16:creationId xmlns:a16="http://schemas.microsoft.com/office/drawing/2014/main" id="{00000000-0008-0000-0000-0000C71C0000}"/>
            </a:ext>
          </a:extLst>
        </xdr:cNvPr>
        <xdr:cNvSpPr>
          <a:spLocks noChangeShapeType="1"/>
        </xdr:cNvSpPr>
      </xdr:nvSpPr>
      <xdr:spPr bwMode="auto">
        <a:xfrm flipH="1" flipV="1">
          <a:off x="771525" y="7829550"/>
          <a:ext cx="390525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133350</xdr:colOff>
      <xdr:row>38</xdr:row>
      <xdr:rowOff>152400</xdr:rowOff>
    </xdr:from>
    <xdr:to>
      <xdr:col>4</xdr:col>
      <xdr:colOff>104775</xdr:colOff>
      <xdr:row>39</xdr:row>
      <xdr:rowOff>38100</xdr:rowOff>
    </xdr:to>
    <xdr:sp macro="" textlink="">
      <xdr:nvSpPr>
        <xdr:cNvPr id="7368" name="Line 29">
          <a:extLst>
            <a:ext uri="{FF2B5EF4-FFF2-40B4-BE49-F238E27FC236}">
              <a16:creationId xmlns:a16="http://schemas.microsoft.com/office/drawing/2014/main" id="{00000000-0008-0000-0000-0000C81C0000}"/>
            </a:ext>
          </a:extLst>
        </xdr:cNvPr>
        <xdr:cNvSpPr>
          <a:spLocks noChangeShapeType="1"/>
        </xdr:cNvSpPr>
      </xdr:nvSpPr>
      <xdr:spPr bwMode="auto">
        <a:xfrm flipH="1">
          <a:off x="781050" y="7886700"/>
          <a:ext cx="38100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62</xdr:row>
      <xdr:rowOff>114300</xdr:rowOff>
    </xdr:from>
    <xdr:to>
      <xdr:col>12</xdr:col>
      <xdr:colOff>28575</xdr:colOff>
      <xdr:row>65</xdr:row>
      <xdr:rowOff>19050</xdr:rowOff>
    </xdr:to>
    <xdr:sp macro="" textlink="">
      <xdr:nvSpPr>
        <xdr:cNvPr id="7369" name="AutoShape 31">
          <a:extLst>
            <a:ext uri="{FF2B5EF4-FFF2-40B4-BE49-F238E27FC236}">
              <a16:creationId xmlns:a16="http://schemas.microsoft.com/office/drawing/2014/main" id="{00000000-0008-0000-0000-0000C91C0000}"/>
            </a:ext>
          </a:extLst>
        </xdr:cNvPr>
        <xdr:cNvSpPr>
          <a:spLocks noChangeArrowheads="1"/>
        </xdr:cNvSpPr>
      </xdr:nvSpPr>
      <xdr:spPr bwMode="auto">
        <a:xfrm>
          <a:off x="2771775" y="11153775"/>
          <a:ext cx="1085850" cy="390525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133350</xdr:colOff>
      <xdr:row>75</xdr:row>
      <xdr:rowOff>28575</xdr:rowOff>
    </xdr:from>
    <xdr:to>
      <xdr:col>6</xdr:col>
      <xdr:colOff>38100</xdr:colOff>
      <xdr:row>76</xdr:row>
      <xdr:rowOff>95250</xdr:rowOff>
    </xdr:to>
    <xdr:sp macro="" textlink="">
      <xdr:nvSpPr>
        <xdr:cNvPr id="7370" name="AutoShape 32">
          <a:extLst>
            <a:ext uri="{FF2B5EF4-FFF2-40B4-BE49-F238E27FC236}">
              <a16:creationId xmlns:a16="http://schemas.microsoft.com/office/drawing/2014/main" id="{00000000-0008-0000-0000-0000CA1C0000}"/>
            </a:ext>
          </a:extLst>
        </xdr:cNvPr>
        <xdr:cNvSpPr>
          <a:spLocks noChangeArrowheads="1"/>
        </xdr:cNvSpPr>
      </xdr:nvSpPr>
      <xdr:spPr bwMode="auto">
        <a:xfrm>
          <a:off x="1019175" y="13068300"/>
          <a:ext cx="695325" cy="22860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133350</xdr:colOff>
      <xdr:row>78</xdr:row>
      <xdr:rowOff>28575</xdr:rowOff>
    </xdr:from>
    <xdr:to>
      <xdr:col>8</xdr:col>
      <xdr:colOff>47625</xdr:colOff>
      <xdr:row>79</xdr:row>
      <xdr:rowOff>152400</xdr:rowOff>
    </xdr:to>
    <xdr:sp macro="" textlink="">
      <xdr:nvSpPr>
        <xdr:cNvPr id="7371" name="AutoShape 33">
          <a:extLst>
            <a:ext uri="{FF2B5EF4-FFF2-40B4-BE49-F238E27FC236}">
              <a16:creationId xmlns:a16="http://schemas.microsoft.com/office/drawing/2014/main" id="{00000000-0008-0000-0000-0000CB1C0000}"/>
            </a:ext>
          </a:extLst>
        </xdr:cNvPr>
        <xdr:cNvSpPr>
          <a:spLocks noChangeArrowheads="1"/>
        </xdr:cNvSpPr>
      </xdr:nvSpPr>
      <xdr:spPr bwMode="auto">
        <a:xfrm>
          <a:off x="1019175" y="13554075"/>
          <a:ext cx="1323975" cy="28575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19050</xdr:colOff>
      <xdr:row>111</xdr:row>
      <xdr:rowOff>38100</xdr:rowOff>
    </xdr:from>
    <xdr:to>
      <xdr:col>7</xdr:col>
      <xdr:colOff>133350</xdr:colOff>
      <xdr:row>112</xdr:row>
      <xdr:rowOff>9525</xdr:rowOff>
    </xdr:to>
    <xdr:sp macro="" textlink="">
      <xdr:nvSpPr>
        <xdr:cNvPr id="7372" name="AutoShape 35">
          <a:extLst>
            <a:ext uri="{FF2B5EF4-FFF2-40B4-BE49-F238E27FC236}">
              <a16:creationId xmlns:a16="http://schemas.microsoft.com/office/drawing/2014/main" id="{00000000-0008-0000-0000-0000CC1C0000}"/>
            </a:ext>
          </a:extLst>
        </xdr:cNvPr>
        <xdr:cNvSpPr>
          <a:spLocks noChangeArrowheads="1"/>
        </xdr:cNvSpPr>
      </xdr:nvSpPr>
      <xdr:spPr bwMode="auto">
        <a:xfrm>
          <a:off x="1695450" y="18135600"/>
          <a:ext cx="476250" cy="13335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19050</xdr:colOff>
      <xdr:row>129</xdr:row>
      <xdr:rowOff>47625</xdr:rowOff>
    </xdr:from>
    <xdr:to>
      <xdr:col>5</xdr:col>
      <xdr:colOff>200025</xdr:colOff>
      <xdr:row>129</xdr:row>
      <xdr:rowOff>200025</xdr:rowOff>
    </xdr:to>
    <xdr:sp macro="" textlink="">
      <xdr:nvSpPr>
        <xdr:cNvPr id="7373" name="AutoShape 36">
          <a:extLst>
            <a:ext uri="{FF2B5EF4-FFF2-40B4-BE49-F238E27FC236}">
              <a16:creationId xmlns:a16="http://schemas.microsoft.com/office/drawing/2014/main" id="{00000000-0008-0000-0000-0000CD1C0000}"/>
            </a:ext>
          </a:extLst>
        </xdr:cNvPr>
        <xdr:cNvSpPr>
          <a:spLocks noChangeArrowheads="1"/>
        </xdr:cNvSpPr>
      </xdr:nvSpPr>
      <xdr:spPr bwMode="auto">
        <a:xfrm>
          <a:off x="1466850" y="20964525"/>
          <a:ext cx="180975" cy="15240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19050</xdr:colOff>
      <xdr:row>129</xdr:row>
      <xdr:rowOff>47625</xdr:rowOff>
    </xdr:from>
    <xdr:to>
      <xdr:col>7</xdr:col>
      <xdr:colOff>0</xdr:colOff>
      <xdr:row>129</xdr:row>
      <xdr:rowOff>200025</xdr:rowOff>
    </xdr:to>
    <xdr:sp macro="" textlink="">
      <xdr:nvSpPr>
        <xdr:cNvPr id="7374" name="AutoShape 37">
          <a:extLst>
            <a:ext uri="{FF2B5EF4-FFF2-40B4-BE49-F238E27FC236}">
              <a16:creationId xmlns:a16="http://schemas.microsoft.com/office/drawing/2014/main" id="{00000000-0008-0000-0000-0000CE1C0000}"/>
            </a:ext>
          </a:extLst>
        </xdr:cNvPr>
        <xdr:cNvSpPr>
          <a:spLocks noChangeArrowheads="1"/>
        </xdr:cNvSpPr>
      </xdr:nvSpPr>
      <xdr:spPr bwMode="auto">
        <a:xfrm>
          <a:off x="1695450" y="20964525"/>
          <a:ext cx="342900" cy="15240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28575</xdr:colOff>
      <xdr:row>129</xdr:row>
      <xdr:rowOff>47625</xdr:rowOff>
    </xdr:from>
    <xdr:to>
      <xdr:col>8</xdr:col>
      <xdr:colOff>400050</xdr:colOff>
      <xdr:row>129</xdr:row>
      <xdr:rowOff>200025</xdr:rowOff>
    </xdr:to>
    <xdr:sp macro="" textlink="">
      <xdr:nvSpPr>
        <xdr:cNvPr id="7375" name="AutoShape 38">
          <a:extLst>
            <a:ext uri="{FF2B5EF4-FFF2-40B4-BE49-F238E27FC236}">
              <a16:creationId xmlns:a16="http://schemas.microsoft.com/office/drawing/2014/main" id="{00000000-0008-0000-0000-0000CF1C0000}"/>
            </a:ext>
          </a:extLst>
        </xdr:cNvPr>
        <xdr:cNvSpPr>
          <a:spLocks noChangeArrowheads="1"/>
        </xdr:cNvSpPr>
      </xdr:nvSpPr>
      <xdr:spPr bwMode="auto">
        <a:xfrm>
          <a:off x="2066925" y="20964525"/>
          <a:ext cx="628650" cy="15240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19050</xdr:colOff>
      <xdr:row>158</xdr:row>
      <xdr:rowOff>114300</xdr:rowOff>
    </xdr:from>
    <xdr:to>
      <xdr:col>12</xdr:col>
      <xdr:colOff>28575</xdr:colOff>
      <xdr:row>161</xdr:row>
      <xdr:rowOff>19050</xdr:rowOff>
    </xdr:to>
    <xdr:sp macro="" textlink="">
      <xdr:nvSpPr>
        <xdr:cNvPr id="40" name="AutoShape 3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rrowheads="1"/>
        </xdr:cNvSpPr>
      </xdr:nvSpPr>
      <xdr:spPr bwMode="auto">
        <a:xfrm>
          <a:off x="2819400" y="11639550"/>
          <a:ext cx="1171575" cy="390525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133350</xdr:colOff>
      <xdr:row>171</xdr:row>
      <xdr:rowOff>28575</xdr:rowOff>
    </xdr:from>
    <xdr:to>
      <xdr:col>6</xdr:col>
      <xdr:colOff>38100</xdr:colOff>
      <xdr:row>172</xdr:row>
      <xdr:rowOff>95250</xdr:rowOff>
    </xdr:to>
    <xdr:sp macro="" textlink="">
      <xdr:nvSpPr>
        <xdr:cNvPr id="41" name="AutoShape 3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rrowheads="1"/>
        </xdr:cNvSpPr>
      </xdr:nvSpPr>
      <xdr:spPr bwMode="auto">
        <a:xfrm>
          <a:off x="1019175" y="13554075"/>
          <a:ext cx="742950" cy="22860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133350</xdr:colOff>
      <xdr:row>174</xdr:row>
      <xdr:rowOff>28575</xdr:rowOff>
    </xdr:from>
    <xdr:to>
      <xdr:col>8</xdr:col>
      <xdr:colOff>47625</xdr:colOff>
      <xdr:row>175</xdr:row>
      <xdr:rowOff>152400</xdr:rowOff>
    </xdr:to>
    <xdr:sp macro="" textlink="">
      <xdr:nvSpPr>
        <xdr:cNvPr id="42" name="AutoShape 33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rrowheads="1"/>
        </xdr:cNvSpPr>
      </xdr:nvSpPr>
      <xdr:spPr bwMode="auto">
        <a:xfrm>
          <a:off x="1019175" y="14039850"/>
          <a:ext cx="1371600" cy="28575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85</xdr:row>
      <xdr:rowOff>0</xdr:rowOff>
    </xdr:from>
    <xdr:to>
      <xdr:col>23</xdr:col>
      <xdr:colOff>161619</xdr:colOff>
      <xdr:row>94</xdr:row>
      <xdr:rowOff>133104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2225" y="14763750"/>
          <a:ext cx="2447619" cy="19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34</xdr:row>
      <xdr:rowOff>66675</xdr:rowOff>
    </xdr:from>
    <xdr:to>
      <xdr:col>9</xdr:col>
      <xdr:colOff>247650</xdr:colOff>
      <xdr:row>43</xdr:row>
      <xdr:rowOff>114300</xdr:rowOff>
    </xdr:to>
    <xdr:sp macro="" textlink="">
      <xdr:nvSpPr>
        <xdr:cNvPr id="2" name="Rectangle 30">
          <a:extLst>
            <a:ext uri="{FF2B5EF4-FFF2-40B4-BE49-F238E27FC236}">
              <a16:creationId xmlns:a16="http://schemas.microsoft.com/office/drawing/2014/main" id="{42A0422A-CC10-4062-B2D0-9DF219697183}"/>
            </a:ext>
          </a:extLst>
        </xdr:cNvPr>
        <xdr:cNvSpPr>
          <a:spLocks noChangeArrowheads="1"/>
        </xdr:cNvSpPr>
      </xdr:nvSpPr>
      <xdr:spPr bwMode="auto">
        <a:xfrm>
          <a:off x="300990" y="6132195"/>
          <a:ext cx="2743200" cy="16097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12</xdr:row>
      <xdr:rowOff>152400</xdr:rowOff>
    </xdr:from>
    <xdr:to>
      <xdr:col>6</xdr:col>
      <xdr:colOff>390525</xdr:colOff>
      <xdr:row>16</xdr:row>
      <xdr:rowOff>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A7A5685-61C9-40A0-8A92-3AA8B2877BAE}"/>
            </a:ext>
          </a:extLst>
        </xdr:cNvPr>
        <xdr:cNvSpPr>
          <a:spLocks noChangeArrowheads="1"/>
        </xdr:cNvSpPr>
      </xdr:nvSpPr>
      <xdr:spPr bwMode="auto">
        <a:xfrm>
          <a:off x="1447800" y="2301240"/>
          <a:ext cx="611505" cy="57150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95250</xdr:colOff>
      <xdr:row>14</xdr:row>
      <xdr:rowOff>57150</xdr:rowOff>
    </xdr:from>
    <xdr:to>
      <xdr:col>6</xdr:col>
      <xdr:colOff>161925</xdr:colOff>
      <xdr:row>14</xdr:row>
      <xdr:rowOff>57150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D2E986F2-9E70-4BC6-9C2C-5DBAD6F3D5C9}"/>
            </a:ext>
          </a:extLst>
        </xdr:cNvPr>
        <xdr:cNvSpPr>
          <a:spLocks noChangeShapeType="1"/>
        </xdr:cNvSpPr>
      </xdr:nvSpPr>
      <xdr:spPr bwMode="auto">
        <a:xfrm>
          <a:off x="1543050" y="2579370"/>
          <a:ext cx="30289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6</xdr:col>
      <xdr:colOff>285750</xdr:colOff>
      <xdr:row>24</xdr:row>
      <xdr:rowOff>19050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D408CEAB-A01C-48D3-83E6-05DED65E5E9D}"/>
            </a:ext>
          </a:extLst>
        </xdr:cNvPr>
        <xdr:cNvSpPr>
          <a:spLocks noChangeArrowheads="1"/>
        </xdr:cNvSpPr>
      </xdr:nvSpPr>
      <xdr:spPr bwMode="auto">
        <a:xfrm>
          <a:off x="579120" y="3749040"/>
          <a:ext cx="1390650" cy="60579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95250</xdr:colOff>
      <xdr:row>22</xdr:row>
      <xdr:rowOff>95250</xdr:rowOff>
    </xdr:from>
    <xdr:to>
      <xdr:col>6</xdr:col>
      <xdr:colOff>247650</xdr:colOff>
      <xdr:row>22</xdr:row>
      <xdr:rowOff>95250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3C68D382-EA02-4641-9EDB-3B0775626A28}"/>
            </a:ext>
          </a:extLst>
        </xdr:cNvPr>
        <xdr:cNvSpPr>
          <a:spLocks noChangeShapeType="1"/>
        </xdr:cNvSpPr>
      </xdr:nvSpPr>
      <xdr:spPr bwMode="auto">
        <a:xfrm>
          <a:off x="674370" y="4050030"/>
          <a:ext cx="1257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29</xdr:row>
      <xdr:rowOff>133350</xdr:rowOff>
    </xdr:from>
    <xdr:to>
      <xdr:col>6</xdr:col>
      <xdr:colOff>285750</xdr:colOff>
      <xdr:row>33</xdr:row>
      <xdr:rowOff>19050</xdr:rowOff>
    </xdr:to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5A595327-DABA-48E2-847A-C42E6501D298}"/>
            </a:ext>
          </a:extLst>
        </xdr:cNvPr>
        <xdr:cNvSpPr>
          <a:spLocks noChangeArrowheads="1"/>
        </xdr:cNvSpPr>
      </xdr:nvSpPr>
      <xdr:spPr bwMode="auto">
        <a:xfrm>
          <a:off x="579120" y="5322570"/>
          <a:ext cx="1390650" cy="66294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95250</xdr:colOff>
      <xdr:row>31</xdr:row>
      <xdr:rowOff>95250</xdr:rowOff>
    </xdr:from>
    <xdr:to>
      <xdr:col>6</xdr:col>
      <xdr:colOff>247650</xdr:colOff>
      <xdr:row>31</xdr:row>
      <xdr:rowOff>95250</xdr:rowOff>
    </xdr:to>
    <xdr:sp macro="" textlink="">
      <xdr:nvSpPr>
        <xdr:cNvPr id="8" name="Line 6">
          <a:extLst>
            <a:ext uri="{FF2B5EF4-FFF2-40B4-BE49-F238E27FC236}">
              <a16:creationId xmlns:a16="http://schemas.microsoft.com/office/drawing/2014/main" id="{072BB24B-CCC0-4173-A045-0BF777E504EB}"/>
            </a:ext>
          </a:extLst>
        </xdr:cNvPr>
        <xdr:cNvSpPr>
          <a:spLocks noChangeShapeType="1"/>
        </xdr:cNvSpPr>
      </xdr:nvSpPr>
      <xdr:spPr bwMode="auto">
        <a:xfrm>
          <a:off x="674370" y="5680710"/>
          <a:ext cx="1257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66675</xdr:colOff>
      <xdr:row>35</xdr:row>
      <xdr:rowOff>0</xdr:rowOff>
    </xdr:from>
    <xdr:to>
      <xdr:col>8</xdr:col>
      <xdr:colOff>66675</xdr:colOff>
      <xdr:row>38</xdr:row>
      <xdr:rowOff>9525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7CFFDAA4-60E2-4024-B656-BD0DBDE13DE6}"/>
            </a:ext>
          </a:extLst>
        </xdr:cNvPr>
        <xdr:cNvSpPr>
          <a:spLocks noChangeShapeType="1"/>
        </xdr:cNvSpPr>
      </xdr:nvSpPr>
      <xdr:spPr bwMode="auto">
        <a:xfrm>
          <a:off x="2390775" y="6240780"/>
          <a:ext cx="0" cy="535305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sm" len="med"/>
          <a:tailEnd type="arrow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66675</xdr:colOff>
      <xdr:row>38</xdr:row>
      <xdr:rowOff>9525</xdr:rowOff>
    </xdr:from>
    <xdr:to>
      <xdr:col>8</xdr:col>
      <xdr:colOff>66675</xdr:colOff>
      <xdr:row>40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10C2B66A-2F82-4218-B001-A6E7759A5147}"/>
            </a:ext>
          </a:extLst>
        </xdr:cNvPr>
        <xdr:cNvSpPr>
          <a:spLocks noChangeShapeType="1"/>
        </xdr:cNvSpPr>
      </xdr:nvSpPr>
      <xdr:spPr bwMode="auto">
        <a:xfrm>
          <a:off x="2390775" y="6776085"/>
          <a:ext cx="0" cy="325755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sm" len="med"/>
          <a:tailEnd type="arrow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419100</xdr:colOff>
      <xdr:row>35</xdr:row>
      <xdr:rowOff>0</xdr:rowOff>
    </xdr:from>
    <xdr:to>
      <xdr:col>8</xdr:col>
      <xdr:colOff>419100</xdr:colOff>
      <xdr:row>40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894D6169-84A6-4083-8B99-1F499AC47678}"/>
            </a:ext>
          </a:extLst>
        </xdr:cNvPr>
        <xdr:cNvSpPr>
          <a:spLocks noChangeShapeType="1"/>
        </xdr:cNvSpPr>
      </xdr:nvSpPr>
      <xdr:spPr bwMode="auto">
        <a:xfrm>
          <a:off x="2743200" y="6240780"/>
          <a:ext cx="0" cy="861060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sm" len="med"/>
          <a:tailEnd type="arrow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371475</xdr:colOff>
      <xdr:row>42</xdr:row>
      <xdr:rowOff>0</xdr:rowOff>
    </xdr:from>
    <xdr:to>
      <xdr:col>5</xdr:col>
      <xdr:colOff>0</xdr:colOff>
      <xdr:row>42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C9A4C028-4BAB-4FBA-B2F8-34D06AAE88B5}"/>
            </a:ext>
          </a:extLst>
        </xdr:cNvPr>
        <xdr:cNvSpPr>
          <a:spLocks noChangeShapeType="1"/>
        </xdr:cNvSpPr>
      </xdr:nvSpPr>
      <xdr:spPr bwMode="auto">
        <a:xfrm flipH="1">
          <a:off x="302895" y="7452360"/>
          <a:ext cx="114490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sm" len="med"/>
          <a:tailEnd type="arrow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38</xdr:row>
      <xdr:rowOff>0</xdr:rowOff>
    </xdr:from>
    <xdr:to>
      <xdr:col>7</xdr:col>
      <xdr:colOff>104775</xdr:colOff>
      <xdr:row>38</xdr:row>
      <xdr:rowOff>0</xdr:rowOff>
    </xdr:to>
    <xdr:sp macro="" textlink="">
      <xdr:nvSpPr>
        <xdr:cNvPr id="13" name="Line 12">
          <a:extLst>
            <a:ext uri="{FF2B5EF4-FFF2-40B4-BE49-F238E27FC236}">
              <a16:creationId xmlns:a16="http://schemas.microsoft.com/office/drawing/2014/main" id="{F6FEEA3B-6D41-4B17-81D0-CF1AE9A2D501}"/>
            </a:ext>
          </a:extLst>
        </xdr:cNvPr>
        <xdr:cNvSpPr>
          <a:spLocks noChangeShapeType="1"/>
        </xdr:cNvSpPr>
      </xdr:nvSpPr>
      <xdr:spPr bwMode="auto">
        <a:xfrm flipH="1">
          <a:off x="1543050" y="6766560"/>
          <a:ext cx="619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</xdr:colOff>
      <xdr:row>40</xdr:row>
      <xdr:rowOff>0</xdr:rowOff>
    </xdr:from>
    <xdr:to>
      <xdr:col>7</xdr:col>
      <xdr:colOff>85725</xdr:colOff>
      <xdr:row>40</xdr:row>
      <xdr:rowOff>0</xdr:rowOff>
    </xdr:to>
    <xdr:sp macro="" textlink="">
      <xdr:nvSpPr>
        <xdr:cNvPr id="14" name="Line 13">
          <a:extLst>
            <a:ext uri="{FF2B5EF4-FFF2-40B4-BE49-F238E27FC236}">
              <a16:creationId xmlns:a16="http://schemas.microsoft.com/office/drawing/2014/main" id="{6092E8C0-5201-4CDF-8E4A-5815A525C560}"/>
            </a:ext>
          </a:extLst>
        </xdr:cNvPr>
        <xdr:cNvSpPr>
          <a:spLocks noChangeShapeType="1"/>
        </xdr:cNvSpPr>
      </xdr:nvSpPr>
      <xdr:spPr bwMode="auto">
        <a:xfrm flipH="1">
          <a:off x="1524000" y="7101840"/>
          <a:ext cx="619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133350</xdr:colOff>
      <xdr:row>39</xdr:row>
      <xdr:rowOff>57150</xdr:rowOff>
    </xdr:from>
    <xdr:to>
      <xdr:col>5</xdr:col>
      <xdr:colOff>85725</xdr:colOff>
      <xdr:row>40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FF0A3235-F28F-4AD6-8C29-9FD6CF660B66}"/>
            </a:ext>
          </a:extLst>
        </xdr:cNvPr>
        <xdr:cNvSpPr>
          <a:spLocks noChangeShapeType="1"/>
        </xdr:cNvSpPr>
      </xdr:nvSpPr>
      <xdr:spPr bwMode="auto">
        <a:xfrm flipH="1" flipV="1">
          <a:off x="1131570" y="6983730"/>
          <a:ext cx="401955" cy="11811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123825</xdr:colOff>
      <xdr:row>38</xdr:row>
      <xdr:rowOff>0</xdr:rowOff>
    </xdr:from>
    <xdr:to>
      <xdr:col>5</xdr:col>
      <xdr:colOff>85725</xdr:colOff>
      <xdr:row>38</xdr:row>
      <xdr:rowOff>95250</xdr:rowOff>
    </xdr:to>
    <xdr:sp macro="" textlink="">
      <xdr:nvSpPr>
        <xdr:cNvPr id="16" name="Line 15">
          <a:extLst>
            <a:ext uri="{FF2B5EF4-FFF2-40B4-BE49-F238E27FC236}">
              <a16:creationId xmlns:a16="http://schemas.microsoft.com/office/drawing/2014/main" id="{4ECC4934-C02D-47FC-AE21-29C509AE1C45}"/>
            </a:ext>
          </a:extLst>
        </xdr:cNvPr>
        <xdr:cNvSpPr>
          <a:spLocks noChangeShapeType="1"/>
        </xdr:cNvSpPr>
      </xdr:nvSpPr>
      <xdr:spPr bwMode="auto">
        <a:xfrm flipH="1">
          <a:off x="1122045" y="6766560"/>
          <a:ext cx="411480" cy="95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66675</xdr:colOff>
      <xdr:row>38</xdr:row>
      <xdr:rowOff>19050</xdr:rowOff>
    </xdr:from>
    <xdr:to>
      <xdr:col>4</xdr:col>
      <xdr:colOff>123825</xdr:colOff>
      <xdr:row>38</xdr:row>
      <xdr:rowOff>95250</xdr:rowOff>
    </xdr:to>
    <xdr:sp macro="" textlink="">
      <xdr:nvSpPr>
        <xdr:cNvPr id="17" name="Line 16">
          <a:extLst>
            <a:ext uri="{FF2B5EF4-FFF2-40B4-BE49-F238E27FC236}">
              <a16:creationId xmlns:a16="http://schemas.microsoft.com/office/drawing/2014/main" id="{D73F4826-3033-4050-BB9B-449AAD1BA6C2}"/>
            </a:ext>
          </a:extLst>
        </xdr:cNvPr>
        <xdr:cNvSpPr>
          <a:spLocks noChangeShapeType="1"/>
        </xdr:cNvSpPr>
      </xdr:nvSpPr>
      <xdr:spPr bwMode="auto">
        <a:xfrm flipH="1" flipV="1">
          <a:off x="889635" y="6785610"/>
          <a:ext cx="23241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39</xdr:row>
      <xdr:rowOff>66675</xdr:rowOff>
    </xdr:from>
    <xdr:to>
      <xdr:col>4</xdr:col>
      <xdr:colOff>133350</xdr:colOff>
      <xdr:row>39</xdr:row>
      <xdr:rowOff>142875</xdr:rowOff>
    </xdr:to>
    <xdr:sp macro="" textlink="">
      <xdr:nvSpPr>
        <xdr:cNvPr id="18" name="Line 17">
          <a:extLst>
            <a:ext uri="{FF2B5EF4-FFF2-40B4-BE49-F238E27FC236}">
              <a16:creationId xmlns:a16="http://schemas.microsoft.com/office/drawing/2014/main" id="{75E40D6B-4DDF-4FF0-B3D5-DA68F285519B}"/>
            </a:ext>
          </a:extLst>
        </xdr:cNvPr>
        <xdr:cNvSpPr>
          <a:spLocks noChangeShapeType="1"/>
        </xdr:cNvSpPr>
      </xdr:nvSpPr>
      <xdr:spPr bwMode="auto">
        <a:xfrm flipH="1">
          <a:off x="870585" y="6993255"/>
          <a:ext cx="26098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38100</xdr:colOff>
      <xdr:row>38</xdr:row>
      <xdr:rowOff>66675</xdr:rowOff>
    </xdr:from>
    <xdr:to>
      <xdr:col>7</xdr:col>
      <xdr:colOff>95250</xdr:colOff>
      <xdr:row>38</xdr:row>
      <xdr:rowOff>66675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id="{3A31FD36-7561-46EA-9399-082F135D85AD}"/>
            </a:ext>
          </a:extLst>
        </xdr:cNvPr>
        <xdr:cNvSpPr>
          <a:spLocks noChangeShapeType="1"/>
        </xdr:cNvSpPr>
      </xdr:nvSpPr>
      <xdr:spPr bwMode="auto">
        <a:xfrm flipH="1">
          <a:off x="1485900" y="6833235"/>
          <a:ext cx="666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152400</xdr:colOff>
      <xdr:row>38</xdr:row>
      <xdr:rowOff>66675</xdr:rowOff>
    </xdr:from>
    <xdr:to>
      <xdr:col>5</xdr:col>
      <xdr:colOff>38100</xdr:colOff>
      <xdr:row>38</xdr:row>
      <xdr:rowOff>114300</xdr:rowOff>
    </xdr:to>
    <xdr:sp macro="" textlink="">
      <xdr:nvSpPr>
        <xdr:cNvPr id="20" name="Line 19">
          <a:extLst>
            <a:ext uri="{FF2B5EF4-FFF2-40B4-BE49-F238E27FC236}">
              <a16:creationId xmlns:a16="http://schemas.microsoft.com/office/drawing/2014/main" id="{E414C213-A19B-49EB-B3EC-D8041FBA9585}"/>
            </a:ext>
          </a:extLst>
        </xdr:cNvPr>
        <xdr:cNvSpPr>
          <a:spLocks noChangeShapeType="1"/>
        </xdr:cNvSpPr>
      </xdr:nvSpPr>
      <xdr:spPr bwMode="auto">
        <a:xfrm flipH="1">
          <a:off x="1150620" y="6833235"/>
          <a:ext cx="33528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38</xdr:row>
      <xdr:rowOff>123825</xdr:rowOff>
    </xdr:from>
    <xdr:to>
      <xdr:col>7</xdr:col>
      <xdr:colOff>76200</xdr:colOff>
      <xdr:row>38</xdr:row>
      <xdr:rowOff>123825</xdr:rowOff>
    </xdr:to>
    <xdr:sp macro="" textlink="">
      <xdr:nvSpPr>
        <xdr:cNvPr id="21" name="Line 20">
          <a:extLst>
            <a:ext uri="{FF2B5EF4-FFF2-40B4-BE49-F238E27FC236}">
              <a16:creationId xmlns:a16="http://schemas.microsoft.com/office/drawing/2014/main" id="{614DCB72-1CD5-4165-8E6B-43630F2DA8CA}"/>
            </a:ext>
          </a:extLst>
        </xdr:cNvPr>
        <xdr:cNvSpPr>
          <a:spLocks noChangeShapeType="1"/>
        </xdr:cNvSpPr>
      </xdr:nvSpPr>
      <xdr:spPr bwMode="auto">
        <a:xfrm flipH="1">
          <a:off x="1447800" y="6890385"/>
          <a:ext cx="685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95250</xdr:colOff>
      <xdr:row>38</xdr:row>
      <xdr:rowOff>123825</xdr:rowOff>
    </xdr:from>
    <xdr:to>
      <xdr:col>5</xdr:col>
      <xdr:colOff>9525</xdr:colOff>
      <xdr:row>38</xdr:row>
      <xdr:rowOff>152400</xdr:rowOff>
    </xdr:to>
    <xdr:sp macro="" textlink="">
      <xdr:nvSpPr>
        <xdr:cNvPr id="22" name="Line 21">
          <a:extLst>
            <a:ext uri="{FF2B5EF4-FFF2-40B4-BE49-F238E27FC236}">
              <a16:creationId xmlns:a16="http://schemas.microsoft.com/office/drawing/2014/main" id="{C64EF562-A983-4644-9EFD-8B12E980CA89}"/>
            </a:ext>
          </a:extLst>
        </xdr:cNvPr>
        <xdr:cNvSpPr>
          <a:spLocks noChangeShapeType="1"/>
        </xdr:cNvSpPr>
      </xdr:nvSpPr>
      <xdr:spPr bwMode="auto">
        <a:xfrm flipH="1">
          <a:off x="1093470" y="6890385"/>
          <a:ext cx="363855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39</xdr:row>
      <xdr:rowOff>104775</xdr:rowOff>
    </xdr:from>
    <xdr:to>
      <xdr:col>7</xdr:col>
      <xdr:colOff>76200</xdr:colOff>
      <xdr:row>39</xdr:row>
      <xdr:rowOff>104775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id="{3A7CE5E1-EDBA-4291-9553-406A7A682558}"/>
            </a:ext>
          </a:extLst>
        </xdr:cNvPr>
        <xdr:cNvSpPr>
          <a:spLocks noChangeShapeType="1"/>
        </xdr:cNvSpPr>
      </xdr:nvSpPr>
      <xdr:spPr bwMode="auto">
        <a:xfrm flipH="1">
          <a:off x="1466850" y="7031355"/>
          <a:ext cx="666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123825</xdr:colOff>
      <xdr:row>39</xdr:row>
      <xdr:rowOff>28575</xdr:rowOff>
    </xdr:from>
    <xdr:to>
      <xdr:col>5</xdr:col>
      <xdr:colOff>28575</xdr:colOff>
      <xdr:row>39</xdr:row>
      <xdr:rowOff>104775</xdr:rowOff>
    </xdr:to>
    <xdr:sp macro="" textlink="">
      <xdr:nvSpPr>
        <xdr:cNvPr id="24" name="Line 23">
          <a:extLst>
            <a:ext uri="{FF2B5EF4-FFF2-40B4-BE49-F238E27FC236}">
              <a16:creationId xmlns:a16="http://schemas.microsoft.com/office/drawing/2014/main" id="{EE050591-1D51-489C-B790-843DDA334D73}"/>
            </a:ext>
          </a:extLst>
        </xdr:cNvPr>
        <xdr:cNvSpPr>
          <a:spLocks noChangeShapeType="1"/>
        </xdr:cNvSpPr>
      </xdr:nvSpPr>
      <xdr:spPr bwMode="auto">
        <a:xfrm flipH="1" flipV="1">
          <a:off x="1122045" y="6955155"/>
          <a:ext cx="35433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295275</xdr:colOff>
      <xdr:row>39</xdr:row>
      <xdr:rowOff>28575</xdr:rowOff>
    </xdr:from>
    <xdr:to>
      <xdr:col>7</xdr:col>
      <xdr:colOff>57150</xdr:colOff>
      <xdr:row>39</xdr:row>
      <xdr:rowOff>28575</xdr:rowOff>
    </xdr:to>
    <xdr:sp macro="" textlink="">
      <xdr:nvSpPr>
        <xdr:cNvPr id="25" name="Line 24">
          <a:extLst>
            <a:ext uri="{FF2B5EF4-FFF2-40B4-BE49-F238E27FC236}">
              <a16:creationId xmlns:a16="http://schemas.microsoft.com/office/drawing/2014/main" id="{5A808A47-FBC9-4F99-8440-1E431F30E96E}"/>
            </a:ext>
          </a:extLst>
        </xdr:cNvPr>
        <xdr:cNvSpPr>
          <a:spLocks noChangeShapeType="1"/>
        </xdr:cNvSpPr>
      </xdr:nvSpPr>
      <xdr:spPr bwMode="auto">
        <a:xfrm flipH="1">
          <a:off x="1293495" y="6955155"/>
          <a:ext cx="82105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123825</xdr:colOff>
      <xdr:row>39</xdr:row>
      <xdr:rowOff>0</xdr:rowOff>
    </xdr:from>
    <xdr:to>
      <xdr:col>4</xdr:col>
      <xdr:colOff>295275</xdr:colOff>
      <xdr:row>39</xdr:row>
      <xdr:rowOff>28575</xdr:rowOff>
    </xdr:to>
    <xdr:sp macro="" textlink="">
      <xdr:nvSpPr>
        <xdr:cNvPr id="26" name="Line 25">
          <a:extLst>
            <a:ext uri="{FF2B5EF4-FFF2-40B4-BE49-F238E27FC236}">
              <a16:creationId xmlns:a16="http://schemas.microsoft.com/office/drawing/2014/main" id="{B1AEF1DB-E93A-4155-A9DA-EBC4FF2FC76E}"/>
            </a:ext>
          </a:extLst>
        </xdr:cNvPr>
        <xdr:cNvSpPr>
          <a:spLocks noChangeShapeType="1"/>
        </xdr:cNvSpPr>
      </xdr:nvSpPr>
      <xdr:spPr bwMode="auto">
        <a:xfrm flipH="1" flipV="1">
          <a:off x="1122045" y="6926580"/>
          <a:ext cx="17145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228600</xdr:colOff>
      <xdr:row>39</xdr:row>
      <xdr:rowOff>28575</xdr:rowOff>
    </xdr:from>
    <xdr:to>
      <xdr:col>4</xdr:col>
      <xdr:colOff>123825</xdr:colOff>
      <xdr:row>39</xdr:row>
      <xdr:rowOff>95250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id="{168DBBB4-E9F2-4CC4-9343-51095D62B96A}"/>
            </a:ext>
          </a:extLst>
        </xdr:cNvPr>
        <xdr:cNvSpPr>
          <a:spLocks noChangeShapeType="1"/>
        </xdr:cNvSpPr>
      </xdr:nvSpPr>
      <xdr:spPr bwMode="auto">
        <a:xfrm flipH="1">
          <a:off x="807720" y="695515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209550</xdr:colOff>
      <xdr:row>38</xdr:row>
      <xdr:rowOff>28575</xdr:rowOff>
    </xdr:from>
    <xdr:to>
      <xdr:col>4</xdr:col>
      <xdr:colOff>152400</xdr:colOff>
      <xdr:row>38</xdr:row>
      <xdr:rowOff>114300</xdr:rowOff>
    </xdr:to>
    <xdr:sp macro="" textlink="">
      <xdr:nvSpPr>
        <xdr:cNvPr id="28" name="Line 27">
          <a:extLst>
            <a:ext uri="{FF2B5EF4-FFF2-40B4-BE49-F238E27FC236}">
              <a16:creationId xmlns:a16="http://schemas.microsoft.com/office/drawing/2014/main" id="{4F95F852-CA5A-40EC-9E28-8799DD6E1C86}"/>
            </a:ext>
          </a:extLst>
        </xdr:cNvPr>
        <xdr:cNvSpPr>
          <a:spLocks noChangeShapeType="1"/>
        </xdr:cNvSpPr>
      </xdr:nvSpPr>
      <xdr:spPr bwMode="auto">
        <a:xfrm flipH="1" flipV="1">
          <a:off x="788670" y="6795135"/>
          <a:ext cx="3619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123825</xdr:colOff>
      <xdr:row>38</xdr:row>
      <xdr:rowOff>95250</xdr:rowOff>
    </xdr:from>
    <xdr:to>
      <xdr:col>4</xdr:col>
      <xdr:colOff>104775</xdr:colOff>
      <xdr:row>38</xdr:row>
      <xdr:rowOff>152400</xdr:rowOff>
    </xdr:to>
    <xdr:sp macro="" textlink="">
      <xdr:nvSpPr>
        <xdr:cNvPr id="29" name="Line 28">
          <a:extLst>
            <a:ext uri="{FF2B5EF4-FFF2-40B4-BE49-F238E27FC236}">
              <a16:creationId xmlns:a16="http://schemas.microsoft.com/office/drawing/2014/main" id="{E5DB963E-B62C-42D2-940D-638AF5B7C676}"/>
            </a:ext>
          </a:extLst>
        </xdr:cNvPr>
        <xdr:cNvSpPr>
          <a:spLocks noChangeShapeType="1"/>
        </xdr:cNvSpPr>
      </xdr:nvSpPr>
      <xdr:spPr bwMode="auto">
        <a:xfrm flipH="1" flipV="1">
          <a:off x="702945" y="6861810"/>
          <a:ext cx="40005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133350</xdr:colOff>
      <xdr:row>38</xdr:row>
      <xdr:rowOff>152400</xdr:rowOff>
    </xdr:from>
    <xdr:to>
      <xdr:col>4</xdr:col>
      <xdr:colOff>104775</xdr:colOff>
      <xdr:row>39</xdr:row>
      <xdr:rowOff>38100</xdr:rowOff>
    </xdr:to>
    <xdr:sp macro="" textlink="">
      <xdr:nvSpPr>
        <xdr:cNvPr id="30" name="Line 29">
          <a:extLst>
            <a:ext uri="{FF2B5EF4-FFF2-40B4-BE49-F238E27FC236}">
              <a16:creationId xmlns:a16="http://schemas.microsoft.com/office/drawing/2014/main" id="{6315D8AB-6A1B-4159-8163-2AF7D63AFA30}"/>
            </a:ext>
          </a:extLst>
        </xdr:cNvPr>
        <xdr:cNvSpPr>
          <a:spLocks noChangeShapeType="1"/>
        </xdr:cNvSpPr>
      </xdr:nvSpPr>
      <xdr:spPr bwMode="auto">
        <a:xfrm flipH="1">
          <a:off x="712470" y="6918960"/>
          <a:ext cx="390525" cy="457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62</xdr:row>
      <xdr:rowOff>114300</xdr:rowOff>
    </xdr:from>
    <xdr:to>
      <xdr:col>12</xdr:col>
      <xdr:colOff>28575</xdr:colOff>
      <xdr:row>65</xdr:row>
      <xdr:rowOff>19050</xdr:rowOff>
    </xdr:to>
    <xdr:sp macro="" textlink="">
      <xdr:nvSpPr>
        <xdr:cNvPr id="31" name="AutoShape 31">
          <a:extLst>
            <a:ext uri="{FF2B5EF4-FFF2-40B4-BE49-F238E27FC236}">
              <a16:creationId xmlns:a16="http://schemas.microsoft.com/office/drawing/2014/main" id="{90AA774B-AA6B-41FD-9708-B44D6F6954ED}"/>
            </a:ext>
          </a:extLst>
        </xdr:cNvPr>
        <xdr:cNvSpPr>
          <a:spLocks noChangeArrowheads="1"/>
        </xdr:cNvSpPr>
      </xdr:nvSpPr>
      <xdr:spPr bwMode="auto">
        <a:xfrm>
          <a:off x="2815590" y="10713720"/>
          <a:ext cx="1205865" cy="43053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133350</xdr:colOff>
      <xdr:row>75</xdr:row>
      <xdr:rowOff>28575</xdr:rowOff>
    </xdr:from>
    <xdr:to>
      <xdr:col>6</xdr:col>
      <xdr:colOff>38100</xdr:colOff>
      <xdr:row>76</xdr:row>
      <xdr:rowOff>95250</xdr:rowOff>
    </xdr:to>
    <xdr:sp macro="" textlink="">
      <xdr:nvSpPr>
        <xdr:cNvPr id="32" name="AutoShape 32">
          <a:extLst>
            <a:ext uri="{FF2B5EF4-FFF2-40B4-BE49-F238E27FC236}">
              <a16:creationId xmlns:a16="http://schemas.microsoft.com/office/drawing/2014/main" id="{C8EAB315-8103-42C1-A9FF-D5524BF658BD}"/>
            </a:ext>
          </a:extLst>
        </xdr:cNvPr>
        <xdr:cNvSpPr>
          <a:spLocks noChangeArrowheads="1"/>
        </xdr:cNvSpPr>
      </xdr:nvSpPr>
      <xdr:spPr bwMode="auto">
        <a:xfrm>
          <a:off x="956310" y="12769215"/>
          <a:ext cx="765810" cy="272415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133350</xdr:colOff>
      <xdr:row>78</xdr:row>
      <xdr:rowOff>28575</xdr:rowOff>
    </xdr:from>
    <xdr:to>
      <xdr:col>8</xdr:col>
      <xdr:colOff>47625</xdr:colOff>
      <xdr:row>79</xdr:row>
      <xdr:rowOff>152400</xdr:rowOff>
    </xdr:to>
    <xdr:sp macro="" textlink="">
      <xdr:nvSpPr>
        <xdr:cNvPr id="33" name="AutoShape 33">
          <a:extLst>
            <a:ext uri="{FF2B5EF4-FFF2-40B4-BE49-F238E27FC236}">
              <a16:creationId xmlns:a16="http://schemas.microsoft.com/office/drawing/2014/main" id="{81746829-CF05-4B97-9B9E-F7A46A5EAB04}"/>
            </a:ext>
          </a:extLst>
        </xdr:cNvPr>
        <xdr:cNvSpPr>
          <a:spLocks noChangeArrowheads="1"/>
        </xdr:cNvSpPr>
      </xdr:nvSpPr>
      <xdr:spPr bwMode="auto">
        <a:xfrm>
          <a:off x="956310" y="13325475"/>
          <a:ext cx="1415415" cy="329565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19050</xdr:colOff>
      <xdr:row>111</xdr:row>
      <xdr:rowOff>38100</xdr:rowOff>
    </xdr:from>
    <xdr:to>
      <xdr:col>7</xdr:col>
      <xdr:colOff>133350</xdr:colOff>
      <xdr:row>112</xdr:row>
      <xdr:rowOff>9525</xdr:rowOff>
    </xdr:to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2DCF0838-AD93-4DE8-9C0D-9B52AECC396D}"/>
            </a:ext>
          </a:extLst>
        </xdr:cNvPr>
        <xdr:cNvSpPr>
          <a:spLocks noChangeArrowheads="1"/>
        </xdr:cNvSpPr>
      </xdr:nvSpPr>
      <xdr:spPr bwMode="auto">
        <a:xfrm>
          <a:off x="1703070" y="18669000"/>
          <a:ext cx="487680" cy="146685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19050</xdr:colOff>
      <xdr:row>129</xdr:row>
      <xdr:rowOff>47625</xdr:rowOff>
    </xdr:from>
    <xdr:to>
      <xdr:col>5</xdr:col>
      <xdr:colOff>200025</xdr:colOff>
      <xdr:row>129</xdr:row>
      <xdr:rowOff>200025</xdr:rowOff>
    </xdr:to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79AC2D64-2A98-40EC-AE33-A90B678182C2}"/>
            </a:ext>
          </a:extLst>
        </xdr:cNvPr>
        <xdr:cNvSpPr>
          <a:spLocks noChangeArrowheads="1"/>
        </xdr:cNvSpPr>
      </xdr:nvSpPr>
      <xdr:spPr bwMode="auto">
        <a:xfrm>
          <a:off x="1466850" y="21734145"/>
          <a:ext cx="180975" cy="15240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19050</xdr:colOff>
      <xdr:row>129</xdr:row>
      <xdr:rowOff>47625</xdr:rowOff>
    </xdr:from>
    <xdr:to>
      <xdr:col>7</xdr:col>
      <xdr:colOff>0</xdr:colOff>
      <xdr:row>129</xdr:row>
      <xdr:rowOff>200025</xdr:rowOff>
    </xdr:to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E1347A65-DBA8-40CF-AAAD-CF0A3480CA9B}"/>
            </a:ext>
          </a:extLst>
        </xdr:cNvPr>
        <xdr:cNvSpPr>
          <a:spLocks noChangeArrowheads="1"/>
        </xdr:cNvSpPr>
      </xdr:nvSpPr>
      <xdr:spPr bwMode="auto">
        <a:xfrm>
          <a:off x="1703070" y="21734145"/>
          <a:ext cx="354330" cy="15240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28575</xdr:colOff>
      <xdr:row>129</xdr:row>
      <xdr:rowOff>47625</xdr:rowOff>
    </xdr:from>
    <xdr:to>
      <xdr:col>8</xdr:col>
      <xdr:colOff>400050</xdr:colOff>
      <xdr:row>129</xdr:row>
      <xdr:rowOff>200025</xdr:rowOff>
    </xdr:to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6A1BBAD1-A86C-4AB7-9A6D-0C9F251B078F}"/>
            </a:ext>
          </a:extLst>
        </xdr:cNvPr>
        <xdr:cNvSpPr>
          <a:spLocks noChangeArrowheads="1"/>
        </xdr:cNvSpPr>
      </xdr:nvSpPr>
      <xdr:spPr bwMode="auto">
        <a:xfrm>
          <a:off x="2085975" y="21734145"/>
          <a:ext cx="638175" cy="15240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19050</xdr:colOff>
      <xdr:row>158</xdr:row>
      <xdr:rowOff>114300</xdr:rowOff>
    </xdr:from>
    <xdr:to>
      <xdr:col>12</xdr:col>
      <xdr:colOff>28575</xdr:colOff>
      <xdr:row>161</xdr:row>
      <xdr:rowOff>19050</xdr:rowOff>
    </xdr:to>
    <xdr:sp macro="" textlink="">
      <xdr:nvSpPr>
        <xdr:cNvPr id="38" name="AutoShape 31">
          <a:extLst>
            <a:ext uri="{FF2B5EF4-FFF2-40B4-BE49-F238E27FC236}">
              <a16:creationId xmlns:a16="http://schemas.microsoft.com/office/drawing/2014/main" id="{74239CF1-0F01-4A09-8DF9-F27F2C7CCDE3}"/>
            </a:ext>
          </a:extLst>
        </xdr:cNvPr>
        <xdr:cNvSpPr>
          <a:spLocks noChangeArrowheads="1"/>
        </xdr:cNvSpPr>
      </xdr:nvSpPr>
      <xdr:spPr bwMode="auto">
        <a:xfrm>
          <a:off x="2815590" y="26845260"/>
          <a:ext cx="1205865" cy="43053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133350</xdr:colOff>
      <xdr:row>171</xdr:row>
      <xdr:rowOff>28575</xdr:rowOff>
    </xdr:from>
    <xdr:to>
      <xdr:col>6</xdr:col>
      <xdr:colOff>38100</xdr:colOff>
      <xdr:row>172</xdr:row>
      <xdr:rowOff>95250</xdr:rowOff>
    </xdr:to>
    <xdr:sp macro="" textlink="">
      <xdr:nvSpPr>
        <xdr:cNvPr id="39" name="AutoShape 32">
          <a:extLst>
            <a:ext uri="{FF2B5EF4-FFF2-40B4-BE49-F238E27FC236}">
              <a16:creationId xmlns:a16="http://schemas.microsoft.com/office/drawing/2014/main" id="{1DA19261-BD79-4344-8AE2-173EB6144FE2}"/>
            </a:ext>
          </a:extLst>
        </xdr:cNvPr>
        <xdr:cNvSpPr>
          <a:spLocks noChangeArrowheads="1"/>
        </xdr:cNvSpPr>
      </xdr:nvSpPr>
      <xdr:spPr bwMode="auto">
        <a:xfrm>
          <a:off x="956310" y="29037915"/>
          <a:ext cx="765810" cy="272415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133350</xdr:colOff>
      <xdr:row>174</xdr:row>
      <xdr:rowOff>28575</xdr:rowOff>
    </xdr:from>
    <xdr:to>
      <xdr:col>8</xdr:col>
      <xdr:colOff>47625</xdr:colOff>
      <xdr:row>175</xdr:row>
      <xdr:rowOff>152400</xdr:rowOff>
    </xdr:to>
    <xdr:sp macro="" textlink="">
      <xdr:nvSpPr>
        <xdr:cNvPr id="40" name="AutoShape 33">
          <a:extLst>
            <a:ext uri="{FF2B5EF4-FFF2-40B4-BE49-F238E27FC236}">
              <a16:creationId xmlns:a16="http://schemas.microsoft.com/office/drawing/2014/main" id="{4EDC96D3-3DAB-439D-B571-52136D384E75}"/>
            </a:ext>
          </a:extLst>
        </xdr:cNvPr>
        <xdr:cNvSpPr>
          <a:spLocks noChangeArrowheads="1"/>
        </xdr:cNvSpPr>
      </xdr:nvSpPr>
      <xdr:spPr bwMode="auto">
        <a:xfrm>
          <a:off x="956310" y="29594175"/>
          <a:ext cx="1415415" cy="329565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85</xdr:row>
      <xdr:rowOff>0</xdr:rowOff>
    </xdr:from>
    <xdr:to>
      <xdr:col>23</xdr:col>
      <xdr:colOff>161619</xdr:colOff>
      <xdr:row>94</xdr:row>
      <xdr:rowOff>133104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B64C03EC-2F66-4A41-B374-9FD1B2AA3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0820" y="14554200"/>
          <a:ext cx="2516199" cy="17256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2"/>
  <sheetViews>
    <sheetView tabSelected="1" zoomScaleNormal="100" zoomScaleSheetLayoutView="100" workbookViewId="0">
      <selection sqref="A1:S215"/>
    </sheetView>
  </sheetViews>
  <sheetFormatPr baseColWidth="10" defaultColWidth="11.44140625" defaultRowHeight="13.8" x14ac:dyDescent="0.25"/>
  <cols>
    <col min="1" max="1" width="4.44140625" style="15" customWidth="1"/>
    <col min="2" max="2" width="4" style="15" customWidth="1"/>
    <col min="3" max="3" width="3.5546875" style="15" customWidth="1"/>
    <col min="4" max="4" width="2.5546875" style="15" customWidth="1"/>
    <col min="5" max="5" width="6.5546875" style="15" customWidth="1"/>
    <col min="6" max="6" width="3.44140625" style="15" customWidth="1"/>
    <col min="7" max="7" width="5.44140625" style="15" customWidth="1"/>
    <col min="8" max="8" width="3.88671875" style="15" customWidth="1"/>
    <col min="9" max="9" width="6.88671875" style="15" customWidth="1"/>
    <col min="10" max="10" width="6.44140625" style="15" customWidth="1"/>
    <col min="11" max="11" width="4.33203125" style="15" customWidth="1"/>
    <col min="12" max="12" width="6.6640625" style="15" customWidth="1"/>
    <col min="13" max="13" width="5" style="15" customWidth="1"/>
    <col min="14" max="14" width="5.44140625" style="15" customWidth="1"/>
    <col min="15" max="15" width="3" style="15" customWidth="1"/>
    <col min="16" max="16" width="5.109375" style="15" customWidth="1"/>
    <col min="17" max="17" width="2.5546875" style="15" customWidth="1"/>
    <col min="18" max="20" width="5.44140625" style="15" customWidth="1"/>
    <col min="21" max="16384" width="11.44140625" style="15"/>
  </cols>
  <sheetData>
    <row r="1" spans="1:23" x14ac:dyDescent="0.25">
      <c r="A1" s="83" t="s">
        <v>138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23" x14ac:dyDescent="0.2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23" ht="15.75" customHeight="1" x14ac:dyDescent="0.25">
      <c r="A3" s="78" t="s">
        <v>139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23" ht="15.75" customHeight="1" x14ac:dyDescent="0.2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23" ht="15.75" customHeight="1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</row>
    <row r="6" spans="1:23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23" x14ac:dyDescent="0.25">
      <c r="A7" s="15" t="s">
        <v>0</v>
      </c>
    </row>
    <row r="8" spans="1:23" ht="14.4" thickBot="1" x14ac:dyDescent="0.3"/>
    <row r="9" spans="1:23" ht="14.4" thickBot="1" x14ac:dyDescent="0.3">
      <c r="C9" s="15" t="s">
        <v>121</v>
      </c>
      <c r="H9" s="15" t="s">
        <v>1</v>
      </c>
      <c r="I9" s="76">
        <v>0.83</v>
      </c>
      <c r="J9" s="15" t="s">
        <v>2</v>
      </c>
    </row>
    <row r="10" spans="1:23" x14ac:dyDescent="0.25">
      <c r="C10" s="15" t="s">
        <v>8</v>
      </c>
      <c r="H10" s="15" t="s">
        <v>1</v>
      </c>
      <c r="I10" s="18">
        <v>0.18</v>
      </c>
      <c r="J10" s="15" t="s">
        <v>2</v>
      </c>
      <c r="L10" s="15" t="s">
        <v>112</v>
      </c>
    </row>
    <row r="11" spans="1:23" x14ac:dyDescent="0.25">
      <c r="I11" s="18"/>
    </row>
    <row r="12" spans="1:23" x14ac:dyDescent="0.25">
      <c r="A12" s="19" t="s">
        <v>109</v>
      </c>
      <c r="W12" s="20"/>
    </row>
    <row r="13" spans="1:23" ht="9" customHeight="1" x14ac:dyDescent="0.25"/>
    <row r="14" spans="1:23" ht="17.399999999999999" x14ac:dyDescent="0.35">
      <c r="D14" s="81" t="s">
        <v>122</v>
      </c>
      <c r="E14" s="81" t="s">
        <v>1</v>
      </c>
      <c r="F14" s="87" t="s">
        <v>123</v>
      </c>
      <c r="G14" s="87"/>
      <c r="H14" s="21" t="s">
        <v>3</v>
      </c>
    </row>
    <row r="15" spans="1:23" x14ac:dyDescent="0.25">
      <c r="D15" s="81"/>
      <c r="E15" s="81"/>
    </row>
    <row r="16" spans="1:23" x14ac:dyDescent="0.25">
      <c r="D16" s="81"/>
      <c r="E16" s="81"/>
      <c r="F16" s="87">
        <v>1.56</v>
      </c>
      <c r="G16" s="87"/>
    </row>
    <row r="17" spans="1:19" x14ac:dyDescent="0.25">
      <c r="B17" s="15" t="s">
        <v>4</v>
      </c>
    </row>
    <row r="18" spans="1:19" ht="16.2" x14ac:dyDescent="0.35">
      <c r="C18" s="22" t="s">
        <v>124</v>
      </c>
      <c r="D18" s="15" t="s">
        <v>1</v>
      </c>
      <c r="E18" s="15" t="s">
        <v>5</v>
      </c>
    </row>
    <row r="19" spans="1:19" x14ac:dyDescent="0.25">
      <c r="C19" s="22" t="s">
        <v>6</v>
      </c>
      <c r="D19" s="15" t="s">
        <v>1</v>
      </c>
      <c r="E19" s="15" t="s">
        <v>65</v>
      </c>
    </row>
    <row r="20" spans="1:19" ht="16.2" x14ac:dyDescent="0.35">
      <c r="C20" s="22" t="s">
        <v>122</v>
      </c>
      <c r="D20" s="15" t="s">
        <v>1</v>
      </c>
      <c r="E20" s="15" t="s">
        <v>7</v>
      </c>
    </row>
    <row r="21" spans="1:19" ht="9" customHeight="1" x14ac:dyDescent="0.25"/>
    <row r="22" spans="1:19" ht="16.2" x14ac:dyDescent="0.25">
      <c r="C22" s="15">
        <v>2</v>
      </c>
      <c r="D22" s="23" t="s">
        <v>9</v>
      </c>
      <c r="E22" s="23">
        <v>9.81</v>
      </c>
      <c r="F22" s="23" t="s">
        <v>9</v>
      </c>
      <c r="G22" s="24">
        <v>0.4</v>
      </c>
      <c r="H22" s="25">
        <v>0.5</v>
      </c>
    </row>
    <row r="23" spans="1:19" ht="16.2" x14ac:dyDescent="0.35">
      <c r="A23" s="22" t="s">
        <v>122</v>
      </c>
      <c r="B23" s="23" t="s">
        <v>1</v>
      </c>
      <c r="I23" s="23" t="s">
        <v>1</v>
      </c>
      <c r="J23" s="15">
        <f>((C22*E22*G22)/E24)^H22</f>
        <v>2.2429376341684648</v>
      </c>
      <c r="K23" s="15" t="s">
        <v>10</v>
      </c>
    </row>
    <row r="24" spans="1:19" x14ac:dyDescent="0.25">
      <c r="D24" s="23"/>
      <c r="E24" s="23">
        <v>1.56</v>
      </c>
      <c r="F24" s="23"/>
    </row>
    <row r="25" spans="1:19" ht="9.75" customHeight="1" x14ac:dyDescent="0.25"/>
    <row r="26" spans="1:19" x14ac:dyDescent="0.25">
      <c r="B26" s="96" t="s">
        <v>110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</row>
    <row r="27" spans="1:19" x14ac:dyDescent="0.25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</row>
    <row r="28" spans="1:19" x14ac:dyDescent="0.25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ht="16.2" x14ac:dyDescent="0.35">
      <c r="B29" s="15" t="s">
        <v>125</v>
      </c>
      <c r="G29" s="27">
        <f>IF(J23&gt;0.6,0.6,J23)</f>
        <v>0.6</v>
      </c>
      <c r="H29" s="15" t="s">
        <v>11</v>
      </c>
    </row>
    <row r="31" spans="1:19" ht="17.399999999999999" x14ac:dyDescent="0.35">
      <c r="C31" s="15">
        <v>2</v>
      </c>
      <c r="D31" s="23" t="s">
        <v>9</v>
      </c>
      <c r="E31" s="23">
        <v>9.81</v>
      </c>
      <c r="F31" s="23" t="s">
        <v>9</v>
      </c>
      <c r="G31" s="27" t="s">
        <v>124</v>
      </c>
      <c r="H31" s="25">
        <v>0.5</v>
      </c>
    </row>
    <row r="32" spans="1:19" ht="16.2" x14ac:dyDescent="0.35">
      <c r="A32" s="22">
        <f>G29</f>
        <v>0.6</v>
      </c>
      <c r="B32" s="23" t="s">
        <v>1</v>
      </c>
      <c r="I32" s="23"/>
      <c r="J32" s="22" t="s">
        <v>124</v>
      </c>
      <c r="K32" s="23" t="s">
        <v>1</v>
      </c>
      <c r="L32" s="17">
        <f>((A32^2)*E33)/(C31*E31)</f>
        <v>2.8623853211009173E-2</v>
      </c>
      <c r="M32" s="15" t="s">
        <v>18</v>
      </c>
    </row>
    <row r="33" spans="2:10" x14ac:dyDescent="0.25">
      <c r="D33" s="23"/>
      <c r="E33" s="23">
        <v>1.56</v>
      </c>
      <c r="F33" s="23"/>
    </row>
    <row r="34" spans="2:10" ht="8.25" customHeight="1" x14ac:dyDescent="0.25"/>
    <row r="35" spans="2:10" x14ac:dyDescent="0.25">
      <c r="B35" s="28"/>
      <c r="C35" s="28"/>
      <c r="D35" s="28"/>
      <c r="E35" s="28"/>
    </row>
    <row r="36" spans="2:10" x14ac:dyDescent="0.25">
      <c r="F36" s="29"/>
    </row>
    <row r="37" spans="2:10" x14ac:dyDescent="0.25">
      <c r="F37" s="29"/>
      <c r="I37" s="23" t="s">
        <v>12</v>
      </c>
    </row>
    <row r="38" spans="2:10" x14ac:dyDescent="0.25">
      <c r="F38" s="30"/>
      <c r="I38" s="23"/>
      <c r="J38" s="15" t="s">
        <v>96</v>
      </c>
    </row>
    <row r="39" spans="2:10" ht="12.75" customHeight="1" x14ac:dyDescent="0.25">
      <c r="I39" s="81" t="s">
        <v>124</v>
      </c>
    </row>
    <row r="40" spans="2:10" x14ac:dyDescent="0.25">
      <c r="F40" s="28"/>
      <c r="I40" s="81"/>
    </row>
    <row r="41" spans="2:10" x14ac:dyDescent="0.25">
      <c r="F41" s="29"/>
    </row>
    <row r="42" spans="2:10" x14ac:dyDescent="0.25">
      <c r="B42" s="87" t="s">
        <v>14</v>
      </c>
      <c r="C42" s="87"/>
      <c r="D42" s="87"/>
      <c r="E42" s="89"/>
      <c r="F42" s="29"/>
    </row>
    <row r="43" spans="2:10" x14ac:dyDescent="0.25">
      <c r="F43" s="29"/>
    </row>
    <row r="45" spans="2:10" x14ac:dyDescent="0.25">
      <c r="B45" s="15" t="s">
        <v>126</v>
      </c>
    </row>
    <row r="46" spans="2:10" ht="8.25" customHeight="1" x14ac:dyDescent="0.25"/>
    <row r="47" spans="2:10" x14ac:dyDescent="0.25">
      <c r="B47" s="15" t="s">
        <v>15</v>
      </c>
    </row>
    <row r="48" spans="2:10" ht="7.5" customHeight="1" x14ac:dyDescent="0.25"/>
    <row r="49" spans="1:19" ht="16.2" x14ac:dyDescent="0.35">
      <c r="B49" s="23" t="s">
        <v>12</v>
      </c>
      <c r="C49" s="23" t="s">
        <v>1</v>
      </c>
      <c r="D49" s="23" t="s">
        <v>96</v>
      </c>
      <c r="E49" s="23" t="s">
        <v>16</v>
      </c>
      <c r="F49" s="23" t="s">
        <v>124</v>
      </c>
      <c r="G49" s="23"/>
      <c r="H49" s="23" t="s">
        <v>20</v>
      </c>
      <c r="I49" s="22" t="s">
        <v>14</v>
      </c>
      <c r="J49" s="23" t="s">
        <v>1</v>
      </c>
      <c r="K49" s="23" t="s">
        <v>12</v>
      </c>
      <c r="L49" s="31" t="s">
        <v>19</v>
      </c>
      <c r="M49" s="27">
        <v>0.3</v>
      </c>
      <c r="N49" s="27"/>
    </row>
    <row r="50" spans="1:19" ht="7.5" customHeight="1" x14ac:dyDescent="0.25"/>
    <row r="51" spans="1:19" x14ac:dyDescent="0.25">
      <c r="B51" s="15" t="s">
        <v>17</v>
      </c>
    </row>
    <row r="52" spans="1:19" ht="8.25" customHeight="1" thickBot="1" x14ac:dyDescent="0.3"/>
    <row r="53" spans="1:19" ht="14.4" thickBot="1" x14ac:dyDescent="0.3">
      <c r="C53" s="15" t="s">
        <v>12</v>
      </c>
      <c r="D53" s="15" t="s">
        <v>1</v>
      </c>
      <c r="E53" s="32">
        <v>0.24</v>
      </c>
      <c r="F53" s="23" t="s">
        <v>16</v>
      </c>
      <c r="G53" s="27">
        <f>L32</f>
        <v>2.8623853211009173E-2</v>
      </c>
      <c r="H53" s="23" t="s">
        <v>1</v>
      </c>
      <c r="I53" s="33">
        <f>E53-G53</f>
        <v>0.2113761467889908</v>
      </c>
      <c r="J53" s="15" t="s">
        <v>18</v>
      </c>
      <c r="K53" s="15" t="s">
        <v>20</v>
      </c>
      <c r="L53" s="22" t="s">
        <v>14</v>
      </c>
      <c r="M53" s="15" t="s">
        <v>1</v>
      </c>
      <c r="N53" s="34">
        <f>I53</f>
        <v>0.2113761467889908</v>
      </c>
      <c r="O53" s="31" t="s">
        <v>19</v>
      </c>
      <c r="P53" s="27">
        <f>M49</f>
        <v>0.3</v>
      </c>
      <c r="Q53" s="15" t="s">
        <v>1</v>
      </c>
      <c r="R53" s="77">
        <f>N53/P53</f>
        <v>0.70458715596330268</v>
      </c>
      <c r="S53" s="15" t="s">
        <v>18</v>
      </c>
    </row>
    <row r="54" spans="1:19" ht="9" customHeight="1" x14ac:dyDescent="0.25"/>
    <row r="55" spans="1:19" x14ac:dyDescent="0.25">
      <c r="A55" s="19" t="s">
        <v>83</v>
      </c>
      <c r="B55" s="35"/>
      <c r="C55" s="36"/>
      <c r="D55" s="36"/>
      <c r="E55" s="37"/>
      <c r="F55" s="27"/>
      <c r="G55" s="27"/>
      <c r="I55" s="33"/>
    </row>
    <row r="56" spans="1:19" x14ac:dyDescent="0.25">
      <c r="A56" s="19"/>
      <c r="B56" s="35"/>
      <c r="C56" s="36"/>
      <c r="D56" s="36"/>
      <c r="E56" s="37"/>
      <c r="F56" s="27"/>
      <c r="G56" s="27"/>
      <c r="I56" s="33"/>
    </row>
    <row r="57" spans="1:19" x14ac:dyDescent="0.25">
      <c r="B57" s="38" t="s">
        <v>111</v>
      </c>
      <c r="S57" s="39"/>
    </row>
    <row r="58" spans="1:19" x14ac:dyDescent="0.25">
      <c r="S58" s="39"/>
    </row>
    <row r="59" spans="1:19" x14ac:dyDescent="0.25">
      <c r="B59" s="15" t="s">
        <v>21</v>
      </c>
      <c r="S59" s="39"/>
    </row>
    <row r="60" spans="1:19" x14ac:dyDescent="0.25">
      <c r="S60" s="39"/>
    </row>
    <row r="61" spans="1:19" x14ac:dyDescent="0.25">
      <c r="B61" s="98" t="s">
        <v>22</v>
      </c>
      <c r="C61" s="81" t="s">
        <v>1</v>
      </c>
      <c r="D61" s="92" t="s">
        <v>23</v>
      </c>
      <c r="E61" s="92"/>
      <c r="S61" s="39"/>
    </row>
    <row r="62" spans="1:19" ht="12.75" customHeight="1" x14ac:dyDescent="0.25">
      <c r="B62" s="98"/>
      <c r="C62" s="81"/>
      <c r="D62" s="81" t="s">
        <v>25</v>
      </c>
      <c r="E62" s="81"/>
      <c r="S62" s="39"/>
    </row>
    <row r="63" spans="1:19" x14ac:dyDescent="0.25">
      <c r="B63" s="15" t="s">
        <v>26</v>
      </c>
      <c r="S63" s="39"/>
    </row>
    <row r="64" spans="1:19" x14ac:dyDescent="0.25">
      <c r="B64" s="15" t="s">
        <v>24</v>
      </c>
      <c r="D64" s="15" t="s">
        <v>1</v>
      </c>
      <c r="E64" s="15" t="s">
        <v>28</v>
      </c>
      <c r="J64" s="23">
        <v>0.6</v>
      </c>
      <c r="K64" s="23" t="s">
        <v>29</v>
      </c>
      <c r="L64" s="23">
        <v>0.8</v>
      </c>
      <c r="S64" s="39"/>
    </row>
    <row r="65" spans="2:19" x14ac:dyDescent="0.25">
      <c r="J65" s="23"/>
      <c r="K65" s="23"/>
      <c r="L65" s="23"/>
      <c r="S65" s="39"/>
    </row>
    <row r="66" spans="2:19" x14ac:dyDescent="0.25">
      <c r="B66" s="15" t="s">
        <v>23</v>
      </c>
      <c r="D66" s="15" t="s">
        <v>1</v>
      </c>
      <c r="E66" s="34">
        <f>I9</f>
        <v>0.83</v>
      </c>
      <c r="F66" s="15" t="s">
        <v>2</v>
      </c>
      <c r="S66" s="39"/>
    </row>
    <row r="67" spans="2:19" x14ac:dyDescent="0.25">
      <c r="B67" s="15" t="s">
        <v>27</v>
      </c>
      <c r="D67" s="15" t="s">
        <v>1</v>
      </c>
      <c r="E67" s="34">
        <v>0.6</v>
      </c>
      <c r="F67" s="15" t="s">
        <v>10</v>
      </c>
      <c r="S67" s="39"/>
    </row>
    <row r="68" spans="2:19" x14ac:dyDescent="0.25">
      <c r="B68" s="15" t="s">
        <v>24</v>
      </c>
      <c r="D68" s="15" t="s">
        <v>1</v>
      </c>
      <c r="E68" s="15">
        <v>0.7</v>
      </c>
      <c r="S68" s="39"/>
    </row>
    <row r="69" spans="2:19" x14ac:dyDescent="0.25">
      <c r="B69" s="15" t="s">
        <v>30</v>
      </c>
      <c r="S69" s="40"/>
    </row>
    <row r="70" spans="2:19" ht="9" customHeight="1" x14ac:dyDescent="0.25"/>
    <row r="71" spans="2:19" x14ac:dyDescent="0.25">
      <c r="C71" s="81" t="s">
        <v>22</v>
      </c>
      <c r="D71" s="81" t="s">
        <v>1</v>
      </c>
      <c r="E71" s="92">
        <f>E66</f>
        <v>0.83</v>
      </c>
      <c r="F71" s="92"/>
      <c r="G71" s="92"/>
      <c r="H71" s="81" t="s">
        <v>1</v>
      </c>
      <c r="I71" s="81">
        <f>E71/(E72*G72)</f>
        <v>1.9761904761904763</v>
      </c>
      <c r="J71" s="81" t="s">
        <v>31</v>
      </c>
      <c r="K71" s="81" t="s">
        <v>1</v>
      </c>
      <c r="L71" s="90">
        <f>I71/1000</f>
        <v>1.9761904761904764E-3</v>
      </c>
      <c r="M71" s="90"/>
      <c r="N71" s="81" t="s">
        <v>127</v>
      </c>
    </row>
    <row r="72" spans="2:19" x14ac:dyDescent="0.25">
      <c r="C72" s="81"/>
      <c r="D72" s="81"/>
      <c r="E72" s="41">
        <f>E68</f>
        <v>0.7</v>
      </c>
      <c r="F72" s="41" t="s">
        <v>9</v>
      </c>
      <c r="G72" s="41">
        <f>E67</f>
        <v>0.6</v>
      </c>
      <c r="H72" s="81"/>
      <c r="I72" s="81"/>
      <c r="J72" s="81"/>
      <c r="K72" s="81"/>
      <c r="L72" s="90"/>
      <c r="M72" s="90"/>
      <c r="N72" s="81"/>
    </row>
    <row r="73" spans="2:19" ht="8.25" customHeight="1" x14ac:dyDescent="0.25"/>
    <row r="74" spans="2:19" x14ac:dyDescent="0.25">
      <c r="B74" s="15" t="s">
        <v>32</v>
      </c>
    </row>
    <row r="76" spans="2:19" ht="16.2" x14ac:dyDescent="0.25">
      <c r="C76" s="81" t="s">
        <v>33</v>
      </c>
      <c r="D76" s="79" t="s">
        <v>1</v>
      </c>
      <c r="E76" s="86" t="s">
        <v>34</v>
      </c>
      <c r="F76" s="86"/>
      <c r="G76" s="42">
        <v>0.5</v>
      </c>
    </row>
    <row r="77" spans="2:19" x14ac:dyDescent="0.25">
      <c r="C77" s="81"/>
      <c r="D77" s="79"/>
      <c r="E77" s="87" t="s">
        <v>35</v>
      </c>
      <c r="F77" s="87"/>
    </row>
    <row r="79" spans="2:19" ht="16.2" x14ac:dyDescent="0.25">
      <c r="C79" s="81" t="s">
        <v>33</v>
      </c>
      <c r="D79" s="79" t="s">
        <v>1</v>
      </c>
      <c r="E79" s="28">
        <v>4</v>
      </c>
      <c r="F79" s="28" t="s">
        <v>9</v>
      </c>
      <c r="G79" s="80">
        <f>L71</f>
        <v>1.9761904761904764E-3</v>
      </c>
      <c r="H79" s="80"/>
      <c r="I79" s="43">
        <v>0.5</v>
      </c>
      <c r="J79" s="81" t="s">
        <v>1</v>
      </c>
      <c r="K79" s="91">
        <f>((E79*G79)/E80)^G76</f>
        <v>5.0161378192935716E-2</v>
      </c>
      <c r="L79" s="91"/>
      <c r="M79" s="81" t="s">
        <v>18</v>
      </c>
    </row>
    <row r="80" spans="2:19" x14ac:dyDescent="0.25">
      <c r="C80" s="81"/>
      <c r="D80" s="79"/>
      <c r="E80" s="97">
        <f>PI()</f>
        <v>3.1415926535897931</v>
      </c>
      <c r="F80" s="97"/>
      <c r="G80" s="97"/>
      <c r="H80" s="97"/>
      <c r="J80" s="81"/>
      <c r="K80" s="91"/>
      <c r="L80" s="91"/>
      <c r="M80" s="81"/>
    </row>
    <row r="82" spans="2:14" x14ac:dyDescent="0.25">
      <c r="C82" s="23" t="s">
        <v>33</v>
      </c>
      <c r="D82" s="15" t="s">
        <v>1</v>
      </c>
      <c r="E82" s="34">
        <f>K79*100</f>
        <v>5.0161378192935713</v>
      </c>
      <c r="F82" s="15" t="s">
        <v>36</v>
      </c>
      <c r="H82" s="15" t="s">
        <v>1</v>
      </c>
      <c r="I82" s="33">
        <f>+E82/2.54</f>
        <v>1.9748574091706974</v>
      </c>
      <c r="J82" s="15" t="s">
        <v>37</v>
      </c>
      <c r="L82" s="44"/>
      <c r="N82" s="17"/>
    </row>
    <row r="83" spans="2:14" x14ac:dyDescent="0.25">
      <c r="C83" s="23"/>
      <c r="I83" s="44"/>
      <c r="N83" s="17"/>
    </row>
    <row r="84" spans="2:14" x14ac:dyDescent="0.25">
      <c r="B84" s="38" t="s">
        <v>38</v>
      </c>
    </row>
    <row r="86" spans="2:14" x14ac:dyDescent="0.25">
      <c r="B86" s="15" t="s">
        <v>41</v>
      </c>
      <c r="F86" s="15" t="s">
        <v>42</v>
      </c>
      <c r="G86" s="15" t="s">
        <v>43</v>
      </c>
    </row>
    <row r="87" spans="2:14" x14ac:dyDescent="0.25">
      <c r="B87" s="15" t="s">
        <v>44</v>
      </c>
      <c r="D87" s="15" t="s">
        <v>1</v>
      </c>
      <c r="E87" s="45">
        <v>1</v>
      </c>
      <c r="G87" s="15" t="s">
        <v>45</v>
      </c>
      <c r="I87" s="23" t="s">
        <v>1</v>
      </c>
      <c r="J87" s="46">
        <f>E87*2.54</f>
        <v>2.54</v>
      </c>
      <c r="K87" s="15" t="s">
        <v>85</v>
      </c>
    </row>
    <row r="88" spans="2:14" x14ac:dyDescent="0.25">
      <c r="E88" s="45"/>
      <c r="I88" s="23"/>
      <c r="J88" s="46"/>
    </row>
    <row r="89" spans="2:14" ht="17.399999999999999" x14ac:dyDescent="0.35">
      <c r="C89" s="81" t="s">
        <v>39</v>
      </c>
      <c r="D89" s="81" t="s">
        <v>1</v>
      </c>
      <c r="E89" s="94" t="s">
        <v>128</v>
      </c>
      <c r="F89" s="94"/>
      <c r="G89" s="81" t="s">
        <v>40</v>
      </c>
      <c r="H89" s="81">
        <v>1</v>
      </c>
    </row>
    <row r="90" spans="2:14" ht="17.399999999999999" x14ac:dyDescent="0.35">
      <c r="C90" s="81"/>
      <c r="D90" s="81"/>
      <c r="E90" s="15" t="s">
        <v>129</v>
      </c>
      <c r="G90" s="81"/>
      <c r="H90" s="81"/>
      <c r="L90" s="47"/>
    </row>
    <row r="92" spans="2:14" x14ac:dyDescent="0.25">
      <c r="C92" s="81" t="s">
        <v>39</v>
      </c>
      <c r="D92" s="81" t="s">
        <v>1</v>
      </c>
      <c r="E92" s="48">
        <f>E82^2</f>
        <v>25.161638622147265</v>
      </c>
      <c r="F92" s="81" t="s">
        <v>40</v>
      </c>
      <c r="G92" s="81">
        <v>1</v>
      </c>
      <c r="H92" s="81" t="s">
        <v>1</v>
      </c>
      <c r="I92" s="85">
        <f>(E92/E93)+G92</f>
        <v>4.9000617865563996</v>
      </c>
      <c r="J92" s="81" t="s">
        <v>46</v>
      </c>
      <c r="K92" s="81"/>
      <c r="L92" s="81"/>
      <c r="M92" s="81"/>
      <c r="N92" s="84">
        <f>+FLOOR(I92,1)</f>
        <v>4</v>
      </c>
    </row>
    <row r="93" spans="2:14" x14ac:dyDescent="0.25">
      <c r="C93" s="81"/>
      <c r="D93" s="81"/>
      <c r="E93" s="33">
        <f>(E87*2.54)^2</f>
        <v>6.4516</v>
      </c>
      <c r="F93" s="81"/>
      <c r="G93" s="81"/>
      <c r="H93" s="81"/>
      <c r="I93" s="85"/>
      <c r="J93" s="81"/>
      <c r="K93" s="81"/>
      <c r="L93" s="81"/>
      <c r="M93" s="81"/>
      <c r="N93" s="84"/>
    </row>
    <row r="94" spans="2:14" ht="8.25" customHeight="1" x14ac:dyDescent="0.25"/>
    <row r="95" spans="2:14" x14ac:dyDescent="0.25">
      <c r="B95" s="38" t="s">
        <v>113</v>
      </c>
      <c r="E95" s="49"/>
      <c r="G95" s="49"/>
    </row>
    <row r="96" spans="2:14" ht="7.5" customHeight="1" x14ac:dyDescent="0.25"/>
    <row r="97" spans="1:9" x14ac:dyDescent="0.25">
      <c r="B97" s="15" t="s">
        <v>100</v>
      </c>
    </row>
    <row r="98" spans="1:9" ht="6.75" customHeight="1" x14ac:dyDescent="0.25"/>
    <row r="99" spans="1:9" ht="12.75" customHeight="1" x14ac:dyDescent="0.25">
      <c r="B99" s="15" t="s">
        <v>47</v>
      </c>
      <c r="C99" s="15" t="s">
        <v>1</v>
      </c>
      <c r="D99" s="87">
        <f>9*J87+4*J87*N92</f>
        <v>63.5</v>
      </c>
      <c r="E99" s="87"/>
      <c r="F99" s="15" t="s">
        <v>36</v>
      </c>
    </row>
    <row r="100" spans="1:9" x14ac:dyDescent="0.25">
      <c r="B100" s="15" t="s">
        <v>48</v>
      </c>
    </row>
    <row r="101" spans="1:9" ht="7.5" customHeight="1" x14ac:dyDescent="0.25"/>
    <row r="102" spans="1:9" x14ac:dyDescent="0.25">
      <c r="B102" s="15" t="s">
        <v>47</v>
      </c>
      <c r="C102" s="15" t="s">
        <v>1</v>
      </c>
      <c r="D102" s="93">
        <v>0.7</v>
      </c>
      <c r="E102" s="93"/>
      <c r="F102" s="15" t="s">
        <v>18</v>
      </c>
    </row>
    <row r="103" spans="1:9" ht="12.6" customHeight="1" x14ac:dyDescent="0.25"/>
    <row r="104" spans="1:9" s="19" customFormat="1" x14ac:dyDescent="0.25">
      <c r="A104" s="19" t="s">
        <v>114</v>
      </c>
    </row>
    <row r="106" spans="1:9" x14ac:dyDescent="0.25">
      <c r="B106" s="15" t="s">
        <v>49</v>
      </c>
    </row>
    <row r="107" spans="1:9" ht="6.75" customHeight="1" x14ac:dyDescent="0.25"/>
    <row r="108" spans="1:9" x14ac:dyDescent="0.25">
      <c r="A108" s="15" t="s">
        <v>50</v>
      </c>
      <c r="B108" s="15" t="s">
        <v>51</v>
      </c>
      <c r="I108" s="15" t="s">
        <v>102</v>
      </c>
    </row>
    <row r="109" spans="1:9" ht="5.25" customHeight="1" x14ac:dyDescent="0.25"/>
    <row r="110" spans="1:9" x14ac:dyDescent="0.25">
      <c r="B110" s="15" t="s">
        <v>52</v>
      </c>
    </row>
    <row r="111" spans="1:9" x14ac:dyDescent="0.25">
      <c r="C111" s="15" t="s">
        <v>22</v>
      </c>
      <c r="D111" s="15" t="s">
        <v>1</v>
      </c>
      <c r="E111" s="15">
        <v>10</v>
      </c>
      <c r="F111" s="15" t="s">
        <v>36</v>
      </c>
    </row>
    <row r="112" spans="1:9" x14ac:dyDescent="0.25">
      <c r="C112" s="15" t="s">
        <v>53</v>
      </c>
      <c r="D112" s="15" t="s">
        <v>1</v>
      </c>
      <c r="E112" s="50">
        <f>G112*2.54</f>
        <v>2.54</v>
      </c>
      <c r="F112" s="15" t="s">
        <v>36</v>
      </c>
      <c r="G112" s="51">
        <f>+L178</f>
        <v>1</v>
      </c>
      <c r="H112" s="15" t="s">
        <v>37</v>
      </c>
      <c r="I112" s="15" t="s">
        <v>115</v>
      </c>
    </row>
    <row r="113" spans="2:19" x14ac:dyDescent="0.25">
      <c r="C113" s="15" t="s">
        <v>33</v>
      </c>
      <c r="D113" s="15" t="s">
        <v>1</v>
      </c>
      <c r="E113" s="15">
        <v>5</v>
      </c>
      <c r="F113" s="15" t="s">
        <v>36</v>
      </c>
      <c r="I113" s="95" t="s">
        <v>54</v>
      </c>
      <c r="J113" s="95"/>
      <c r="K113" s="95"/>
      <c r="L113" s="95"/>
      <c r="M113" s="95"/>
      <c r="N113" s="95"/>
      <c r="O113" s="95"/>
      <c r="P113" s="95"/>
      <c r="Q113" s="95"/>
      <c r="R113" s="95"/>
      <c r="S113" s="95"/>
    </row>
    <row r="114" spans="2:19" x14ac:dyDescent="0.25"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</row>
    <row r="115" spans="2:19" x14ac:dyDescent="0.25">
      <c r="C115" s="15" t="s">
        <v>55</v>
      </c>
      <c r="D115" s="15" t="s">
        <v>1</v>
      </c>
      <c r="E115" s="15">
        <v>30</v>
      </c>
      <c r="F115" s="15" t="s">
        <v>36</v>
      </c>
      <c r="I115" s="15" t="s">
        <v>101</v>
      </c>
      <c r="L115" s="23"/>
    </row>
    <row r="116" spans="2:19" ht="7.5" customHeight="1" x14ac:dyDescent="0.25"/>
    <row r="117" spans="2:19" x14ac:dyDescent="0.25">
      <c r="B117" s="15" t="s">
        <v>56</v>
      </c>
    </row>
    <row r="119" spans="2:19" ht="16.2" x14ac:dyDescent="0.25">
      <c r="B119" s="81" t="s">
        <v>13</v>
      </c>
      <c r="C119" s="81" t="s">
        <v>1</v>
      </c>
      <c r="D119" s="81">
        <v>1.56</v>
      </c>
      <c r="E119" s="81"/>
      <c r="F119" s="92" t="s">
        <v>130</v>
      </c>
      <c r="G119" s="92"/>
      <c r="H119" s="92"/>
    </row>
    <row r="120" spans="2:19" ht="16.2" x14ac:dyDescent="0.25">
      <c r="B120" s="81"/>
      <c r="C120" s="81"/>
      <c r="D120" s="81"/>
      <c r="E120" s="81"/>
      <c r="F120" s="41">
        <v>2</v>
      </c>
      <c r="G120" s="40" t="s">
        <v>6</v>
      </c>
      <c r="H120" s="52" t="s">
        <v>131</v>
      </c>
    </row>
    <row r="121" spans="2:19" ht="9" customHeight="1" x14ac:dyDescent="0.25"/>
    <row r="122" spans="2:19" x14ac:dyDescent="0.25">
      <c r="B122" s="15" t="s">
        <v>52</v>
      </c>
    </row>
    <row r="123" spans="2:19" ht="16.2" x14ac:dyDescent="0.25">
      <c r="B123" s="15" t="s">
        <v>57</v>
      </c>
      <c r="D123" s="15" t="s">
        <v>1</v>
      </c>
      <c r="E123" s="101">
        <f>I10/1000</f>
        <v>1.7999999999999998E-4</v>
      </c>
      <c r="F123" s="101"/>
      <c r="G123" s="15" t="s">
        <v>132</v>
      </c>
      <c r="H123" s="15" t="s">
        <v>58</v>
      </c>
    </row>
    <row r="124" spans="2:19" ht="16.2" x14ac:dyDescent="0.25">
      <c r="B124" s="15" t="s">
        <v>22</v>
      </c>
      <c r="D124" s="15" t="s">
        <v>1</v>
      </c>
      <c r="E124" s="102">
        <f>PI()*E112^2/4/10000</f>
        <v>5.0670747909749769E-4</v>
      </c>
      <c r="F124" s="102"/>
      <c r="G124" s="15" t="s">
        <v>133</v>
      </c>
      <c r="H124" s="15" t="s">
        <v>59</v>
      </c>
    </row>
    <row r="125" spans="2:19" ht="16.2" x14ac:dyDescent="0.25">
      <c r="B125" s="15" t="s">
        <v>6</v>
      </c>
      <c r="D125" s="15" t="s">
        <v>1</v>
      </c>
      <c r="E125" s="15">
        <f>E22</f>
        <v>9.81</v>
      </c>
      <c r="G125" s="15" t="s">
        <v>134</v>
      </c>
      <c r="H125" s="15" t="s">
        <v>60</v>
      </c>
    </row>
    <row r="126" spans="2:19" ht="9.75" customHeight="1" x14ac:dyDescent="0.25"/>
    <row r="127" spans="2:19" x14ac:dyDescent="0.25">
      <c r="B127" s="15" t="s">
        <v>61</v>
      </c>
      <c r="S127" s="100"/>
    </row>
    <row r="128" spans="2:19" ht="9.75" customHeight="1" x14ac:dyDescent="0.25">
      <c r="S128" s="100"/>
    </row>
    <row r="129" spans="2:19" x14ac:dyDescent="0.25">
      <c r="B129" s="81" t="s">
        <v>13</v>
      </c>
      <c r="C129" s="81" t="s">
        <v>1</v>
      </c>
      <c r="D129" s="81">
        <f>D119</f>
        <v>1.56</v>
      </c>
      <c r="E129" s="81"/>
      <c r="F129" s="92">
        <f>E123^2</f>
        <v>3.2399999999999992E-8</v>
      </c>
      <c r="G129" s="92"/>
      <c r="H129" s="92"/>
      <c r="I129" s="92"/>
      <c r="J129" s="81" t="s">
        <v>1</v>
      </c>
      <c r="K129" s="91">
        <f>D129*(F129/(F130*G130*H130))</f>
        <v>1.003358135280435E-2</v>
      </c>
      <c r="L129" s="91"/>
      <c r="M129" s="81" t="s">
        <v>18</v>
      </c>
      <c r="S129" s="100"/>
    </row>
    <row r="130" spans="2:19" ht="17.25" customHeight="1" x14ac:dyDescent="0.25">
      <c r="B130" s="81"/>
      <c r="C130" s="81"/>
      <c r="D130" s="81"/>
      <c r="E130" s="81"/>
      <c r="F130" s="40">
        <f>F120</f>
        <v>2</v>
      </c>
      <c r="G130" s="41">
        <f>E125</f>
        <v>9.81</v>
      </c>
      <c r="H130" s="81">
        <f>E124^2</f>
        <v>2.5675246937334108E-7</v>
      </c>
      <c r="I130" s="81"/>
      <c r="J130" s="81"/>
      <c r="K130" s="91"/>
      <c r="L130" s="91"/>
      <c r="M130" s="81"/>
      <c r="S130" s="100"/>
    </row>
    <row r="131" spans="2:19" ht="10.5" customHeight="1" x14ac:dyDescent="0.25">
      <c r="B131" s="23"/>
      <c r="C131" s="23"/>
      <c r="S131" s="100"/>
    </row>
    <row r="132" spans="2:19" ht="10.5" customHeight="1" x14ac:dyDescent="0.25">
      <c r="B132" s="23"/>
      <c r="C132" s="23"/>
      <c r="S132" s="100"/>
    </row>
    <row r="133" spans="2:19" x14ac:dyDescent="0.25">
      <c r="B133" s="23" t="s">
        <v>13</v>
      </c>
      <c r="C133" s="23" t="s">
        <v>1</v>
      </c>
      <c r="D133" s="99">
        <f>K129*100</f>
        <v>1.003358135280435</v>
      </c>
      <c r="E133" s="99"/>
      <c r="F133" s="15" t="s">
        <v>36</v>
      </c>
      <c r="S133" s="100"/>
    </row>
    <row r="134" spans="2:19" x14ac:dyDescent="0.25">
      <c r="B134" s="23"/>
      <c r="C134" s="23"/>
      <c r="S134" s="100"/>
    </row>
    <row r="135" spans="2:19" x14ac:dyDescent="0.25">
      <c r="B135" s="23" t="s">
        <v>13</v>
      </c>
      <c r="C135" s="23" t="s">
        <v>1</v>
      </c>
      <c r="D135" s="82">
        <f>+IF(D133&gt;30,CEILING(D133,5),30)</f>
        <v>30</v>
      </c>
      <c r="E135" s="82"/>
      <c r="F135" s="15" t="s">
        <v>36</v>
      </c>
      <c r="I135" s="15" t="s">
        <v>116</v>
      </c>
      <c r="S135" s="100"/>
    </row>
    <row r="136" spans="2:19" x14ac:dyDescent="0.25">
      <c r="S136" s="100"/>
    </row>
    <row r="137" spans="2:19" x14ac:dyDescent="0.25">
      <c r="B137" s="15" t="s">
        <v>62</v>
      </c>
      <c r="S137" s="100"/>
    </row>
    <row r="138" spans="2:19" x14ac:dyDescent="0.25">
      <c r="S138" s="53"/>
    </row>
    <row r="139" spans="2:19" ht="12.75" customHeight="1" x14ac:dyDescent="0.25">
      <c r="B139" s="15" t="s">
        <v>63</v>
      </c>
      <c r="C139" s="23" t="s">
        <v>1</v>
      </c>
      <c r="D139" s="87">
        <f>E111</f>
        <v>10</v>
      </c>
      <c r="E139" s="87"/>
      <c r="F139" s="23" t="s">
        <v>40</v>
      </c>
      <c r="G139" s="54">
        <f>E112</f>
        <v>2.54</v>
      </c>
      <c r="H139" s="23" t="s">
        <v>40</v>
      </c>
      <c r="I139" s="23">
        <f>D135</f>
        <v>30</v>
      </c>
      <c r="J139" s="23" t="s">
        <v>40</v>
      </c>
      <c r="K139" s="23">
        <f>E113</f>
        <v>5</v>
      </c>
      <c r="L139" s="23" t="s">
        <v>40</v>
      </c>
      <c r="M139" s="23">
        <f>E115</f>
        <v>30</v>
      </c>
    </row>
    <row r="141" spans="2:19" x14ac:dyDescent="0.25">
      <c r="B141" s="15" t="s">
        <v>63</v>
      </c>
      <c r="C141" s="15" t="s">
        <v>1</v>
      </c>
      <c r="D141" s="88">
        <f>D139+G139+I139+K139+M139</f>
        <v>77.539999999999992</v>
      </c>
      <c r="E141" s="88"/>
      <c r="F141" s="15" t="s">
        <v>36</v>
      </c>
      <c r="H141" s="15" t="s">
        <v>1</v>
      </c>
      <c r="I141" s="23">
        <f>ROUNDUP(D141/100,1)</f>
        <v>0.79999999999999993</v>
      </c>
      <c r="J141" s="15" t="s">
        <v>18</v>
      </c>
    </row>
    <row r="143" spans="2:19" x14ac:dyDescent="0.25">
      <c r="B143" s="15" t="s">
        <v>64</v>
      </c>
    </row>
    <row r="145" spans="1:19" x14ac:dyDescent="0.25">
      <c r="B145" s="15" t="s">
        <v>63</v>
      </c>
      <c r="C145" s="15" t="s">
        <v>1</v>
      </c>
      <c r="D145" s="82">
        <f>+I141</f>
        <v>0.79999999999999993</v>
      </c>
      <c r="E145" s="82"/>
      <c r="F145" s="15" t="s">
        <v>18</v>
      </c>
    </row>
    <row r="147" spans="1:19" x14ac:dyDescent="0.25">
      <c r="A147" s="19" t="s">
        <v>84</v>
      </c>
      <c r="B147" s="19"/>
      <c r="C147" s="19"/>
      <c r="D147" s="19"/>
      <c r="E147" s="19"/>
      <c r="F147" s="19"/>
      <c r="G147" s="19"/>
    </row>
    <row r="149" spans="1:19" x14ac:dyDescent="0.25">
      <c r="B149" s="55" t="s">
        <v>97</v>
      </c>
      <c r="C149" s="55"/>
      <c r="D149" s="55" t="s">
        <v>117</v>
      </c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</row>
    <row r="151" spans="1:19" ht="16.2" x14ac:dyDescent="0.35">
      <c r="B151" s="19" t="s">
        <v>135</v>
      </c>
      <c r="C151" s="19"/>
      <c r="D151" s="19"/>
      <c r="E151" s="19" t="s">
        <v>1</v>
      </c>
      <c r="F151" s="104">
        <f>+I10</f>
        <v>0.18</v>
      </c>
      <c r="G151" s="104"/>
    </row>
    <row r="152" spans="1:19" x14ac:dyDescent="0.25">
      <c r="F152" s="18"/>
      <c r="G152" s="18"/>
    </row>
    <row r="153" spans="1:19" x14ac:dyDescent="0.25">
      <c r="B153" s="15" t="s">
        <v>111</v>
      </c>
      <c r="S153" s="100"/>
    </row>
    <row r="154" spans="1:19" x14ac:dyDescent="0.25">
      <c r="S154" s="100"/>
    </row>
    <row r="155" spans="1:19" x14ac:dyDescent="0.25">
      <c r="B155" s="15" t="s">
        <v>21</v>
      </c>
      <c r="S155" s="100"/>
    </row>
    <row r="156" spans="1:19" x14ac:dyDescent="0.25">
      <c r="S156" s="100"/>
    </row>
    <row r="157" spans="1:19" x14ac:dyDescent="0.25">
      <c r="B157" s="98" t="s">
        <v>22</v>
      </c>
      <c r="C157" s="81" t="s">
        <v>1</v>
      </c>
      <c r="D157" s="92" t="s">
        <v>23</v>
      </c>
      <c r="E157" s="92"/>
      <c r="S157" s="100"/>
    </row>
    <row r="158" spans="1:19" x14ac:dyDescent="0.25">
      <c r="B158" s="98"/>
      <c r="C158" s="81"/>
      <c r="D158" s="81" t="s">
        <v>25</v>
      </c>
      <c r="E158" s="81"/>
      <c r="S158" s="100"/>
    </row>
    <row r="159" spans="1:19" x14ac:dyDescent="0.25">
      <c r="B159" s="15" t="s">
        <v>26</v>
      </c>
      <c r="S159" s="100"/>
    </row>
    <row r="160" spans="1:19" x14ac:dyDescent="0.25">
      <c r="B160" s="15" t="s">
        <v>24</v>
      </c>
      <c r="D160" s="15" t="s">
        <v>1</v>
      </c>
      <c r="E160" s="15" t="s">
        <v>28</v>
      </c>
      <c r="J160" s="23">
        <v>0.6</v>
      </c>
      <c r="K160" s="23" t="s">
        <v>29</v>
      </c>
      <c r="L160" s="23">
        <v>0.8</v>
      </c>
      <c r="S160" s="100"/>
    </row>
    <row r="161" spans="2:19" x14ac:dyDescent="0.25">
      <c r="J161" s="23"/>
      <c r="K161" s="23"/>
      <c r="L161" s="23"/>
      <c r="S161" s="100"/>
    </row>
    <row r="162" spans="2:19" x14ac:dyDescent="0.25">
      <c r="B162" s="15" t="s">
        <v>23</v>
      </c>
      <c r="D162" s="15" t="s">
        <v>1</v>
      </c>
      <c r="E162" s="34">
        <f>+F151</f>
        <v>0.18</v>
      </c>
      <c r="F162" s="15" t="s">
        <v>2</v>
      </c>
      <c r="S162" s="100"/>
    </row>
    <row r="163" spans="2:19" x14ac:dyDescent="0.25">
      <c r="B163" s="15" t="s">
        <v>27</v>
      </c>
      <c r="D163" s="15" t="s">
        <v>1</v>
      </c>
      <c r="E163" s="34">
        <v>0.6</v>
      </c>
      <c r="F163" s="15" t="s">
        <v>10</v>
      </c>
      <c r="S163" s="100"/>
    </row>
    <row r="164" spans="2:19" x14ac:dyDescent="0.25">
      <c r="B164" s="15" t="s">
        <v>24</v>
      </c>
      <c r="D164" s="15" t="s">
        <v>1</v>
      </c>
      <c r="E164" s="15">
        <f>L160</f>
        <v>0.8</v>
      </c>
      <c r="S164" s="100"/>
    </row>
    <row r="165" spans="2:19" x14ac:dyDescent="0.25">
      <c r="B165" s="15" t="s">
        <v>30</v>
      </c>
      <c r="S165" s="40"/>
    </row>
    <row r="167" spans="2:19" x14ac:dyDescent="0.25">
      <c r="C167" s="81" t="s">
        <v>22</v>
      </c>
      <c r="D167" s="81" t="s">
        <v>1</v>
      </c>
      <c r="E167" s="92">
        <f>E162</f>
        <v>0.18</v>
      </c>
      <c r="F167" s="92"/>
      <c r="G167" s="92"/>
      <c r="H167" s="81" t="s">
        <v>1</v>
      </c>
      <c r="I167" s="81">
        <f>E167/(E168*G168)</f>
        <v>0.375</v>
      </c>
      <c r="J167" s="81" t="s">
        <v>31</v>
      </c>
      <c r="K167" s="81" t="s">
        <v>1</v>
      </c>
      <c r="L167" s="90">
        <f>I167/1000</f>
        <v>3.7500000000000001E-4</v>
      </c>
      <c r="M167" s="90"/>
      <c r="N167" s="81" t="s">
        <v>127</v>
      </c>
    </row>
    <row r="168" spans="2:19" x14ac:dyDescent="0.25">
      <c r="C168" s="81"/>
      <c r="D168" s="81"/>
      <c r="E168" s="41">
        <f>E164</f>
        <v>0.8</v>
      </c>
      <c r="F168" s="41" t="s">
        <v>9</v>
      </c>
      <c r="G168" s="41">
        <f>E163</f>
        <v>0.6</v>
      </c>
      <c r="H168" s="81"/>
      <c r="I168" s="81"/>
      <c r="J168" s="81"/>
      <c r="K168" s="81"/>
      <c r="L168" s="90"/>
      <c r="M168" s="90"/>
      <c r="N168" s="81"/>
    </row>
    <row r="170" spans="2:19" x14ac:dyDescent="0.25">
      <c r="B170" s="15" t="s">
        <v>32</v>
      </c>
    </row>
    <row r="172" spans="2:19" ht="16.2" x14ac:dyDescent="0.25">
      <c r="C172" s="81" t="s">
        <v>33</v>
      </c>
      <c r="D172" s="79" t="s">
        <v>1</v>
      </c>
      <c r="E172" s="86" t="s">
        <v>34</v>
      </c>
      <c r="F172" s="86"/>
      <c r="G172" s="42">
        <v>0.5</v>
      </c>
    </row>
    <row r="173" spans="2:19" x14ac:dyDescent="0.25">
      <c r="C173" s="81"/>
      <c r="D173" s="79"/>
      <c r="E173" s="87" t="s">
        <v>35</v>
      </c>
      <c r="F173" s="87"/>
    </row>
    <row r="175" spans="2:19" ht="16.2" x14ac:dyDescent="0.25">
      <c r="C175" s="81" t="s">
        <v>33</v>
      </c>
      <c r="D175" s="79" t="s">
        <v>1</v>
      </c>
      <c r="E175" s="28">
        <v>4</v>
      </c>
      <c r="F175" s="28" t="s">
        <v>9</v>
      </c>
      <c r="G175" s="80">
        <f>L167</f>
        <v>3.7500000000000001E-4</v>
      </c>
      <c r="H175" s="80"/>
      <c r="I175" s="43">
        <v>0.5</v>
      </c>
      <c r="J175" s="81" t="s">
        <v>1</v>
      </c>
      <c r="K175" s="91">
        <f>((E175*G175)/E176)^G172</f>
        <v>2.1850968611841583E-2</v>
      </c>
      <c r="L175" s="91"/>
      <c r="M175" s="81" t="s">
        <v>18</v>
      </c>
    </row>
    <row r="176" spans="2:19" x14ac:dyDescent="0.25">
      <c r="C176" s="81"/>
      <c r="D176" s="79"/>
      <c r="E176" s="97">
        <f>PI()</f>
        <v>3.1415926535897931</v>
      </c>
      <c r="F176" s="97"/>
      <c r="G176" s="97"/>
      <c r="H176" s="97"/>
      <c r="J176" s="81"/>
      <c r="K176" s="91"/>
      <c r="L176" s="91"/>
      <c r="M176" s="81"/>
    </row>
    <row r="178" spans="2:14" x14ac:dyDescent="0.25">
      <c r="C178" s="23" t="s">
        <v>33</v>
      </c>
      <c r="D178" s="15" t="s">
        <v>1</v>
      </c>
      <c r="E178" s="15">
        <f>K175*100</f>
        <v>2.1850968611841584</v>
      </c>
      <c r="F178" s="15" t="s">
        <v>36</v>
      </c>
      <c r="H178" s="15" t="s">
        <v>1</v>
      </c>
      <c r="I178" s="34">
        <f>E178/2.54</f>
        <v>0.86027435479691272</v>
      </c>
      <c r="J178" s="15" t="s">
        <v>37</v>
      </c>
      <c r="K178" s="15" t="s">
        <v>1</v>
      </c>
      <c r="L178" s="56">
        <v>1</v>
      </c>
      <c r="N178" s="17" t="s">
        <v>118</v>
      </c>
    </row>
    <row r="179" spans="2:14" x14ac:dyDescent="0.25">
      <c r="F179" s="18"/>
      <c r="G179" s="18"/>
    </row>
    <row r="180" spans="2:14" x14ac:dyDescent="0.25">
      <c r="F180" s="18"/>
      <c r="G180" s="18"/>
    </row>
    <row r="181" spans="2:14" x14ac:dyDescent="0.25">
      <c r="B181" s="15" t="s">
        <v>108</v>
      </c>
      <c r="E181" s="15" t="s">
        <v>1</v>
      </c>
      <c r="F181" s="15">
        <v>2</v>
      </c>
      <c r="G181" s="23" t="s">
        <v>9</v>
      </c>
      <c r="H181" s="88">
        <f>+L178</f>
        <v>1</v>
      </c>
      <c r="I181" s="88"/>
      <c r="J181" s="23" t="s">
        <v>1</v>
      </c>
      <c r="K181" s="23">
        <f>F181*H181</f>
        <v>2</v>
      </c>
      <c r="L181" s="15" t="s">
        <v>37</v>
      </c>
    </row>
    <row r="183" spans="2:14" x14ac:dyDescent="0.25">
      <c r="B183" s="15" t="s">
        <v>66</v>
      </c>
    </row>
    <row r="185" spans="2:14" x14ac:dyDescent="0.25">
      <c r="B185" s="15" t="s">
        <v>67</v>
      </c>
      <c r="C185" s="15" t="s">
        <v>68</v>
      </c>
      <c r="D185" s="15" t="s">
        <v>14</v>
      </c>
      <c r="E185" s="15" t="s">
        <v>68</v>
      </c>
      <c r="F185" s="15" t="s">
        <v>69</v>
      </c>
    </row>
    <row r="187" spans="2:14" x14ac:dyDescent="0.25">
      <c r="C187" s="15" t="s">
        <v>14</v>
      </c>
      <c r="D187" s="15" t="s">
        <v>1</v>
      </c>
      <c r="E187" s="15">
        <v>3</v>
      </c>
      <c r="F187" s="15" t="s">
        <v>9</v>
      </c>
      <c r="G187" s="50">
        <f>H181</f>
        <v>1</v>
      </c>
      <c r="H187" s="15" t="s">
        <v>1</v>
      </c>
      <c r="I187" s="15">
        <f>E187*G187*2.54</f>
        <v>7.62</v>
      </c>
      <c r="J187" s="15" t="s">
        <v>1</v>
      </c>
      <c r="K187" s="15">
        <f>ROUND(I187,0)</f>
        <v>8</v>
      </c>
      <c r="L187" s="15" t="s">
        <v>36</v>
      </c>
    </row>
    <row r="188" spans="2:14" x14ac:dyDescent="0.25">
      <c r="C188" s="15" t="s">
        <v>14</v>
      </c>
      <c r="D188" s="15" t="s">
        <v>1</v>
      </c>
      <c r="E188" s="15">
        <v>6</v>
      </c>
      <c r="F188" s="15" t="s">
        <v>9</v>
      </c>
      <c r="G188" s="50">
        <f>G187</f>
        <v>1</v>
      </c>
      <c r="H188" s="15" t="s">
        <v>1</v>
      </c>
      <c r="I188" s="15">
        <f>E188*G188*2.54</f>
        <v>15.24</v>
      </c>
      <c r="J188" s="15" t="s">
        <v>1</v>
      </c>
      <c r="K188" s="15">
        <f>ROUND(I188,0)</f>
        <v>15</v>
      </c>
      <c r="L188" s="15" t="s">
        <v>36</v>
      </c>
    </row>
    <row r="190" spans="2:14" x14ac:dyDescent="0.25">
      <c r="C190" s="15" t="s">
        <v>14</v>
      </c>
      <c r="D190" s="15" t="s">
        <v>1</v>
      </c>
      <c r="E190" s="57">
        <v>20</v>
      </c>
      <c r="F190" s="15" t="s">
        <v>36</v>
      </c>
      <c r="H190" s="15" t="s">
        <v>70</v>
      </c>
    </row>
    <row r="191" spans="2:14" x14ac:dyDescent="0.25">
      <c r="C191" s="15" t="s">
        <v>71</v>
      </c>
      <c r="G191" s="15" t="s">
        <v>1</v>
      </c>
      <c r="H191" s="15">
        <v>10</v>
      </c>
      <c r="I191" s="15" t="s">
        <v>73</v>
      </c>
      <c r="K191" s="58"/>
      <c r="M191" s="58"/>
    </row>
    <row r="192" spans="2:14" x14ac:dyDescent="0.25">
      <c r="C192" s="15" t="s">
        <v>72</v>
      </c>
      <c r="G192" s="15" t="s">
        <v>1</v>
      </c>
      <c r="H192" s="15">
        <v>7.5</v>
      </c>
      <c r="I192" s="15" t="s">
        <v>73</v>
      </c>
    </row>
    <row r="194" spans="1:21" ht="16.2" x14ac:dyDescent="0.25">
      <c r="C194" s="15" t="s">
        <v>82</v>
      </c>
      <c r="I194" s="23" t="s">
        <v>1</v>
      </c>
      <c r="J194" s="23">
        <f>+H192</f>
        <v>7.5</v>
      </c>
      <c r="K194" s="23" t="s">
        <v>9</v>
      </c>
      <c r="L194" s="23">
        <f>+H191</f>
        <v>10</v>
      </c>
      <c r="M194" s="15" t="s">
        <v>1</v>
      </c>
      <c r="N194" s="15">
        <f>J194*L194</f>
        <v>75</v>
      </c>
      <c r="O194" s="15" t="s">
        <v>136</v>
      </c>
      <c r="U194" s="15">
        <v>42</v>
      </c>
    </row>
    <row r="196" spans="1:21" x14ac:dyDescent="0.25">
      <c r="C196" s="15" t="s">
        <v>74</v>
      </c>
      <c r="D196" s="15" t="s">
        <v>1</v>
      </c>
      <c r="E196" s="87">
        <f>N194/1000000</f>
        <v>7.4999999999999993E-5</v>
      </c>
      <c r="F196" s="87"/>
    </row>
    <row r="198" spans="1:21" ht="16.2" x14ac:dyDescent="0.25">
      <c r="C198" s="81" t="s">
        <v>75</v>
      </c>
      <c r="D198" s="81" t="s">
        <v>1</v>
      </c>
      <c r="E198" s="59" t="s">
        <v>35</v>
      </c>
      <c r="F198" s="59" t="s">
        <v>9</v>
      </c>
      <c r="G198" s="60" t="s">
        <v>137</v>
      </c>
      <c r="I198" s="81" t="s">
        <v>75</v>
      </c>
      <c r="J198" s="81" t="s">
        <v>1</v>
      </c>
      <c r="K198" s="59">
        <f>PI()</f>
        <v>3.1415926535897931</v>
      </c>
      <c r="L198" s="59" t="s">
        <v>9</v>
      </c>
      <c r="M198" s="61">
        <f>((H181*2.54)^2)</f>
        <v>6.4516</v>
      </c>
      <c r="N198" s="81" t="s">
        <v>1</v>
      </c>
      <c r="O198" s="81">
        <f>(K198*M198)/K199/10000</f>
        <v>5.0670747909749769E-4</v>
      </c>
      <c r="P198" s="81"/>
      <c r="Q198" s="81" t="s">
        <v>127</v>
      </c>
    </row>
    <row r="199" spans="1:21" x14ac:dyDescent="0.25">
      <c r="C199" s="81"/>
      <c r="D199" s="81"/>
      <c r="E199" s="105">
        <v>4</v>
      </c>
      <c r="F199" s="105"/>
      <c r="G199" s="105"/>
      <c r="I199" s="81"/>
      <c r="J199" s="81"/>
      <c r="K199" s="105">
        <v>4</v>
      </c>
      <c r="L199" s="105"/>
      <c r="M199" s="105"/>
      <c r="N199" s="81"/>
      <c r="O199" s="81"/>
      <c r="P199" s="81"/>
      <c r="Q199" s="81"/>
    </row>
    <row r="201" spans="1:21" ht="16.2" x14ac:dyDescent="0.25">
      <c r="C201" s="15" t="s">
        <v>76</v>
      </c>
      <c r="D201" s="15" t="s">
        <v>1</v>
      </c>
      <c r="E201" s="15">
        <v>2</v>
      </c>
      <c r="F201" s="15" t="s">
        <v>9</v>
      </c>
      <c r="G201" s="15" t="s">
        <v>75</v>
      </c>
      <c r="I201" s="15" t="s">
        <v>76</v>
      </c>
      <c r="J201" s="15" t="s">
        <v>1</v>
      </c>
      <c r="K201" s="15">
        <f>E201</f>
        <v>2</v>
      </c>
      <c r="L201" s="15" t="s">
        <v>9</v>
      </c>
      <c r="M201" s="87">
        <f>O198</f>
        <v>5.0670747909749769E-4</v>
      </c>
      <c r="N201" s="87"/>
      <c r="O201" s="15" t="s">
        <v>1</v>
      </c>
      <c r="P201" s="87">
        <f>K201*M201</f>
        <v>1.0134149581949954E-3</v>
      </c>
      <c r="Q201" s="87"/>
      <c r="R201" s="40" t="s">
        <v>127</v>
      </c>
    </row>
    <row r="202" spans="1:21" x14ac:dyDescent="0.25">
      <c r="R202" s="40"/>
    </row>
    <row r="203" spans="1:21" x14ac:dyDescent="0.25">
      <c r="C203" s="81" t="s">
        <v>77</v>
      </c>
      <c r="D203" s="81"/>
      <c r="E203" s="81"/>
      <c r="F203" s="81"/>
      <c r="G203" s="81" t="s">
        <v>1</v>
      </c>
      <c r="H203" s="92" t="s">
        <v>76</v>
      </c>
      <c r="I203" s="92"/>
      <c r="J203" s="81" t="s">
        <v>1</v>
      </c>
      <c r="K203" s="92">
        <f>P201</f>
        <v>1.0134149581949954E-3</v>
      </c>
      <c r="L203" s="92"/>
      <c r="M203" s="81" t="s">
        <v>1</v>
      </c>
      <c r="N203" s="81">
        <f>ROUND(K203/K204,0)</f>
        <v>14</v>
      </c>
    </row>
    <row r="204" spans="1:21" x14ac:dyDescent="0.25">
      <c r="C204" s="81"/>
      <c r="D204" s="81"/>
      <c r="E204" s="81"/>
      <c r="F204" s="81"/>
      <c r="G204" s="81"/>
      <c r="H204" s="81" t="s">
        <v>74</v>
      </c>
      <c r="I204" s="81"/>
      <c r="J204" s="81"/>
      <c r="K204" s="81">
        <f>E196</f>
        <v>7.4999999999999993E-5</v>
      </c>
      <c r="L204" s="81"/>
      <c r="M204" s="81"/>
      <c r="N204" s="81"/>
    </row>
    <row r="205" spans="1:21" x14ac:dyDescent="0.25"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</row>
    <row r="206" spans="1:21" x14ac:dyDescent="0.25">
      <c r="A206" s="19" t="s">
        <v>78</v>
      </c>
    </row>
    <row r="208" spans="1:21" ht="16.2" x14ac:dyDescent="0.25">
      <c r="C208" s="81" t="s">
        <v>33</v>
      </c>
      <c r="D208" s="81" t="s">
        <v>1</v>
      </c>
      <c r="E208" s="60">
        <v>0.71</v>
      </c>
      <c r="F208" s="59" t="s">
        <v>9</v>
      </c>
      <c r="G208" s="62" t="s">
        <v>79</v>
      </c>
      <c r="H208" s="63">
        <v>0.38</v>
      </c>
      <c r="I208" s="41"/>
      <c r="J208" s="41" t="s">
        <v>12</v>
      </c>
      <c r="K208" s="41" t="s">
        <v>1</v>
      </c>
      <c r="L208" s="64">
        <v>1.4999999999999999E-2</v>
      </c>
      <c r="M208" s="41" t="s">
        <v>80</v>
      </c>
      <c r="N208" s="15" t="s">
        <v>81</v>
      </c>
    </row>
    <row r="209" spans="2:19" ht="16.2" x14ac:dyDescent="0.25">
      <c r="C209" s="81"/>
      <c r="D209" s="81"/>
      <c r="E209" s="41"/>
      <c r="F209" s="41" t="s">
        <v>12</v>
      </c>
      <c r="G209" s="65">
        <v>0.21</v>
      </c>
      <c r="H209" s="41"/>
      <c r="I209" s="41"/>
      <c r="J209" s="41"/>
      <c r="K209" s="41"/>
      <c r="L209" s="41"/>
      <c r="M209" s="41"/>
    </row>
    <row r="210" spans="2:19" x14ac:dyDescent="0.25"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</row>
    <row r="211" spans="2:19" ht="16.2" x14ac:dyDescent="0.25">
      <c r="C211" s="81" t="s">
        <v>33</v>
      </c>
      <c r="D211" s="81" t="s">
        <v>1</v>
      </c>
      <c r="E211" s="60">
        <v>0.71</v>
      </c>
      <c r="F211" s="59" t="s">
        <v>9</v>
      </c>
      <c r="G211" s="62">
        <f>I9*1.1</f>
        <v>0.91300000000000003</v>
      </c>
      <c r="H211" s="63">
        <v>0.38</v>
      </c>
      <c r="I211" s="81" t="s">
        <v>1</v>
      </c>
      <c r="J211" s="103">
        <f>(E211*(G211^H211))/(E212^G212)</f>
        <v>1.6567541982672844</v>
      </c>
      <c r="K211" s="103"/>
      <c r="L211" s="81" t="s">
        <v>1</v>
      </c>
      <c r="M211" s="103">
        <f>+ROUNDUP(J211,0)</f>
        <v>2</v>
      </c>
    </row>
    <row r="212" spans="2:19" ht="16.2" x14ac:dyDescent="0.25">
      <c r="C212" s="81"/>
      <c r="D212" s="81"/>
      <c r="E212" s="106">
        <f>L208</f>
        <v>1.4999999999999999E-2</v>
      </c>
      <c r="F212" s="106"/>
      <c r="G212" s="65">
        <v>0.21</v>
      </c>
      <c r="H212" s="41"/>
      <c r="I212" s="81"/>
      <c r="J212" s="103"/>
      <c r="K212" s="103"/>
      <c r="L212" s="81"/>
      <c r="M212" s="81"/>
    </row>
    <row r="214" spans="2:19" x14ac:dyDescent="0.25">
      <c r="B214" s="15" t="s">
        <v>119</v>
      </c>
      <c r="K214" s="23" t="s">
        <v>1</v>
      </c>
      <c r="L214" s="23">
        <f>+M211</f>
        <v>2</v>
      </c>
      <c r="M214" s="15" t="s">
        <v>120</v>
      </c>
    </row>
    <row r="222" spans="2:19" x14ac:dyDescent="0.25">
      <c r="S222" s="100"/>
    </row>
    <row r="223" spans="2:19" x14ac:dyDescent="0.25">
      <c r="S223" s="100"/>
    </row>
    <row r="224" spans="2:19" x14ac:dyDescent="0.25">
      <c r="S224" s="100"/>
    </row>
    <row r="225" spans="19:19" x14ac:dyDescent="0.25">
      <c r="S225" s="100"/>
    </row>
    <row r="226" spans="19:19" x14ac:dyDescent="0.25">
      <c r="S226" s="100"/>
    </row>
    <row r="227" spans="19:19" x14ac:dyDescent="0.25">
      <c r="S227" s="100"/>
    </row>
    <row r="228" spans="19:19" x14ac:dyDescent="0.25">
      <c r="S228" s="100"/>
    </row>
    <row r="229" spans="19:19" x14ac:dyDescent="0.25">
      <c r="S229" s="100"/>
    </row>
    <row r="230" spans="19:19" x14ac:dyDescent="0.25">
      <c r="S230" s="100"/>
    </row>
    <row r="231" spans="19:19" x14ac:dyDescent="0.25">
      <c r="S231" s="100"/>
    </row>
    <row r="232" spans="19:19" x14ac:dyDescent="0.25">
      <c r="S232" s="53"/>
    </row>
  </sheetData>
  <mergeCells count="127">
    <mergeCell ref="B157:B158"/>
    <mergeCell ref="I211:I212"/>
    <mergeCell ref="J211:K212"/>
    <mergeCell ref="O198:P199"/>
    <mergeCell ref="J203:J204"/>
    <mergeCell ref="C203:F204"/>
    <mergeCell ref="E212:F212"/>
    <mergeCell ref="C208:C209"/>
    <mergeCell ref="D208:D209"/>
    <mergeCell ref="C211:C212"/>
    <mergeCell ref="D211:D212"/>
    <mergeCell ref="C198:C199"/>
    <mergeCell ref="D198:D199"/>
    <mergeCell ref="C167:C168"/>
    <mergeCell ref="D167:D168"/>
    <mergeCell ref="H181:I181"/>
    <mergeCell ref="C172:C173"/>
    <mergeCell ref="D172:D173"/>
    <mergeCell ref="E172:F172"/>
    <mergeCell ref="E173:F173"/>
    <mergeCell ref="K175:L176"/>
    <mergeCell ref="M175:M176"/>
    <mergeCell ref="C175:C176"/>
    <mergeCell ref="E176:H176"/>
    <mergeCell ref="S222:S231"/>
    <mergeCell ref="L211:L212"/>
    <mergeCell ref="M211:M212"/>
    <mergeCell ref="G203:G204"/>
    <mergeCell ref="H203:I203"/>
    <mergeCell ref="H204:I204"/>
    <mergeCell ref="K204:L204"/>
    <mergeCell ref="F151:G151"/>
    <mergeCell ref="S153:S164"/>
    <mergeCell ref="Q198:Q199"/>
    <mergeCell ref="M201:N201"/>
    <mergeCell ref="P201:Q201"/>
    <mergeCell ref="I198:I199"/>
    <mergeCell ref="J198:J199"/>
    <mergeCell ref="K199:M199"/>
    <mergeCell ref="N198:N199"/>
    <mergeCell ref="N203:N204"/>
    <mergeCell ref="M203:M204"/>
    <mergeCell ref="K203:L203"/>
    <mergeCell ref="E196:F196"/>
    <mergeCell ref="E199:G199"/>
    <mergeCell ref="E167:G167"/>
    <mergeCell ref="H167:H168"/>
    <mergeCell ref="L167:M168"/>
    <mergeCell ref="C157:C158"/>
    <mergeCell ref="D157:E157"/>
    <mergeCell ref="D158:E158"/>
    <mergeCell ref="D129:E130"/>
    <mergeCell ref="C119:C120"/>
    <mergeCell ref="D139:E139"/>
    <mergeCell ref="D133:E133"/>
    <mergeCell ref="D135:E135"/>
    <mergeCell ref="S127:S137"/>
    <mergeCell ref="E123:F123"/>
    <mergeCell ref="E124:F124"/>
    <mergeCell ref="J129:J130"/>
    <mergeCell ref="F129:I129"/>
    <mergeCell ref="B129:B130"/>
    <mergeCell ref="K129:L130"/>
    <mergeCell ref="M129:M130"/>
    <mergeCell ref="H130:I130"/>
    <mergeCell ref="I113:S114"/>
    <mergeCell ref="F14:G14"/>
    <mergeCell ref="F16:G16"/>
    <mergeCell ref="N71:N72"/>
    <mergeCell ref="D76:D77"/>
    <mergeCell ref="E71:G71"/>
    <mergeCell ref="I39:I40"/>
    <mergeCell ref="C71:C72"/>
    <mergeCell ref="D61:E61"/>
    <mergeCell ref="D62:E62"/>
    <mergeCell ref="D14:D16"/>
    <mergeCell ref="E14:E16"/>
    <mergeCell ref="B26:S27"/>
    <mergeCell ref="E80:H80"/>
    <mergeCell ref="C79:C80"/>
    <mergeCell ref="D79:D80"/>
    <mergeCell ref="C89:C90"/>
    <mergeCell ref="D89:D90"/>
    <mergeCell ref="G89:G90"/>
    <mergeCell ref="B61:B62"/>
    <mergeCell ref="C61:C62"/>
    <mergeCell ref="B42:E42"/>
    <mergeCell ref="I71:I72"/>
    <mergeCell ref="J71:J72"/>
    <mergeCell ref="D71:D72"/>
    <mergeCell ref="H71:H72"/>
    <mergeCell ref="K71:K72"/>
    <mergeCell ref="L71:M72"/>
    <mergeCell ref="B119:B120"/>
    <mergeCell ref="J79:J80"/>
    <mergeCell ref="K79:L80"/>
    <mergeCell ref="F119:H119"/>
    <mergeCell ref="D119:E120"/>
    <mergeCell ref="J92:M93"/>
    <mergeCell ref="D99:E99"/>
    <mergeCell ref="D102:E102"/>
    <mergeCell ref="M79:M80"/>
    <mergeCell ref="E89:F89"/>
    <mergeCell ref="A3:S5"/>
    <mergeCell ref="D175:D176"/>
    <mergeCell ref="G175:H175"/>
    <mergeCell ref="J175:J176"/>
    <mergeCell ref="D145:E145"/>
    <mergeCell ref="A1:S2"/>
    <mergeCell ref="N92:N93"/>
    <mergeCell ref="C92:C93"/>
    <mergeCell ref="D92:D93"/>
    <mergeCell ref="N167:N168"/>
    <mergeCell ref="G92:G93"/>
    <mergeCell ref="F92:F93"/>
    <mergeCell ref="H92:H93"/>
    <mergeCell ref="I92:I93"/>
    <mergeCell ref="C76:C77"/>
    <mergeCell ref="E76:F76"/>
    <mergeCell ref="E77:F77"/>
    <mergeCell ref="G79:H79"/>
    <mergeCell ref="H89:H90"/>
    <mergeCell ref="D141:E141"/>
    <mergeCell ref="C129:C130"/>
    <mergeCell ref="I167:I168"/>
    <mergeCell ref="J167:J168"/>
    <mergeCell ref="K167:K168"/>
  </mergeCells>
  <phoneticPr fontId="0" type="noConversion"/>
  <printOptions horizontalCentered="1"/>
  <pageMargins left="0.78740157480314965" right="0.78740157480314965" top="0.98425196850393704" bottom="0.98425196850393704" header="0" footer="0"/>
  <pageSetup paperSize="9" scale="90" orientation="portrait" horizontalDpi="4294967294" verticalDpi="300" r:id="rId1"/>
  <headerFooter alignWithMargins="0"/>
  <rowBreaks count="4" manualBreakCount="4">
    <brk id="48" max="18" man="1"/>
    <brk id="90" max="18" man="1"/>
    <brk id="136" max="18" man="1"/>
    <brk id="176" max="1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31283-6362-44A0-8074-AF5E046DF2B0}">
  <dimension ref="A1:W232"/>
  <sheetViews>
    <sheetView zoomScaleNormal="100" zoomScaleSheetLayoutView="100" workbookViewId="0">
      <selection sqref="A1:S215"/>
    </sheetView>
  </sheetViews>
  <sheetFormatPr baseColWidth="10" defaultColWidth="11.44140625" defaultRowHeight="13.8" x14ac:dyDescent="0.25"/>
  <cols>
    <col min="1" max="1" width="4.44140625" style="15" customWidth="1"/>
    <col min="2" max="2" width="4" style="15" customWidth="1"/>
    <col min="3" max="3" width="3.5546875" style="15" customWidth="1"/>
    <col min="4" max="4" width="2.5546875" style="15" customWidth="1"/>
    <col min="5" max="5" width="6.5546875" style="15" customWidth="1"/>
    <col min="6" max="6" width="3.44140625" style="15" customWidth="1"/>
    <col min="7" max="7" width="5.44140625" style="15" customWidth="1"/>
    <col min="8" max="8" width="3.88671875" style="15" customWidth="1"/>
    <col min="9" max="9" width="6.88671875" style="15" customWidth="1"/>
    <col min="10" max="10" width="6.44140625" style="15" customWidth="1"/>
    <col min="11" max="11" width="4.33203125" style="15" customWidth="1"/>
    <col min="12" max="12" width="6.6640625" style="15" customWidth="1"/>
    <col min="13" max="13" width="5" style="15" customWidth="1"/>
    <col min="14" max="14" width="5.44140625" style="15" customWidth="1"/>
    <col min="15" max="15" width="3" style="15" customWidth="1"/>
    <col min="16" max="16" width="5.109375" style="15" customWidth="1"/>
    <col min="17" max="17" width="2.5546875" style="15" customWidth="1"/>
    <col min="18" max="20" width="5.44140625" style="15" customWidth="1"/>
    <col min="21" max="16384" width="11.44140625" style="15"/>
  </cols>
  <sheetData>
    <row r="1" spans="1:23" x14ac:dyDescent="0.25">
      <c r="A1" s="83" t="s">
        <v>140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23" x14ac:dyDescent="0.2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23" ht="15.75" customHeight="1" x14ac:dyDescent="0.25">
      <c r="A3" s="78" t="s">
        <v>139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23" ht="15.75" customHeight="1" x14ac:dyDescent="0.2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23" ht="15.75" customHeight="1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</row>
    <row r="6" spans="1:23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</row>
    <row r="7" spans="1:23" x14ac:dyDescent="0.25">
      <c r="A7" s="15" t="s">
        <v>0</v>
      </c>
    </row>
    <row r="8" spans="1:23" ht="14.4" thickBot="1" x14ac:dyDescent="0.3"/>
    <row r="9" spans="1:23" ht="14.4" thickBot="1" x14ac:dyDescent="0.3">
      <c r="C9" s="15" t="s">
        <v>121</v>
      </c>
      <c r="H9" s="15" t="s">
        <v>1</v>
      </c>
      <c r="I9" s="76">
        <v>0.78</v>
      </c>
      <c r="J9" s="15" t="s">
        <v>2</v>
      </c>
    </row>
    <row r="10" spans="1:23" x14ac:dyDescent="0.25">
      <c r="C10" s="15" t="s">
        <v>8</v>
      </c>
      <c r="H10" s="15" t="s">
        <v>1</v>
      </c>
      <c r="I10" s="74">
        <v>0.18</v>
      </c>
      <c r="J10" s="15" t="s">
        <v>2</v>
      </c>
      <c r="L10" s="15" t="s">
        <v>112</v>
      </c>
    </row>
    <row r="11" spans="1:23" x14ac:dyDescent="0.25">
      <c r="I11" s="74"/>
    </row>
    <row r="12" spans="1:23" x14ac:dyDescent="0.25">
      <c r="A12" s="19" t="s">
        <v>109</v>
      </c>
      <c r="W12" s="20"/>
    </row>
    <row r="13" spans="1:23" ht="9" customHeight="1" x14ac:dyDescent="0.25"/>
    <row r="14" spans="1:23" ht="17.399999999999999" x14ac:dyDescent="0.35">
      <c r="D14" s="81" t="s">
        <v>122</v>
      </c>
      <c r="E14" s="81" t="s">
        <v>1</v>
      </c>
      <c r="F14" s="87" t="s">
        <v>123</v>
      </c>
      <c r="G14" s="87"/>
      <c r="H14" s="21" t="s">
        <v>3</v>
      </c>
    </row>
    <row r="15" spans="1:23" x14ac:dyDescent="0.25">
      <c r="D15" s="81"/>
      <c r="E15" s="81"/>
    </row>
    <row r="16" spans="1:23" x14ac:dyDescent="0.25">
      <c r="D16" s="81"/>
      <c r="E16" s="81"/>
      <c r="F16" s="87">
        <v>1.56</v>
      </c>
      <c r="G16" s="87"/>
    </row>
    <row r="17" spans="1:19" x14ac:dyDescent="0.25">
      <c r="B17" s="15" t="s">
        <v>4</v>
      </c>
    </row>
    <row r="18" spans="1:19" ht="16.2" x14ac:dyDescent="0.35">
      <c r="C18" s="22" t="s">
        <v>124</v>
      </c>
      <c r="D18" s="15" t="s">
        <v>1</v>
      </c>
      <c r="E18" s="15" t="s">
        <v>5</v>
      </c>
    </row>
    <row r="19" spans="1:19" x14ac:dyDescent="0.25">
      <c r="C19" s="22" t="s">
        <v>6</v>
      </c>
      <c r="D19" s="15" t="s">
        <v>1</v>
      </c>
      <c r="E19" s="15" t="s">
        <v>65</v>
      </c>
    </row>
    <row r="20" spans="1:19" ht="16.2" x14ac:dyDescent="0.35">
      <c r="C20" s="22" t="s">
        <v>122</v>
      </c>
      <c r="D20" s="15" t="s">
        <v>1</v>
      </c>
      <c r="E20" s="15" t="s">
        <v>7</v>
      </c>
    </row>
    <row r="21" spans="1:19" ht="9" customHeight="1" x14ac:dyDescent="0.25"/>
    <row r="22" spans="1:19" ht="16.2" x14ac:dyDescent="0.25">
      <c r="C22" s="15">
        <v>2</v>
      </c>
      <c r="D22" s="70" t="s">
        <v>9</v>
      </c>
      <c r="E22" s="70">
        <v>9.81</v>
      </c>
      <c r="F22" s="70" t="s">
        <v>9</v>
      </c>
      <c r="G22" s="24">
        <v>0.4</v>
      </c>
      <c r="H22" s="25">
        <v>0.5</v>
      </c>
    </row>
    <row r="23" spans="1:19" ht="16.2" x14ac:dyDescent="0.35">
      <c r="A23" s="22" t="s">
        <v>122</v>
      </c>
      <c r="B23" s="70" t="s">
        <v>1</v>
      </c>
      <c r="I23" s="70" t="s">
        <v>1</v>
      </c>
      <c r="J23" s="15">
        <f>((C22*E22*G22)/E24)^H22</f>
        <v>2.2429376341684648</v>
      </c>
      <c r="K23" s="15" t="s">
        <v>10</v>
      </c>
    </row>
    <row r="24" spans="1:19" x14ac:dyDescent="0.25">
      <c r="D24" s="70"/>
      <c r="E24" s="70">
        <v>1.56</v>
      </c>
      <c r="F24" s="70"/>
    </row>
    <row r="25" spans="1:19" ht="9.75" customHeight="1" x14ac:dyDescent="0.25"/>
    <row r="26" spans="1:19" x14ac:dyDescent="0.25">
      <c r="B26" s="96" t="s">
        <v>110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</row>
    <row r="27" spans="1:19" x14ac:dyDescent="0.25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</row>
    <row r="28" spans="1:19" x14ac:dyDescent="0.25"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</row>
    <row r="29" spans="1:19" ht="16.2" x14ac:dyDescent="0.35">
      <c r="B29" s="15" t="s">
        <v>125</v>
      </c>
      <c r="G29" s="75">
        <f>IF(J23&gt;0.6,0.6,J23)</f>
        <v>0.6</v>
      </c>
      <c r="H29" s="15" t="s">
        <v>11</v>
      </c>
    </row>
    <row r="31" spans="1:19" ht="17.399999999999999" x14ac:dyDescent="0.35">
      <c r="C31" s="15">
        <v>2</v>
      </c>
      <c r="D31" s="70" t="s">
        <v>9</v>
      </c>
      <c r="E31" s="70">
        <v>9.81</v>
      </c>
      <c r="F31" s="70" t="s">
        <v>9</v>
      </c>
      <c r="G31" s="75" t="s">
        <v>124</v>
      </c>
      <c r="H31" s="25">
        <v>0.5</v>
      </c>
    </row>
    <row r="32" spans="1:19" ht="16.2" x14ac:dyDescent="0.35">
      <c r="A32" s="22">
        <f>G29</f>
        <v>0.6</v>
      </c>
      <c r="B32" s="70" t="s">
        <v>1</v>
      </c>
      <c r="I32" s="70"/>
      <c r="J32" s="22" t="s">
        <v>124</v>
      </c>
      <c r="K32" s="70" t="s">
        <v>1</v>
      </c>
      <c r="L32" s="17">
        <f>((A32^2)*E33)/(C31*E31)</f>
        <v>2.8623853211009173E-2</v>
      </c>
      <c r="M32" s="15" t="s">
        <v>18</v>
      </c>
    </row>
    <row r="33" spans="2:10" x14ac:dyDescent="0.25">
      <c r="D33" s="70"/>
      <c r="E33" s="70">
        <v>1.56</v>
      </c>
      <c r="F33" s="70"/>
    </row>
    <row r="34" spans="2:10" ht="8.25" customHeight="1" x14ac:dyDescent="0.25"/>
    <row r="35" spans="2:10" x14ac:dyDescent="0.25">
      <c r="B35" s="28"/>
      <c r="C35" s="28"/>
      <c r="D35" s="28"/>
      <c r="E35" s="28"/>
    </row>
    <row r="36" spans="2:10" x14ac:dyDescent="0.25">
      <c r="F36" s="29"/>
    </row>
    <row r="37" spans="2:10" x14ac:dyDescent="0.25">
      <c r="F37" s="29"/>
      <c r="I37" s="70" t="s">
        <v>12</v>
      </c>
    </row>
    <row r="38" spans="2:10" x14ac:dyDescent="0.25">
      <c r="F38" s="30"/>
      <c r="I38" s="70"/>
      <c r="J38" s="15" t="s">
        <v>96</v>
      </c>
    </row>
    <row r="39" spans="2:10" ht="12.75" customHeight="1" x14ac:dyDescent="0.25">
      <c r="I39" s="81" t="s">
        <v>124</v>
      </c>
    </row>
    <row r="40" spans="2:10" x14ac:dyDescent="0.25">
      <c r="F40" s="28"/>
      <c r="I40" s="81"/>
    </row>
    <row r="41" spans="2:10" x14ac:dyDescent="0.25">
      <c r="F41" s="29"/>
    </row>
    <row r="42" spans="2:10" x14ac:dyDescent="0.25">
      <c r="B42" s="87" t="s">
        <v>14</v>
      </c>
      <c r="C42" s="87"/>
      <c r="D42" s="87"/>
      <c r="E42" s="89"/>
      <c r="F42" s="29"/>
    </row>
    <row r="43" spans="2:10" x14ac:dyDescent="0.25">
      <c r="F43" s="29"/>
    </row>
    <row r="45" spans="2:10" x14ac:dyDescent="0.25">
      <c r="B45" s="15" t="s">
        <v>126</v>
      </c>
    </row>
    <row r="46" spans="2:10" ht="8.25" customHeight="1" x14ac:dyDescent="0.25"/>
    <row r="47" spans="2:10" x14ac:dyDescent="0.25">
      <c r="B47" s="15" t="s">
        <v>15</v>
      </c>
    </row>
    <row r="48" spans="2:10" ht="7.5" customHeight="1" x14ac:dyDescent="0.25"/>
    <row r="49" spans="1:19" ht="16.2" x14ac:dyDescent="0.35">
      <c r="B49" s="70" t="s">
        <v>12</v>
      </c>
      <c r="C49" s="70" t="s">
        <v>1</v>
      </c>
      <c r="D49" s="70" t="s">
        <v>96</v>
      </c>
      <c r="E49" s="70" t="s">
        <v>16</v>
      </c>
      <c r="F49" s="70" t="s">
        <v>124</v>
      </c>
      <c r="G49" s="70"/>
      <c r="H49" s="70" t="s">
        <v>20</v>
      </c>
      <c r="I49" s="22" t="s">
        <v>14</v>
      </c>
      <c r="J49" s="70" t="s">
        <v>1</v>
      </c>
      <c r="K49" s="70" t="s">
        <v>12</v>
      </c>
      <c r="L49" s="31" t="s">
        <v>19</v>
      </c>
      <c r="M49" s="75">
        <v>0.3</v>
      </c>
      <c r="N49" s="75"/>
    </row>
    <row r="50" spans="1:19" ht="7.5" customHeight="1" x14ac:dyDescent="0.25"/>
    <row r="51" spans="1:19" x14ac:dyDescent="0.25">
      <c r="B51" s="15" t="s">
        <v>17</v>
      </c>
    </row>
    <row r="52" spans="1:19" ht="8.25" customHeight="1" thickBot="1" x14ac:dyDescent="0.3"/>
    <row r="53" spans="1:19" ht="14.4" thickBot="1" x14ac:dyDescent="0.3">
      <c r="C53" s="15" t="s">
        <v>12</v>
      </c>
      <c r="D53" s="15" t="s">
        <v>1</v>
      </c>
      <c r="E53" s="32">
        <v>0.24</v>
      </c>
      <c r="F53" s="70" t="s">
        <v>16</v>
      </c>
      <c r="G53" s="75">
        <f>L32</f>
        <v>2.8623853211009173E-2</v>
      </c>
      <c r="H53" s="70" t="s">
        <v>1</v>
      </c>
      <c r="I53" s="68">
        <f>E53-G53</f>
        <v>0.2113761467889908</v>
      </c>
      <c r="J53" s="15" t="s">
        <v>18</v>
      </c>
      <c r="K53" s="15" t="s">
        <v>20</v>
      </c>
      <c r="L53" s="22" t="s">
        <v>14</v>
      </c>
      <c r="M53" s="15" t="s">
        <v>1</v>
      </c>
      <c r="N53" s="34">
        <f>I53</f>
        <v>0.2113761467889908</v>
      </c>
      <c r="O53" s="31" t="s">
        <v>19</v>
      </c>
      <c r="P53" s="75">
        <f>M49</f>
        <v>0.3</v>
      </c>
      <c r="Q53" s="15" t="s">
        <v>1</v>
      </c>
      <c r="R53" s="77">
        <f>N53/P53</f>
        <v>0.70458715596330268</v>
      </c>
      <c r="S53" s="15" t="s">
        <v>18</v>
      </c>
    </row>
    <row r="54" spans="1:19" ht="9" customHeight="1" x14ac:dyDescent="0.25"/>
    <row r="55" spans="1:19" x14ac:dyDescent="0.25">
      <c r="A55" s="19" t="s">
        <v>83</v>
      </c>
      <c r="B55" s="35"/>
      <c r="C55" s="36"/>
      <c r="D55" s="36"/>
      <c r="E55" s="37"/>
      <c r="F55" s="75"/>
      <c r="G55" s="75"/>
      <c r="I55" s="68"/>
    </row>
    <row r="56" spans="1:19" x14ac:dyDescent="0.25">
      <c r="A56" s="19"/>
      <c r="B56" s="35"/>
      <c r="C56" s="36"/>
      <c r="D56" s="36"/>
      <c r="E56" s="37"/>
      <c r="F56" s="75"/>
      <c r="G56" s="75"/>
      <c r="I56" s="68"/>
    </row>
    <row r="57" spans="1:19" x14ac:dyDescent="0.25">
      <c r="B57" s="38" t="s">
        <v>111</v>
      </c>
      <c r="S57" s="39"/>
    </row>
    <row r="58" spans="1:19" x14ac:dyDescent="0.25">
      <c r="S58" s="39"/>
    </row>
    <row r="59" spans="1:19" x14ac:dyDescent="0.25">
      <c r="B59" s="15" t="s">
        <v>21</v>
      </c>
      <c r="S59" s="39"/>
    </row>
    <row r="60" spans="1:19" x14ac:dyDescent="0.25">
      <c r="S60" s="39"/>
    </row>
    <row r="61" spans="1:19" x14ac:dyDescent="0.25">
      <c r="B61" s="98" t="s">
        <v>22</v>
      </c>
      <c r="C61" s="81" t="s">
        <v>1</v>
      </c>
      <c r="D61" s="92" t="s">
        <v>23</v>
      </c>
      <c r="E61" s="92"/>
      <c r="S61" s="39"/>
    </row>
    <row r="62" spans="1:19" ht="12.75" customHeight="1" x14ac:dyDescent="0.25">
      <c r="B62" s="98"/>
      <c r="C62" s="81"/>
      <c r="D62" s="81" t="s">
        <v>25</v>
      </c>
      <c r="E62" s="81"/>
      <c r="S62" s="39"/>
    </row>
    <row r="63" spans="1:19" x14ac:dyDescent="0.25">
      <c r="B63" s="15" t="s">
        <v>26</v>
      </c>
      <c r="S63" s="39"/>
    </row>
    <row r="64" spans="1:19" x14ac:dyDescent="0.25">
      <c r="B64" s="15" t="s">
        <v>24</v>
      </c>
      <c r="D64" s="15" t="s">
        <v>1</v>
      </c>
      <c r="E64" s="15" t="s">
        <v>28</v>
      </c>
      <c r="J64" s="70">
        <v>0.6</v>
      </c>
      <c r="K64" s="70" t="s">
        <v>29</v>
      </c>
      <c r="L64" s="70">
        <v>0.8</v>
      </c>
      <c r="S64" s="39"/>
    </row>
    <row r="65" spans="2:19" x14ac:dyDescent="0.25">
      <c r="J65" s="70"/>
      <c r="K65" s="70"/>
      <c r="L65" s="70"/>
      <c r="S65" s="39"/>
    </row>
    <row r="66" spans="2:19" x14ac:dyDescent="0.25">
      <c r="B66" s="15" t="s">
        <v>23</v>
      </c>
      <c r="D66" s="15" t="s">
        <v>1</v>
      </c>
      <c r="E66" s="34">
        <f>I9</f>
        <v>0.78</v>
      </c>
      <c r="F66" s="15" t="s">
        <v>2</v>
      </c>
      <c r="S66" s="39"/>
    </row>
    <row r="67" spans="2:19" x14ac:dyDescent="0.25">
      <c r="B67" s="15" t="s">
        <v>27</v>
      </c>
      <c r="D67" s="15" t="s">
        <v>1</v>
      </c>
      <c r="E67" s="34">
        <v>0.6</v>
      </c>
      <c r="F67" s="15" t="s">
        <v>10</v>
      </c>
      <c r="S67" s="39"/>
    </row>
    <row r="68" spans="2:19" x14ac:dyDescent="0.25">
      <c r="B68" s="15" t="s">
        <v>24</v>
      </c>
      <c r="D68" s="15" t="s">
        <v>1</v>
      </c>
      <c r="E68" s="15">
        <v>0.7</v>
      </c>
      <c r="S68" s="39"/>
    </row>
    <row r="69" spans="2:19" x14ac:dyDescent="0.25">
      <c r="B69" s="15" t="s">
        <v>30</v>
      </c>
      <c r="S69" s="67"/>
    </row>
    <row r="70" spans="2:19" ht="9" customHeight="1" x14ac:dyDescent="0.25"/>
    <row r="71" spans="2:19" x14ac:dyDescent="0.25">
      <c r="C71" s="81" t="s">
        <v>22</v>
      </c>
      <c r="D71" s="81" t="s">
        <v>1</v>
      </c>
      <c r="E71" s="92">
        <f>E66</f>
        <v>0.78</v>
      </c>
      <c r="F71" s="92"/>
      <c r="G71" s="92"/>
      <c r="H71" s="81" t="s">
        <v>1</v>
      </c>
      <c r="I71" s="81">
        <f>E71/(E72*G72)</f>
        <v>1.8571428571428572</v>
      </c>
      <c r="J71" s="81" t="s">
        <v>31</v>
      </c>
      <c r="K71" s="81" t="s">
        <v>1</v>
      </c>
      <c r="L71" s="90">
        <f>I71/1000</f>
        <v>1.8571428571428571E-3</v>
      </c>
      <c r="M71" s="90"/>
      <c r="N71" s="81" t="s">
        <v>127</v>
      </c>
    </row>
    <row r="72" spans="2:19" x14ac:dyDescent="0.25">
      <c r="C72" s="81"/>
      <c r="D72" s="81"/>
      <c r="E72" s="41">
        <f>E68</f>
        <v>0.7</v>
      </c>
      <c r="F72" s="41" t="s">
        <v>9</v>
      </c>
      <c r="G72" s="41">
        <f>E67</f>
        <v>0.6</v>
      </c>
      <c r="H72" s="81"/>
      <c r="I72" s="81"/>
      <c r="J72" s="81"/>
      <c r="K72" s="81"/>
      <c r="L72" s="90"/>
      <c r="M72" s="90"/>
      <c r="N72" s="81"/>
    </row>
    <row r="73" spans="2:19" ht="8.25" customHeight="1" x14ac:dyDescent="0.25"/>
    <row r="74" spans="2:19" x14ac:dyDescent="0.25">
      <c r="B74" s="15" t="s">
        <v>32</v>
      </c>
    </row>
    <row r="76" spans="2:19" ht="16.2" x14ac:dyDescent="0.25">
      <c r="C76" s="81" t="s">
        <v>33</v>
      </c>
      <c r="D76" s="79" t="s">
        <v>1</v>
      </c>
      <c r="E76" s="86" t="s">
        <v>34</v>
      </c>
      <c r="F76" s="86"/>
      <c r="G76" s="42">
        <v>0.5</v>
      </c>
    </row>
    <row r="77" spans="2:19" x14ac:dyDescent="0.25">
      <c r="C77" s="81"/>
      <c r="D77" s="79"/>
      <c r="E77" s="87" t="s">
        <v>35</v>
      </c>
      <c r="F77" s="87"/>
    </row>
    <row r="79" spans="2:19" ht="16.2" x14ac:dyDescent="0.25">
      <c r="C79" s="81" t="s">
        <v>33</v>
      </c>
      <c r="D79" s="79" t="s">
        <v>1</v>
      </c>
      <c r="E79" s="28">
        <v>4</v>
      </c>
      <c r="F79" s="28" t="s">
        <v>9</v>
      </c>
      <c r="G79" s="80">
        <f>L71</f>
        <v>1.8571428571428571E-3</v>
      </c>
      <c r="H79" s="80"/>
      <c r="I79" s="43">
        <v>0.5</v>
      </c>
      <c r="J79" s="81" t="s">
        <v>1</v>
      </c>
      <c r="K79" s="91">
        <f>((E79*G79)/E80)^G76</f>
        <v>4.8627026702613957E-2</v>
      </c>
      <c r="L79" s="91"/>
      <c r="M79" s="81" t="s">
        <v>18</v>
      </c>
    </row>
    <row r="80" spans="2:19" x14ac:dyDescent="0.25">
      <c r="C80" s="81"/>
      <c r="D80" s="79"/>
      <c r="E80" s="97">
        <f>PI()</f>
        <v>3.1415926535897931</v>
      </c>
      <c r="F80" s="97"/>
      <c r="G80" s="97"/>
      <c r="H80" s="97"/>
      <c r="J80" s="81"/>
      <c r="K80" s="91"/>
      <c r="L80" s="91"/>
      <c r="M80" s="81"/>
    </row>
    <row r="82" spans="2:14" x14ac:dyDescent="0.25">
      <c r="C82" s="70" t="s">
        <v>33</v>
      </c>
      <c r="D82" s="15" t="s">
        <v>1</v>
      </c>
      <c r="E82" s="34">
        <f>K79*100</f>
        <v>4.8627026702613954</v>
      </c>
      <c r="F82" s="15" t="s">
        <v>36</v>
      </c>
      <c r="H82" s="15" t="s">
        <v>1</v>
      </c>
      <c r="I82" s="68">
        <f>+E82/2.54</f>
        <v>1.9144498701816517</v>
      </c>
      <c r="J82" s="15" t="s">
        <v>37</v>
      </c>
      <c r="L82" s="44"/>
      <c r="N82" s="17"/>
    </row>
    <row r="83" spans="2:14" x14ac:dyDescent="0.25">
      <c r="C83" s="70"/>
      <c r="I83" s="44"/>
      <c r="N83" s="17"/>
    </row>
    <row r="84" spans="2:14" x14ac:dyDescent="0.25">
      <c r="B84" s="38" t="s">
        <v>38</v>
      </c>
    </row>
    <row r="86" spans="2:14" x14ac:dyDescent="0.25">
      <c r="B86" s="15" t="s">
        <v>41</v>
      </c>
      <c r="F86" s="15" t="s">
        <v>42</v>
      </c>
      <c r="G86" s="15" t="s">
        <v>43</v>
      </c>
    </row>
    <row r="87" spans="2:14" x14ac:dyDescent="0.25">
      <c r="B87" s="15" t="s">
        <v>44</v>
      </c>
      <c r="D87" s="15" t="s">
        <v>1</v>
      </c>
      <c r="E87" s="45">
        <v>1</v>
      </c>
      <c r="G87" s="15" t="s">
        <v>45</v>
      </c>
      <c r="I87" s="70" t="s">
        <v>1</v>
      </c>
      <c r="J87" s="46">
        <f>E87*2.54</f>
        <v>2.54</v>
      </c>
      <c r="K87" s="15" t="s">
        <v>85</v>
      </c>
    </row>
    <row r="88" spans="2:14" x14ac:dyDescent="0.25">
      <c r="E88" s="45"/>
      <c r="I88" s="70"/>
      <c r="J88" s="46"/>
    </row>
    <row r="89" spans="2:14" ht="17.399999999999999" x14ac:dyDescent="0.35">
      <c r="C89" s="81" t="s">
        <v>39</v>
      </c>
      <c r="D89" s="81" t="s">
        <v>1</v>
      </c>
      <c r="E89" s="94" t="s">
        <v>128</v>
      </c>
      <c r="F89" s="94"/>
      <c r="G89" s="81" t="s">
        <v>40</v>
      </c>
      <c r="H89" s="81">
        <v>1</v>
      </c>
    </row>
    <row r="90" spans="2:14" ht="17.399999999999999" x14ac:dyDescent="0.35">
      <c r="C90" s="81"/>
      <c r="D90" s="81"/>
      <c r="E90" s="15" t="s">
        <v>129</v>
      </c>
      <c r="G90" s="81"/>
      <c r="H90" s="81"/>
      <c r="L90" s="47"/>
    </row>
    <row r="92" spans="2:14" x14ac:dyDescent="0.25">
      <c r="C92" s="81" t="s">
        <v>39</v>
      </c>
      <c r="D92" s="81" t="s">
        <v>1</v>
      </c>
      <c r="E92" s="48">
        <f>E82^2</f>
        <v>23.645877259367303</v>
      </c>
      <c r="F92" s="81" t="s">
        <v>40</v>
      </c>
      <c r="G92" s="81">
        <v>1</v>
      </c>
      <c r="H92" s="81" t="s">
        <v>1</v>
      </c>
      <c r="I92" s="85">
        <f>(E92/E93)+G92</f>
        <v>4.6651183054385434</v>
      </c>
      <c r="J92" s="81" t="s">
        <v>46</v>
      </c>
      <c r="K92" s="81"/>
      <c r="L92" s="81"/>
      <c r="M92" s="81"/>
      <c r="N92" s="84">
        <f>+FLOOR(I92,1)</f>
        <v>4</v>
      </c>
    </row>
    <row r="93" spans="2:14" x14ac:dyDescent="0.25">
      <c r="C93" s="81"/>
      <c r="D93" s="81"/>
      <c r="E93" s="68">
        <f>(E87*2.54)^2</f>
        <v>6.4516</v>
      </c>
      <c r="F93" s="81"/>
      <c r="G93" s="81"/>
      <c r="H93" s="81"/>
      <c r="I93" s="85"/>
      <c r="J93" s="81"/>
      <c r="K93" s="81"/>
      <c r="L93" s="81"/>
      <c r="M93" s="81"/>
      <c r="N93" s="84"/>
    </row>
    <row r="94" spans="2:14" ht="8.25" customHeight="1" x14ac:dyDescent="0.25"/>
    <row r="95" spans="2:14" x14ac:dyDescent="0.25">
      <c r="B95" s="38" t="s">
        <v>113</v>
      </c>
      <c r="E95" s="49"/>
      <c r="G95" s="49"/>
    </row>
    <row r="96" spans="2:14" ht="7.5" customHeight="1" x14ac:dyDescent="0.25"/>
    <row r="97" spans="1:9" x14ac:dyDescent="0.25">
      <c r="B97" s="15" t="s">
        <v>100</v>
      </c>
    </row>
    <row r="98" spans="1:9" ht="6.75" customHeight="1" x14ac:dyDescent="0.25"/>
    <row r="99" spans="1:9" ht="12.75" customHeight="1" x14ac:dyDescent="0.25">
      <c r="B99" s="15" t="s">
        <v>47</v>
      </c>
      <c r="C99" s="15" t="s">
        <v>1</v>
      </c>
      <c r="D99" s="87">
        <f>9*J87+4*J87*N92</f>
        <v>63.5</v>
      </c>
      <c r="E99" s="87"/>
      <c r="F99" s="15" t="s">
        <v>36</v>
      </c>
    </row>
    <row r="100" spans="1:9" x14ac:dyDescent="0.25">
      <c r="B100" s="15" t="s">
        <v>48</v>
      </c>
    </row>
    <row r="101" spans="1:9" ht="7.5" customHeight="1" x14ac:dyDescent="0.25"/>
    <row r="102" spans="1:9" x14ac:dyDescent="0.25">
      <c r="B102" s="15" t="s">
        <v>47</v>
      </c>
      <c r="C102" s="15" t="s">
        <v>1</v>
      </c>
      <c r="D102" s="93">
        <v>0.7</v>
      </c>
      <c r="E102" s="93"/>
      <c r="F102" s="15" t="s">
        <v>18</v>
      </c>
    </row>
    <row r="103" spans="1:9" ht="12.6" customHeight="1" x14ac:dyDescent="0.25"/>
    <row r="104" spans="1:9" s="19" customFormat="1" x14ac:dyDescent="0.25">
      <c r="A104" s="19" t="s">
        <v>114</v>
      </c>
    </row>
    <row r="106" spans="1:9" x14ac:dyDescent="0.25">
      <c r="B106" s="15" t="s">
        <v>49</v>
      </c>
    </row>
    <row r="107" spans="1:9" ht="6.75" customHeight="1" x14ac:dyDescent="0.25"/>
    <row r="108" spans="1:9" x14ac:dyDescent="0.25">
      <c r="A108" s="15" t="s">
        <v>50</v>
      </c>
      <c r="B108" s="15" t="s">
        <v>51</v>
      </c>
      <c r="I108" s="15" t="s">
        <v>102</v>
      </c>
    </row>
    <row r="109" spans="1:9" ht="5.25" customHeight="1" x14ac:dyDescent="0.25"/>
    <row r="110" spans="1:9" x14ac:dyDescent="0.25">
      <c r="B110" s="15" t="s">
        <v>52</v>
      </c>
    </row>
    <row r="111" spans="1:9" x14ac:dyDescent="0.25">
      <c r="C111" s="15" t="s">
        <v>22</v>
      </c>
      <c r="D111" s="15" t="s">
        <v>1</v>
      </c>
      <c r="E111" s="15">
        <v>10</v>
      </c>
      <c r="F111" s="15" t="s">
        <v>36</v>
      </c>
    </row>
    <row r="112" spans="1:9" x14ac:dyDescent="0.25">
      <c r="C112" s="15" t="s">
        <v>53</v>
      </c>
      <c r="D112" s="15" t="s">
        <v>1</v>
      </c>
      <c r="E112" s="50">
        <f>G112*2.54</f>
        <v>2.54</v>
      </c>
      <c r="F112" s="15" t="s">
        <v>36</v>
      </c>
      <c r="G112" s="51">
        <f>+L178</f>
        <v>1</v>
      </c>
      <c r="H112" s="15" t="s">
        <v>37</v>
      </c>
      <c r="I112" s="15" t="s">
        <v>115</v>
      </c>
    </row>
    <row r="113" spans="2:19" x14ac:dyDescent="0.25">
      <c r="C113" s="15" t="s">
        <v>33</v>
      </c>
      <c r="D113" s="15" t="s">
        <v>1</v>
      </c>
      <c r="E113" s="15">
        <v>5</v>
      </c>
      <c r="F113" s="15" t="s">
        <v>36</v>
      </c>
      <c r="I113" s="95" t="s">
        <v>54</v>
      </c>
      <c r="J113" s="95"/>
      <c r="K113" s="95"/>
      <c r="L113" s="95"/>
      <c r="M113" s="95"/>
      <c r="N113" s="95"/>
      <c r="O113" s="95"/>
      <c r="P113" s="95"/>
      <c r="Q113" s="95"/>
      <c r="R113" s="95"/>
      <c r="S113" s="95"/>
    </row>
    <row r="114" spans="2:19" x14ac:dyDescent="0.25"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</row>
    <row r="115" spans="2:19" x14ac:dyDescent="0.25">
      <c r="C115" s="15" t="s">
        <v>55</v>
      </c>
      <c r="D115" s="15" t="s">
        <v>1</v>
      </c>
      <c r="E115" s="15">
        <v>30</v>
      </c>
      <c r="F115" s="15" t="s">
        <v>36</v>
      </c>
      <c r="I115" s="15" t="s">
        <v>101</v>
      </c>
      <c r="L115" s="70"/>
    </row>
    <row r="116" spans="2:19" ht="7.5" customHeight="1" x14ac:dyDescent="0.25"/>
    <row r="117" spans="2:19" x14ac:dyDescent="0.25">
      <c r="B117" s="15" t="s">
        <v>56</v>
      </c>
    </row>
    <row r="119" spans="2:19" ht="16.2" x14ac:dyDescent="0.25">
      <c r="B119" s="81" t="s">
        <v>13</v>
      </c>
      <c r="C119" s="81" t="s">
        <v>1</v>
      </c>
      <c r="D119" s="81">
        <v>1.56</v>
      </c>
      <c r="E119" s="81"/>
      <c r="F119" s="92" t="s">
        <v>130</v>
      </c>
      <c r="G119" s="92"/>
      <c r="H119" s="92"/>
    </row>
    <row r="120" spans="2:19" ht="16.2" x14ac:dyDescent="0.25">
      <c r="B120" s="81"/>
      <c r="C120" s="81"/>
      <c r="D120" s="81"/>
      <c r="E120" s="81"/>
      <c r="F120" s="41">
        <v>2</v>
      </c>
      <c r="G120" s="67" t="s">
        <v>6</v>
      </c>
      <c r="H120" s="66" t="s">
        <v>131</v>
      </c>
    </row>
    <row r="121" spans="2:19" ht="9" customHeight="1" x14ac:dyDescent="0.25"/>
    <row r="122" spans="2:19" x14ac:dyDescent="0.25">
      <c r="B122" s="15" t="s">
        <v>52</v>
      </c>
    </row>
    <row r="123" spans="2:19" ht="16.2" x14ac:dyDescent="0.25">
      <c r="B123" s="15" t="s">
        <v>57</v>
      </c>
      <c r="D123" s="15" t="s">
        <v>1</v>
      </c>
      <c r="E123" s="101">
        <f>I10/1000</f>
        <v>1.7999999999999998E-4</v>
      </c>
      <c r="F123" s="101"/>
      <c r="G123" s="15" t="s">
        <v>132</v>
      </c>
      <c r="H123" s="15" t="s">
        <v>58</v>
      </c>
    </row>
    <row r="124" spans="2:19" ht="16.2" x14ac:dyDescent="0.25">
      <c r="B124" s="15" t="s">
        <v>22</v>
      </c>
      <c r="D124" s="15" t="s">
        <v>1</v>
      </c>
      <c r="E124" s="102">
        <f>PI()*E112^2/4/10000</f>
        <v>5.0670747909749769E-4</v>
      </c>
      <c r="F124" s="102"/>
      <c r="G124" s="15" t="s">
        <v>133</v>
      </c>
      <c r="H124" s="15" t="s">
        <v>59</v>
      </c>
    </row>
    <row r="125" spans="2:19" ht="16.2" x14ac:dyDescent="0.25">
      <c r="B125" s="15" t="s">
        <v>6</v>
      </c>
      <c r="D125" s="15" t="s">
        <v>1</v>
      </c>
      <c r="E125" s="15">
        <f>E22</f>
        <v>9.81</v>
      </c>
      <c r="G125" s="15" t="s">
        <v>134</v>
      </c>
      <c r="H125" s="15" t="s">
        <v>60</v>
      </c>
    </row>
    <row r="126" spans="2:19" ht="9.75" customHeight="1" x14ac:dyDescent="0.25"/>
    <row r="127" spans="2:19" x14ac:dyDescent="0.25">
      <c r="B127" s="15" t="s">
        <v>61</v>
      </c>
      <c r="S127" s="100"/>
    </row>
    <row r="128" spans="2:19" ht="9.75" customHeight="1" x14ac:dyDescent="0.25">
      <c r="S128" s="100"/>
    </row>
    <row r="129" spans="2:19" x14ac:dyDescent="0.25">
      <c r="B129" s="81" t="s">
        <v>13</v>
      </c>
      <c r="C129" s="81" t="s">
        <v>1</v>
      </c>
      <c r="D129" s="81">
        <f>D119</f>
        <v>1.56</v>
      </c>
      <c r="E129" s="81"/>
      <c r="F129" s="92">
        <f>E123^2</f>
        <v>3.2399999999999992E-8</v>
      </c>
      <c r="G129" s="92"/>
      <c r="H129" s="92"/>
      <c r="I129" s="92"/>
      <c r="J129" s="81" t="s">
        <v>1</v>
      </c>
      <c r="K129" s="91">
        <f>D129*(F129/(F130*G130*H130))</f>
        <v>1.003358135280435E-2</v>
      </c>
      <c r="L129" s="91"/>
      <c r="M129" s="81" t="s">
        <v>18</v>
      </c>
      <c r="S129" s="100"/>
    </row>
    <row r="130" spans="2:19" ht="17.25" customHeight="1" x14ac:dyDescent="0.25">
      <c r="B130" s="81"/>
      <c r="C130" s="81"/>
      <c r="D130" s="81"/>
      <c r="E130" s="81"/>
      <c r="F130" s="67">
        <f>F120</f>
        <v>2</v>
      </c>
      <c r="G130" s="41">
        <f>E125</f>
        <v>9.81</v>
      </c>
      <c r="H130" s="81">
        <f>E124^2</f>
        <v>2.5675246937334108E-7</v>
      </c>
      <c r="I130" s="81"/>
      <c r="J130" s="81"/>
      <c r="K130" s="91"/>
      <c r="L130" s="91"/>
      <c r="M130" s="81"/>
      <c r="S130" s="100"/>
    </row>
    <row r="131" spans="2:19" ht="10.5" customHeight="1" x14ac:dyDescent="0.25">
      <c r="B131" s="70"/>
      <c r="C131" s="70"/>
      <c r="S131" s="100"/>
    </row>
    <row r="132" spans="2:19" ht="10.5" customHeight="1" x14ac:dyDescent="0.25">
      <c r="B132" s="70"/>
      <c r="C132" s="70"/>
      <c r="S132" s="100"/>
    </row>
    <row r="133" spans="2:19" x14ac:dyDescent="0.25">
      <c r="B133" s="70" t="s">
        <v>13</v>
      </c>
      <c r="C133" s="70" t="s">
        <v>1</v>
      </c>
      <c r="D133" s="99">
        <f>K129*100</f>
        <v>1.003358135280435</v>
      </c>
      <c r="E133" s="99"/>
      <c r="F133" s="15" t="s">
        <v>36</v>
      </c>
      <c r="S133" s="100"/>
    </row>
    <row r="134" spans="2:19" x14ac:dyDescent="0.25">
      <c r="B134" s="70"/>
      <c r="C134" s="70"/>
      <c r="S134" s="100"/>
    </row>
    <row r="135" spans="2:19" x14ac:dyDescent="0.25">
      <c r="B135" s="70" t="s">
        <v>13</v>
      </c>
      <c r="C135" s="70" t="s">
        <v>1</v>
      </c>
      <c r="D135" s="82">
        <f>+IF(D133&gt;30,CEILING(D133,5),30)</f>
        <v>30</v>
      </c>
      <c r="E135" s="82"/>
      <c r="F135" s="15" t="s">
        <v>36</v>
      </c>
      <c r="I135" s="15" t="s">
        <v>116</v>
      </c>
      <c r="S135" s="100"/>
    </row>
    <row r="136" spans="2:19" x14ac:dyDescent="0.25">
      <c r="S136" s="100"/>
    </row>
    <row r="137" spans="2:19" x14ac:dyDescent="0.25">
      <c r="B137" s="15" t="s">
        <v>62</v>
      </c>
      <c r="S137" s="100"/>
    </row>
    <row r="138" spans="2:19" x14ac:dyDescent="0.25">
      <c r="S138" s="53"/>
    </row>
    <row r="139" spans="2:19" ht="12.75" customHeight="1" x14ac:dyDescent="0.25">
      <c r="B139" s="15" t="s">
        <v>63</v>
      </c>
      <c r="C139" s="70" t="s">
        <v>1</v>
      </c>
      <c r="D139" s="87">
        <f>E111</f>
        <v>10</v>
      </c>
      <c r="E139" s="87"/>
      <c r="F139" s="70" t="s">
        <v>40</v>
      </c>
      <c r="G139" s="71">
        <f>E112</f>
        <v>2.54</v>
      </c>
      <c r="H139" s="70" t="s">
        <v>40</v>
      </c>
      <c r="I139" s="70">
        <f>D135</f>
        <v>30</v>
      </c>
      <c r="J139" s="70" t="s">
        <v>40</v>
      </c>
      <c r="K139" s="70">
        <f>E113</f>
        <v>5</v>
      </c>
      <c r="L139" s="70" t="s">
        <v>40</v>
      </c>
      <c r="M139" s="70">
        <f>E115</f>
        <v>30</v>
      </c>
    </row>
    <row r="141" spans="2:19" x14ac:dyDescent="0.25">
      <c r="B141" s="15" t="s">
        <v>63</v>
      </c>
      <c r="C141" s="15" t="s">
        <v>1</v>
      </c>
      <c r="D141" s="88">
        <f>D139+G139+I139+K139+M139</f>
        <v>77.539999999999992</v>
      </c>
      <c r="E141" s="88"/>
      <c r="F141" s="15" t="s">
        <v>36</v>
      </c>
      <c r="H141" s="15" t="s">
        <v>1</v>
      </c>
      <c r="I141" s="70">
        <f>ROUNDUP(D141/100,1)</f>
        <v>0.79999999999999993</v>
      </c>
      <c r="J141" s="15" t="s">
        <v>18</v>
      </c>
    </row>
    <row r="143" spans="2:19" x14ac:dyDescent="0.25">
      <c r="B143" s="15" t="s">
        <v>64</v>
      </c>
    </row>
    <row r="145" spans="1:19" x14ac:dyDescent="0.25">
      <c r="B145" s="15" t="s">
        <v>63</v>
      </c>
      <c r="C145" s="15" t="s">
        <v>1</v>
      </c>
      <c r="D145" s="82">
        <f>+I141</f>
        <v>0.79999999999999993</v>
      </c>
      <c r="E145" s="82"/>
      <c r="F145" s="15" t="s">
        <v>18</v>
      </c>
    </row>
    <row r="147" spans="1:19" x14ac:dyDescent="0.25">
      <c r="A147" s="19" t="s">
        <v>84</v>
      </c>
      <c r="B147" s="19"/>
      <c r="C147" s="19"/>
      <c r="D147" s="19"/>
      <c r="E147" s="19"/>
      <c r="F147" s="19"/>
      <c r="G147" s="19"/>
    </row>
    <row r="149" spans="1:19" x14ac:dyDescent="0.25">
      <c r="B149" s="55" t="s">
        <v>97</v>
      </c>
      <c r="C149" s="55"/>
      <c r="D149" s="55" t="s">
        <v>117</v>
      </c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</row>
    <row r="151" spans="1:19" ht="16.2" x14ac:dyDescent="0.35">
      <c r="B151" s="19" t="s">
        <v>135</v>
      </c>
      <c r="C151" s="19"/>
      <c r="D151" s="19"/>
      <c r="E151" s="19" t="s">
        <v>1</v>
      </c>
      <c r="F151" s="104">
        <f>+I10</f>
        <v>0.18</v>
      </c>
      <c r="G151" s="104"/>
    </row>
    <row r="152" spans="1:19" x14ac:dyDescent="0.25">
      <c r="F152" s="74"/>
      <c r="G152" s="74"/>
    </row>
    <row r="153" spans="1:19" x14ac:dyDescent="0.25">
      <c r="B153" s="15" t="s">
        <v>111</v>
      </c>
      <c r="S153" s="100"/>
    </row>
    <row r="154" spans="1:19" x14ac:dyDescent="0.25">
      <c r="S154" s="100"/>
    </row>
    <row r="155" spans="1:19" x14ac:dyDescent="0.25">
      <c r="B155" s="15" t="s">
        <v>21</v>
      </c>
      <c r="S155" s="100"/>
    </row>
    <row r="156" spans="1:19" x14ac:dyDescent="0.25">
      <c r="S156" s="100"/>
    </row>
    <row r="157" spans="1:19" x14ac:dyDescent="0.25">
      <c r="B157" s="98" t="s">
        <v>22</v>
      </c>
      <c r="C157" s="81" t="s">
        <v>1</v>
      </c>
      <c r="D157" s="92" t="s">
        <v>23</v>
      </c>
      <c r="E157" s="92"/>
      <c r="S157" s="100"/>
    </row>
    <row r="158" spans="1:19" x14ac:dyDescent="0.25">
      <c r="B158" s="98"/>
      <c r="C158" s="81"/>
      <c r="D158" s="81" t="s">
        <v>25</v>
      </c>
      <c r="E158" s="81"/>
      <c r="S158" s="100"/>
    </row>
    <row r="159" spans="1:19" x14ac:dyDescent="0.25">
      <c r="B159" s="15" t="s">
        <v>26</v>
      </c>
      <c r="S159" s="100"/>
    </row>
    <row r="160" spans="1:19" x14ac:dyDescent="0.25">
      <c r="B160" s="15" t="s">
        <v>24</v>
      </c>
      <c r="D160" s="15" t="s">
        <v>1</v>
      </c>
      <c r="E160" s="15" t="s">
        <v>28</v>
      </c>
      <c r="J160" s="70">
        <v>0.6</v>
      </c>
      <c r="K160" s="70" t="s">
        <v>29</v>
      </c>
      <c r="L160" s="70">
        <v>0.8</v>
      </c>
      <c r="S160" s="100"/>
    </row>
    <row r="161" spans="2:19" x14ac:dyDescent="0.25">
      <c r="J161" s="70"/>
      <c r="K161" s="70"/>
      <c r="L161" s="70"/>
      <c r="S161" s="100"/>
    </row>
    <row r="162" spans="2:19" x14ac:dyDescent="0.25">
      <c r="B162" s="15" t="s">
        <v>23</v>
      </c>
      <c r="D162" s="15" t="s">
        <v>1</v>
      </c>
      <c r="E162" s="34">
        <f>+F151</f>
        <v>0.18</v>
      </c>
      <c r="F162" s="15" t="s">
        <v>2</v>
      </c>
      <c r="S162" s="100"/>
    </row>
    <row r="163" spans="2:19" x14ac:dyDescent="0.25">
      <c r="B163" s="15" t="s">
        <v>27</v>
      </c>
      <c r="D163" s="15" t="s">
        <v>1</v>
      </c>
      <c r="E163" s="34">
        <v>0.6</v>
      </c>
      <c r="F163" s="15" t="s">
        <v>10</v>
      </c>
      <c r="S163" s="100"/>
    </row>
    <row r="164" spans="2:19" x14ac:dyDescent="0.25">
      <c r="B164" s="15" t="s">
        <v>24</v>
      </c>
      <c r="D164" s="15" t="s">
        <v>1</v>
      </c>
      <c r="E164" s="15">
        <f>L160</f>
        <v>0.8</v>
      </c>
      <c r="S164" s="100"/>
    </row>
    <row r="165" spans="2:19" x14ac:dyDescent="0.25">
      <c r="B165" s="15" t="s">
        <v>30</v>
      </c>
      <c r="S165" s="67"/>
    </row>
    <row r="167" spans="2:19" x14ac:dyDescent="0.25">
      <c r="C167" s="81" t="s">
        <v>22</v>
      </c>
      <c r="D167" s="81" t="s">
        <v>1</v>
      </c>
      <c r="E167" s="92">
        <f>E162</f>
        <v>0.18</v>
      </c>
      <c r="F167" s="92"/>
      <c r="G167" s="92"/>
      <c r="H167" s="81" t="s">
        <v>1</v>
      </c>
      <c r="I167" s="81">
        <f>E167/(E168*G168)</f>
        <v>0.375</v>
      </c>
      <c r="J167" s="81" t="s">
        <v>31</v>
      </c>
      <c r="K167" s="81" t="s">
        <v>1</v>
      </c>
      <c r="L167" s="90">
        <f>I167/1000</f>
        <v>3.7500000000000001E-4</v>
      </c>
      <c r="M167" s="90"/>
      <c r="N167" s="81" t="s">
        <v>127</v>
      </c>
    </row>
    <row r="168" spans="2:19" x14ac:dyDescent="0.25">
      <c r="C168" s="81"/>
      <c r="D168" s="81"/>
      <c r="E168" s="41">
        <f>E164</f>
        <v>0.8</v>
      </c>
      <c r="F168" s="41" t="s">
        <v>9</v>
      </c>
      <c r="G168" s="41">
        <f>E163</f>
        <v>0.6</v>
      </c>
      <c r="H168" s="81"/>
      <c r="I168" s="81"/>
      <c r="J168" s="81"/>
      <c r="K168" s="81"/>
      <c r="L168" s="90"/>
      <c r="M168" s="90"/>
      <c r="N168" s="81"/>
    </row>
    <row r="170" spans="2:19" x14ac:dyDescent="0.25">
      <c r="B170" s="15" t="s">
        <v>32</v>
      </c>
    </row>
    <row r="172" spans="2:19" ht="16.2" x14ac:dyDescent="0.25">
      <c r="C172" s="81" t="s">
        <v>33</v>
      </c>
      <c r="D172" s="79" t="s">
        <v>1</v>
      </c>
      <c r="E172" s="86" t="s">
        <v>34</v>
      </c>
      <c r="F172" s="86"/>
      <c r="G172" s="42">
        <v>0.5</v>
      </c>
    </row>
    <row r="173" spans="2:19" x14ac:dyDescent="0.25">
      <c r="C173" s="81"/>
      <c r="D173" s="79"/>
      <c r="E173" s="87" t="s">
        <v>35</v>
      </c>
      <c r="F173" s="87"/>
    </row>
    <row r="175" spans="2:19" ht="16.2" x14ac:dyDescent="0.25">
      <c r="C175" s="81" t="s">
        <v>33</v>
      </c>
      <c r="D175" s="79" t="s">
        <v>1</v>
      </c>
      <c r="E175" s="28">
        <v>4</v>
      </c>
      <c r="F175" s="28" t="s">
        <v>9</v>
      </c>
      <c r="G175" s="80">
        <f>L167</f>
        <v>3.7500000000000001E-4</v>
      </c>
      <c r="H175" s="80"/>
      <c r="I175" s="43">
        <v>0.5</v>
      </c>
      <c r="J175" s="81" t="s">
        <v>1</v>
      </c>
      <c r="K175" s="91">
        <f>((E175*G175)/E176)^G172</f>
        <v>2.1850968611841583E-2</v>
      </c>
      <c r="L175" s="91"/>
      <c r="M175" s="81" t="s">
        <v>18</v>
      </c>
    </row>
    <row r="176" spans="2:19" x14ac:dyDescent="0.25">
      <c r="C176" s="81"/>
      <c r="D176" s="79"/>
      <c r="E176" s="97">
        <f>PI()</f>
        <v>3.1415926535897931</v>
      </c>
      <c r="F176" s="97"/>
      <c r="G176" s="97"/>
      <c r="H176" s="97"/>
      <c r="J176" s="81"/>
      <c r="K176" s="91"/>
      <c r="L176" s="91"/>
      <c r="M176" s="81"/>
    </row>
    <row r="178" spans="2:14" x14ac:dyDescent="0.25">
      <c r="C178" s="70" t="s">
        <v>33</v>
      </c>
      <c r="D178" s="15" t="s">
        <v>1</v>
      </c>
      <c r="E178" s="15">
        <f>K175*100</f>
        <v>2.1850968611841584</v>
      </c>
      <c r="F178" s="15" t="s">
        <v>36</v>
      </c>
      <c r="H178" s="15" t="s">
        <v>1</v>
      </c>
      <c r="I178" s="34">
        <f>E178/2.54</f>
        <v>0.86027435479691272</v>
      </c>
      <c r="J178" s="15" t="s">
        <v>37</v>
      </c>
      <c r="K178" s="15" t="s">
        <v>1</v>
      </c>
      <c r="L178" s="56">
        <v>1</v>
      </c>
      <c r="N178" s="17" t="s">
        <v>118</v>
      </c>
    </row>
    <row r="179" spans="2:14" x14ac:dyDescent="0.25">
      <c r="F179" s="74"/>
      <c r="G179" s="74"/>
    </row>
    <row r="180" spans="2:14" x14ac:dyDescent="0.25">
      <c r="F180" s="74"/>
      <c r="G180" s="74"/>
    </row>
    <row r="181" spans="2:14" x14ac:dyDescent="0.25">
      <c r="B181" s="15" t="s">
        <v>108</v>
      </c>
      <c r="E181" s="15" t="s">
        <v>1</v>
      </c>
      <c r="F181" s="15">
        <v>2</v>
      </c>
      <c r="G181" s="70" t="s">
        <v>9</v>
      </c>
      <c r="H181" s="88">
        <f>+L178</f>
        <v>1</v>
      </c>
      <c r="I181" s="88"/>
      <c r="J181" s="70" t="s">
        <v>1</v>
      </c>
      <c r="K181" s="70">
        <f>F181*H181</f>
        <v>2</v>
      </c>
      <c r="L181" s="15" t="s">
        <v>37</v>
      </c>
    </row>
    <row r="183" spans="2:14" x14ac:dyDescent="0.25">
      <c r="B183" s="15" t="s">
        <v>66</v>
      </c>
    </row>
    <row r="185" spans="2:14" x14ac:dyDescent="0.25">
      <c r="B185" s="15" t="s">
        <v>67</v>
      </c>
      <c r="C185" s="15" t="s">
        <v>68</v>
      </c>
      <c r="D185" s="15" t="s">
        <v>14</v>
      </c>
      <c r="E185" s="15" t="s">
        <v>68</v>
      </c>
      <c r="F185" s="15" t="s">
        <v>69</v>
      </c>
    </row>
    <row r="187" spans="2:14" x14ac:dyDescent="0.25">
      <c r="C187" s="15" t="s">
        <v>14</v>
      </c>
      <c r="D187" s="15" t="s">
        <v>1</v>
      </c>
      <c r="E187" s="15">
        <v>3</v>
      </c>
      <c r="F187" s="15" t="s">
        <v>9</v>
      </c>
      <c r="G187" s="50">
        <f>H181</f>
        <v>1</v>
      </c>
      <c r="H187" s="15" t="s">
        <v>1</v>
      </c>
      <c r="I187" s="15">
        <f>E187*G187*2.54</f>
        <v>7.62</v>
      </c>
      <c r="J187" s="15" t="s">
        <v>1</v>
      </c>
      <c r="K187" s="15">
        <f>ROUND(I187,0)</f>
        <v>8</v>
      </c>
      <c r="L187" s="15" t="s">
        <v>36</v>
      </c>
    </row>
    <row r="188" spans="2:14" x14ac:dyDescent="0.25">
      <c r="C188" s="15" t="s">
        <v>14</v>
      </c>
      <c r="D188" s="15" t="s">
        <v>1</v>
      </c>
      <c r="E188" s="15">
        <v>6</v>
      </c>
      <c r="F188" s="15" t="s">
        <v>9</v>
      </c>
      <c r="G188" s="50">
        <f>G187</f>
        <v>1</v>
      </c>
      <c r="H188" s="15" t="s">
        <v>1</v>
      </c>
      <c r="I188" s="15">
        <f>E188*G188*2.54</f>
        <v>15.24</v>
      </c>
      <c r="J188" s="15" t="s">
        <v>1</v>
      </c>
      <c r="K188" s="15">
        <f>ROUND(I188,0)</f>
        <v>15</v>
      </c>
      <c r="L188" s="15" t="s">
        <v>36</v>
      </c>
    </row>
    <row r="190" spans="2:14" x14ac:dyDescent="0.25">
      <c r="C190" s="15" t="s">
        <v>14</v>
      </c>
      <c r="D190" s="15" t="s">
        <v>1</v>
      </c>
      <c r="E190" s="57">
        <v>20</v>
      </c>
      <c r="F190" s="15" t="s">
        <v>36</v>
      </c>
      <c r="H190" s="15" t="s">
        <v>70</v>
      </c>
    </row>
    <row r="191" spans="2:14" x14ac:dyDescent="0.25">
      <c r="C191" s="15" t="s">
        <v>71</v>
      </c>
      <c r="G191" s="15" t="s">
        <v>1</v>
      </c>
      <c r="H191" s="15">
        <v>10</v>
      </c>
      <c r="I191" s="15" t="s">
        <v>73</v>
      </c>
      <c r="K191" s="58"/>
      <c r="M191" s="58"/>
    </row>
    <row r="192" spans="2:14" x14ac:dyDescent="0.25">
      <c r="C192" s="15" t="s">
        <v>72</v>
      </c>
      <c r="G192" s="15" t="s">
        <v>1</v>
      </c>
      <c r="H192" s="15">
        <v>7.5</v>
      </c>
      <c r="I192" s="15" t="s">
        <v>73</v>
      </c>
    </row>
    <row r="194" spans="1:21" ht="16.2" x14ac:dyDescent="0.25">
      <c r="C194" s="15" t="s">
        <v>82</v>
      </c>
      <c r="I194" s="70" t="s">
        <v>1</v>
      </c>
      <c r="J194" s="70">
        <f>+H192</f>
        <v>7.5</v>
      </c>
      <c r="K194" s="70" t="s">
        <v>9</v>
      </c>
      <c r="L194" s="70">
        <f>+H191</f>
        <v>10</v>
      </c>
      <c r="M194" s="15" t="s">
        <v>1</v>
      </c>
      <c r="N194" s="15">
        <f>J194*L194</f>
        <v>75</v>
      </c>
      <c r="O194" s="15" t="s">
        <v>136</v>
      </c>
      <c r="U194" s="15">
        <v>42</v>
      </c>
    </row>
    <row r="196" spans="1:21" x14ac:dyDescent="0.25">
      <c r="C196" s="15" t="s">
        <v>74</v>
      </c>
      <c r="D196" s="15" t="s">
        <v>1</v>
      </c>
      <c r="E196" s="87">
        <f>N194/1000000</f>
        <v>7.4999999999999993E-5</v>
      </c>
      <c r="F196" s="87"/>
    </row>
    <row r="198" spans="1:21" ht="16.2" x14ac:dyDescent="0.25">
      <c r="C198" s="81" t="s">
        <v>75</v>
      </c>
      <c r="D198" s="81" t="s">
        <v>1</v>
      </c>
      <c r="E198" s="72" t="s">
        <v>35</v>
      </c>
      <c r="F198" s="72" t="s">
        <v>9</v>
      </c>
      <c r="G198" s="60" t="s">
        <v>137</v>
      </c>
      <c r="I198" s="81" t="s">
        <v>75</v>
      </c>
      <c r="J198" s="81" t="s">
        <v>1</v>
      </c>
      <c r="K198" s="72">
        <f>PI()</f>
        <v>3.1415926535897931</v>
      </c>
      <c r="L198" s="72" t="s">
        <v>9</v>
      </c>
      <c r="M198" s="61">
        <f>((H181*2.54)^2)</f>
        <v>6.4516</v>
      </c>
      <c r="N198" s="81" t="s">
        <v>1</v>
      </c>
      <c r="O198" s="81">
        <f>(K198*M198)/K199/10000</f>
        <v>5.0670747909749769E-4</v>
      </c>
      <c r="P198" s="81"/>
      <c r="Q198" s="81" t="s">
        <v>127</v>
      </c>
    </row>
    <row r="199" spans="1:21" x14ac:dyDescent="0.25">
      <c r="C199" s="81"/>
      <c r="D199" s="81"/>
      <c r="E199" s="105">
        <v>4</v>
      </c>
      <c r="F199" s="105"/>
      <c r="G199" s="105"/>
      <c r="I199" s="81"/>
      <c r="J199" s="81"/>
      <c r="K199" s="105">
        <v>4</v>
      </c>
      <c r="L199" s="105"/>
      <c r="M199" s="105"/>
      <c r="N199" s="81"/>
      <c r="O199" s="81"/>
      <c r="P199" s="81"/>
      <c r="Q199" s="81"/>
    </row>
    <row r="201" spans="1:21" ht="16.2" x14ac:dyDescent="0.25">
      <c r="C201" s="15" t="s">
        <v>76</v>
      </c>
      <c r="D201" s="15" t="s">
        <v>1</v>
      </c>
      <c r="E201" s="15">
        <v>2</v>
      </c>
      <c r="F201" s="15" t="s">
        <v>9</v>
      </c>
      <c r="G201" s="15" t="s">
        <v>75</v>
      </c>
      <c r="I201" s="15" t="s">
        <v>76</v>
      </c>
      <c r="J201" s="15" t="s">
        <v>1</v>
      </c>
      <c r="K201" s="15">
        <f>E201</f>
        <v>2</v>
      </c>
      <c r="L201" s="15" t="s">
        <v>9</v>
      </c>
      <c r="M201" s="87">
        <f>O198</f>
        <v>5.0670747909749769E-4</v>
      </c>
      <c r="N201" s="87"/>
      <c r="O201" s="15" t="s">
        <v>1</v>
      </c>
      <c r="P201" s="87">
        <f>K201*M201</f>
        <v>1.0134149581949954E-3</v>
      </c>
      <c r="Q201" s="87"/>
      <c r="R201" s="67" t="s">
        <v>127</v>
      </c>
    </row>
    <row r="202" spans="1:21" x14ac:dyDescent="0.25">
      <c r="R202" s="67"/>
    </row>
    <row r="203" spans="1:21" x14ac:dyDescent="0.25">
      <c r="C203" s="81" t="s">
        <v>77</v>
      </c>
      <c r="D203" s="81"/>
      <c r="E203" s="81"/>
      <c r="F203" s="81"/>
      <c r="G203" s="81" t="s">
        <v>1</v>
      </c>
      <c r="H203" s="92" t="s">
        <v>76</v>
      </c>
      <c r="I203" s="92"/>
      <c r="J203" s="81" t="s">
        <v>1</v>
      </c>
      <c r="K203" s="92">
        <f>P201</f>
        <v>1.0134149581949954E-3</v>
      </c>
      <c r="L203" s="92"/>
      <c r="M203" s="81" t="s">
        <v>1</v>
      </c>
      <c r="N203" s="81">
        <f>ROUND(K203/K204,0)</f>
        <v>14</v>
      </c>
    </row>
    <row r="204" spans="1:21" x14ac:dyDescent="0.25">
      <c r="C204" s="81"/>
      <c r="D204" s="81"/>
      <c r="E204" s="81"/>
      <c r="F204" s="81"/>
      <c r="G204" s="81"/>
      <c r="H204" s="81" t="s">
        <v>74</v>
      </c>
      <c r="I204" s="81"/>
      <c r="J204" s="81"/>
      <c r="K204" s="81">
        <f>E196</f>
        <v>7.4999999999999993E-5</v>
      </c>
      <c r="L204" s="81"/>
      <c r="M204" s="81"/>
      <c r="N204" s="81"/>
    </row>
    <row r="205" spans="1:21" x14ac:dyDescent="0.25"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</row>
    <row r="206" spans="1:21" x14ac:dyDescent="0.25">
      <c r="A206" s="19" t="s">
        <v>78</v>
      </c>
    </row>
    <row r="208" spans="1:21" ht="16.2" x14ac:dyDescent="0.25">
      <c r="C208" s="81" t="s">
        <v>33</v>
      </c>
      <c r="D208" s="81" t="s">
        <v>1</v>
      </c>
      <c r="E208" s="60">
        <v>0.71</v>
      </c>
      <c r="F208" s="72" t="s">
        <v>9</v>
      </c>
      <c r="G208" s="62" t="s">
        <v>79</v>
      </c>
      <c r="H208" s="63">
        <v>0.38</v>
      </c>
      <c r="I208" s="41"/>
      <c r="J208" s="41" t="s">
        <v>12</v>
      </c>
      <c r="K208" s="41" t="s">
        <v>1</v>
      </c>
      <c r="L208" s="64">
        <v>1.4999999999999999E-2</v>
      </c>
      <c r="M208" s="41" t="s">
        <v>80</v>
      </c>
      <c r="N208" s="15" t="s">
        <v>81</v>
      </c>
    </row>
    <row r="209" spans="2:19" ht="16.2" x14ac:dyDescent="0.25">
      <c r="C209" s="81"/>
      <c r="D209" s="81"/>
      <c r="E209" s="41"/>
      <c r="F209" s="41" t="s">
        <v>12</v>
      </c>
      <c r="G209" s="65">
        <v>0.21</v>
      </c>
      <c r="H209" s="41"/>
      <c r="I209" s="41"/>
      <c r="J209" s="41"/>
      <c r="K209" s="41"/>
      <c r="L209" s="41"/>
      <c r="M209" s="41"/>
    </row>
    <row r="210" spans="2:19" x14ac:dyDescent="0.25"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</row>
    <row r="211" spans="2:19" ht="16.2" x14ac:dyDescent="0.25">
      <c r="C211" s="81" t="s">
        <v>33</v>
      </c>
      <c r="D211" s="81" t="s">
        <v>1</v>
      </c>
      <c r="E211" s="60">
        <v>0.71</v>
      </c>
      <c r="F211" s="72" t="s">
        <v>9</v>
      </c>
      <c r="G211" s="62">
        <f>I9*1.1</f>
        <v>0.8580000000000001</v>
      </c>
      <c r="H211" s="63">
        <v>0.38</v>
      </c>
      <c r="I211" s="81" t="s">
        <v>1</v>
      </c>
      <c r="J211" s="103">
        <f>(E211*(G211^H211))/(E212^G212)</f>
        <v>1.6180962585956369</v>
      </c>
      <c r="K211" s="103"/>
      <c r="L211" s="81" t="s">
        <v>1</v>
      </c>
      <c r="M211" s="103">
        <f>+ROUNDUP(J211,0)</f>
        <v>2</v>
      </c>
    </row>
    <row r="212" spans="2:19" ht="16.2" x14ac:dyDescent="0.25">
      <c r="C212" s="81"/>
      <c r="D212" s="81"/>
      <c r="E212" s="106">
        <f>L208</f>
        <v>1.4999999999999999E-2</v>
      </c>
      <c r="F212" s="106"/>
      <c r="G212" s="65">
        <v>0.21</v>
      </c>
      <c r="H212" s="41"/>
      <c r="I212" s="81"/>
      <c r="J212" s="103"/>
      <c r="K212" s="103"/>
      <c r="L212" s="81"/>
      <c r="M212" s="81"/>
    </row>
    <row r="214" spans="2:19" x14ac:dyDescent="0.25">
      <c r="B214" s="15" t="s">
        <v>119</v>
      </c>
      <c r="K214" s="70" t="s">
        <v>1</v>
      </c>
      <c r="L214" s="70">
        <f>+M211</f>
        <v>2</v>
      </c>
      <c r="M214" s="15" t="s">
        <v>120</v>
      </c>
    </row>
    <row r="222" spans="2:19" x14ac:dyDescent="0.25">
      <c r="S222" s="100"/>
    </row>
    <row r="223" spans="2:19" x14ac:dyDescent="0.25">
      <c r="S223" s="100"/>
    </row>
    <row r="224" spans="2:19" x14ac:dyDescent="0.25">
      <c r="S224" s="100"/>
    </row>
    <row r="225" spans="19:19" x14ac:dyDescent="0.25">
      <c r="S225" s="100"/>
    </row>
    <row r="226" spans="19:19" x14ac:dyDescent="0.25">
      <c r="S226" s="100"/>
    </row>
    <row r="227" spans="19:19" x14ac:dyDescent="0.25">
      <c r="S227" s="100"/>
    </row>
    <row r="228" spans="19:19" x14ac:dyDescent="0.25">
      <c r="S228" s="100"/>
    </row>
    <row r="229" spans="19:19" x14ac:dyDescent="0.25">
      <c r="S229" s="100"/>
    </row>
    <row r="230" spans="19:19" x14ac:dyDescent="0.25">
      <c r="S230" s="100"/>
    </row>
    <row r="231" spans="19:19" x14ac:dyDescent="0.25">
      <c r="S231" s="100"/>
    </row>
    <row r="232" spans="19:19" x14ac:dyDescent="0.25">
      <c r="S232" s="53"/>
    </row>
  </sheetData>
  <mergeCells count="127">
    <mergeCell ref="B26:S27"/>
    <mergeCell ref="I39:I40"/>
    <mergeCell ref="B42:E42"/>
    <mergeCell ref="B61:B62"/>
    <mergeCell ref="C61:C62"/>
    <mergeCell ref="D61:E61"/>
    <mergeCell ref="D62:E62"/>
    <mergeCell ref="A1:S2"/>
    <mergeCell ref="A3:S5"/>
    <mergeCell ref="D14:D16"/>
    <mergeCell ref="E14:E16"/>
    <mergeCell ref="F14:G14"/>
    <mergeCell ref="F16:G16"/>
    <mergeCell ref="N71:N72"/>
    <mergeCell ref="C76:C77"/>
    <mergeCell ref="D76:D77"/>
    <mergeCell ref="E76:F76"/>
    <mergeCell ref="E77:F77"/>
    <mergeCell ref="C71:C72"/>
    <mergeCell ref="D71:D72"/>
    <mergeCell ref="E71:G71"/>
    <mergeCell ref="H71:H72"/>
    <mergeCell ref="I71:I72"/>
    <mergeCell ref="J71:J72"/>
    <mergeCell ref="C79:C80"/>
    <mergeCell ref="D79:D80"/>
    <mergeCell ref="G79:H79"/>
    <mergeCell ref="J79:J80"/>
    <mergeCell ref="K79:L80"/>
    <mergeCell ref="M79:M80"/>
    <mergeCell ref="E80:H80"/>
    <mergeCell ref="K71:K72"/>
    <mergeCell ref="L71:M72"/>
    <mergeCell ref="C89:C90"/>
    <mergeCell ref="D89:D90"/>
    <mergeCell ref="E89:F89"/>
    <mergeCell ref="G89:G90"/>
    <mergeCell ref="H89:H90"/>
    <mergeCell ref="C92:C93"/>
    <mergeCell ref="D92:D93"/>
    <mergeCell ref="F92:F93"/>
    <mergeCell ref="G92:G93"/>
    <mergeCell ref="H92:H93"/>
    <mergeCell ref="B119:B120"/>
    <mergeCell ref="C119:C120"/>
    <mergeCell ref="D119:E120"/>
    <mergeCell ref="F119:H119"/>
    <mergeCell ref="E123:F123"/>
    <mergeCell ref="E124:F124"/>
    <mergeCell ref="I92:I93"/>
    <mergeCell ref="J92:M93"/>
    <mergeCell ref="N92:N93"/>
    <mergeCell ref="D99:E99"/>
    <mergeCell ref="D102:E102"/>
    <mergeCell ref="I113:S114"/>
    <mergeCell ref="D135:E135"/>
    <mergeCell ref="D139:E139"/>
    <mergeCell ref="D141:E141"/>
    <mergeCell ref="D145:E145"/>
    <mergeCell ref="F151:G151"/>
    <mergeCell ref="S153:S164"/>
    <mergeCell ref="S127:S137"/>
    <mergeCell ref="B129:B130"/>
    <mergeCell ref="C129:C130"/>
    <mergeCell ref="D129:E130"/>
    <mergeCell ref="F129:I129"/>
    <mergeCell ref="J129:J130"/>
    <mergeCell ref="K129:L130"/>
    <mergeCell ref="M129:M130"/>
    <mergeCell ref="H130:I130"/>
    <mergeCell ref="D133:E133"/>
    <mergeCell ref="H167:H168"/>
    <mergeCell ref="I167:I168"/>
    <mergeCell ref="J167:J168"/>
    <mergeCell ref="K167:K168"/>
    <mergeCell ref="L167:M168"/>
    <mergeCell ref="N167:N168"/>
    <mergeCell ref="B157:B158"/>
    <mergeCell ref="C157:C158"/>
    <mergeCell ref="D157:E157"/>
    <mergeCell ref="D158:E158"/>
    <mergeCell ref="C167:C168"/>
    <mergeCell ref="D167:D168"/>
    <mergeCell ref="E167:G167"/>
    <mergeCell ref="G175:H175"/>
    <mergeCell ref="J175:J176"/>
    <mergeCell ref="K175:L176"/>
    <mergeCell ref="M175:M176"/>
    <mergeCell ref="E176:H176"/>
    <mergeCell ref="H181:I181"/>
    <mergeCell ref="C172:C173"/>
    <mergeCell ref="D172:D173"/>
    <mergeCell ref="E172:F172"/>
    <mergeCell ref="E173:F173"/>
    <mergeCell ref="C175:C176"/>
    <mergeCell ref="D175:D176"/>
    <mergeCell ref="O198:P199"/>
    <mergeCell ref="Q198:Q199"/>
    <mergeCell ref="E199:G199"/>
    <mergeCell ref="K199:M199"/>
    <mergeCell ref="M201:N201"/>
    <mergeCell ref="P201:Q201"/>
    <mergeCell ref="E196:F196"/>
    <mergeCell ref="C198:C199"/>
    <mergeCell ref="D198:D199"/>
    <mergeCell ref="I198:I199"/>
    <mergeCell ref="J198:J199"/>
    <mergeCell ref="N198:N199"/>
    <mergeCell ref="M211:M212"/>
    <mergeCell ref="E212:F212"/>
    <mergeCell ref="S222:S231"/>
    <mergeCell ref="N203:N204"/>
    <mergeCell ref="H204:I204"/>
    <mergeCell ref="K204:L204"/>
    <mergeCell ref="C208:C209"/>
    <mergeCell ref="D208:D209"/>
    <mergeCell ref="C211:C212"/>
    <mergeCell ref="D211:D212"/>
    <mergeCell ref="I211:I212"/>
    <mergeCell ref="J211:K212"/>
    <mergeCell ref="L211:L212"/>
    <mergeCell ref="C203:F204"/>
    <mergeCell ref="G203:G204"/>
    <mergeCell ref="H203:I203"/>
    <mergeCell ref="J203:J204"/>
    <mergeCell ref="K203:L203"/>
    <mergeCell ref="M203:M204"/>
  </mergeCells>
  <printOptions horizontalCentered="1"/>
  <pageMargins left="0.78740157480314965" right="0.78740157480314965" top="0.98425196850393704" bottom="0.98425196850393704" header="0" footer="0"/>
  <pageSetup paperSize="9" scale="90" orientation="portrait" horizontalDpi="4294967294" verticalDpi="300" r:id="rId1"/>
  <headerFooter alignWithMargins="0"/>
  <rowBreaks count="4" manualBreakCount="4">
    <brk id="48" max="18" man="1"/>
    <brk id="90" max="18" man="1"/>
    <brk id="136" max="18" man="1"/>
    <brk id="176" max="1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"/>
  <sheetViews>
    <sheetView view="pageBreakPreview" zoomScale="115" zoomScaleNormal="100" zoomScaleSheetLayoutView="115" workbookViewId="0">
      <selection activeCell="P15" sqref="P15"/>
    </sheetView>
  </sheetViews>
  <sheetFormatPr baseColWidth="10" defaultRowHeight="13.2" x14ac:dyDescent="0.25"/>
  <cols>
    <col min="1" max="1" width="15.6640625" bestFit="1" customWidth="1"/>
    <col min="2" max="4" width="5.88671875" customWidth="1"/>
    <col min="5" max="12" width="5" customWidth="1"/>
    <col min="13" max="13" width="7.33203125" bestFit="1" customWidth="1"/>
    <col min="14" max="14" width="6.44140625" bestFit="1" customWidth="1"/>
    <col min="15" max="16" width="6.6640625" customWidth="1"/>
    <col min="17" max="17" width="9.44140625" customWidth="1"/>
    <col min="18" max="18" width="8.88671875" bestFit="1" customWidth="1"/>
    <col min="19" max="19" width="11.33203125" customWidth="1"/>
  </cols>
  <sheetData>
    <row r="1" spans="1:19" ht="15.6" x14ac:dyDescent="0.3">
      <c r="A1" s="107" t="s">
        <v>98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</row>
    <row r="2" spans="1:19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08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</row>
    <row r="4" spans="1:19" x14ac:dyDescent="0.25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</row>
    <row r="6" spans="1:19" s="10" customFormat="1" x14ac:dyDescent="0.25">
      <c r="A6" s="110" t="s">
        <v>95</v>
      </c>
      <c r="B6" s="112" t="s">
        <v>92</v>
      </c>
      <c r="C6" s="112"/>
      <c r="D6" s="112"/>
      <c r="E6" s="112" t="s">
        <v>91</v>
      </c>
      <c r="F6" s="112"/>
      <c r="G6" s="112"/>
      <c r="H6" s="112"/>
      <c r="I6" s="112"/>
      <c r="J6" s="112"/>
      <c r="K6" s="112"/>
      <c r="L6" s="112"/>
      <c r="M6" s="112" t="s">
        <v>86</v>
      </c>
      <c r="N6" s="112"/>
      <c r="O6" s="112" t="s">
        <v>88</v>
      </c>
      <c r="P6" s="112"/>
      <c r="Q6" s="112"/>
      <c r="R6" s="11" t="s">
        <v>90</v>
      </c>
      <c r="S6" s="109" t="s">
        <v>93</v>
      </c>
    </row>
    <row r="7" spans="1:19" s="10" customFormat="1" ht="15.6" x14ac:dyDescent="0.35">
      <c r="A7" s="111"/>
      <c r="B7" s="11" t="s">
        <v>96</v>
      </c>
      <c r="C7" s="8" t="s">
        <v>99</v>
      </c>
      <c r="D7" s="11" t="s">
        <v>12</v>
      </c>
      <c r="E7" s="13" t="s">
        <v>14</v>
      </c>
      <c r="F7" s="13" t="s">
        <v>47</v>
      </c>
      <c r="G7" s="11" t="s">
        <v>55</v>
      </c>
      <c r="H7" s="11" t="s">
        <v>33</v>
      </c>
      <c r="I7" s="11" t="s">
        <v>13</v>
      </c>
      <c r="J7" s="11" t="s">
        <v>53</v>
      </c>
      <c r="K7" s="11" t="s">
        <v>22</v>
      </c>
      <c r="L7" s="13" t="s">
        <v>63</v>
      </c>
      <c r="M7" s="12" t="s">
        <v>103</v>
      </c>
      <c r="N7" s="11" t="s">
        <v>87</v>
      </c>
      <c r="O7" s="12" t="s">
        <v>103</v>
      </c>
      <c r="P7" s="11" t="s">
        <v>107</v>
      </c>
      <c r="Q7" s="11" t="s">
        <v>89</v>
      </c>
      <c r="R7" s="12" t="s">
        <v>103</v>
      </c>
      <c r="S7" s="109"/>
    </row>
    <row r="8" spans="1:19" x14ac:dyDescent="0.25">
      <c r="A8" s="9" t="s">
        <v>94</v>
      </c>
      <c r="B8" s="3">
        <f>'PUSACPAMPA 1'!E53</f>
        <v>0.24</v>
      </c>
      <c r="C8" s="3">
        <f>'PUSACPAMPA 1'!L32</f>
        <v>2.8623853211009173E-2</v>
      </c>
      <c r="D8" s="3">
        <f>'PUSACPAMPA 1'!I53</f>
        <v>0.2113761467889908</v>
      </c>
      <c r="E8" s="7">
        <f>'PUSACPAMPA 1'!R53</f>
        <v>0.70458715596330268</v>
      </c>
      <c r="F8" s="7" t="e">
        <f>+'PUSACPAMPA 1'!#REF!</f>
        <v>#REF!</v>
      </c>
      <c r="G8" s="3">
        <f>'PUSACPAMPA 1'!E115/100</f>
        <v>0.3</v>
      </c>
      <c r="H8" s="2">
        <f>'PUSACPAMPA 1'!E113/100</f>
        <v>0.05</v>
      </c>
      <c r="I8" s="3">
        <f>'PUSACPAMPA 1'!D135/100</f>
        <v>0.3</v>
      </c>
      <c r="J8" s="4">
        <f>'PUSACPAMPA 1'!E112/100</f>
        <v>2.5399999999999999E-2</v>
      </c>
      <c r="K8" s="3">
        <f>'PUSACPAMPA 1'!E111/100</f>
        <v>0.1</v>
      </c>
      <c r="L8" s="7">
        <f>'PUSACPAMPA 1'!D145</f>
        <v>0.79999999999999993</v>
      </c>
      <c r="M8" s="6">
        <f>+'PUSACPAMPA 1'!E87</f>
        <v>1</v>
      </c>
      <c r="N8" s="5">
        <f>'PUSACPAMPA 1'!N92</f>
        <v>4</v>
      </c>
      <c r="O8" s="2">
        <f>'PUSACPAMPA 1'!K181</f>
        <v>2</v>
      </c>
      <c r="P8" s="2">
        <f>'PUSACPAMPA 1'!N194</f>
        <v>75</v>
      </c>
      <c r="Q8" s="2">
        <f>'PUSACPAMPA 1'!N203</f>
        <v>14</v>
      </c>
      <c r="R8" s="2">
        <f>'PUSACPAMPA 1'!L214</f>
        <v>2</v>
      </c>
      <c r="S8" s="6">
        <f>'PUSACPAMPA 1'!G112</f>
        <v>1</v>
      </c>
    </row>
    <row r="10" spans="1:19" x14ac:dyDescent="0.25">
      <c r="M10" s="14" t="s">
        <v>104</v>
      </c>
    </row>
    <row r="11" spans="1:19" x14ac:dyDescent="0.25">
      <c r="M11" s="14" t="s">
        <v>105</v>
      </c>
      <c r="P11" s="14" t="s">
        <v>106</v>
      </c>
    </row>
    <row r="13" spans="1:19" x14ac:dyDescent="0.25">
      <c r="M13">
        <f>6*PI()/4*(2*2.54)^2</f>
        <v>121.60979498339945</v>
      </c>
    </row>
    <row r="14" spans="1:19" x14ac:dyDescent="0.25">
      <c r="M14">
        <f>+M13/5</f>
        <v>24.321958996679889</v>
      </c>
    </row>
    <row r="15" spans="1:19" x14ac:dyDescent="0.25">
      <c r="M15">
        <f>40*5</f>
        <v>200</v>
      </c>
    </row>
  </sheetData>
  <mergeCells count="8">
    <mergeCell ref="A1:S1"/>
    <mergeCell ref="A3:S4"/>
    <mergeCell ref="S6:S7"/>
    <mergeCell ref="A6:A7"/>
    <mergeCell ref="M6:N6"/>
    <mergeCell ref="O6:Q6"/>
    <mergeCell ref="B6:D6"/>
    <mergeCell ref="E6:L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PUSACPAMPA 1</vt:lpstr>
      <vt:lpstr>PUSACPAMPA 2</vt:lpstr>
      <vt:lpstr>RESUMEN</vt:lpstr>
      <vt:lpstr>'PUSACPAMPA 1'!Área_de_impresión</vt:lpstr>
      <vt:lpstr>'PUSACPAMPA 2'!Área_de_impresión</vt:lpstr>
      <vt:lpstr>RESUMEN!Área_de_impresión</vt:lpstr>
      <vt:lpstr>'PUSACPAMPA 1'!Títulos_a_imprimir</vt:lpstr>
      <vt:lpstr>'PUSACPAMPA 2'!Títulos_a_imprimir</vt:lpstr>
    </vt:vector>
  </TitlesOfParts>
  <Company>FIA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 QUISPE ARO</dc:creator>
  <cp:lastModifiedBy>Victor Adrian Rosales Cutipa</cp:lastModifiedBy>
  <cp:lastPrinted>2023-11-07T04:39:15Z</cp:lastPrinted>
  <dcterms:created xsi:type="dcterms:W3CDTF">2004-03-02T02:21:12Z</dcterms:created>
  <dcterms:modified xsi:type="dcterms:W3CDTF">2023-11-08T03:30:58Z</dcterms:modified>
</cp:coreProperties>
</file>