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anessa/Desktop/"/>
    </mc:Choice>
  </mc:AlternateContent>
  <xr:revisionPtr revIDLastSave="0" documentId="13_ncr:1_{B1FE0488-27F0-6A4D-9D1D-D77016B7A56C}" xr6:coauthVersionLast="47" xr6:coauthVersionMax="47" xr10:uidLastSave="{00000000-0000-0000-0000-000000000000}"/>
  <bookViews>
    <workbookView xWindow="20" yWindow="500" windowWidth="38340" windowHeight="19500" activeTab="1" xr2:uid="{1272DCF6-5F87-A741-8A9E-D75F89ED94C9}"/>
  </bookViews>
  <sheets>
    <sheet name="Pre-flood transport data" sheetId="1" r:id="rId1"/>
    <sheet name="Plotting" sheetId="4" r:id="rId2"/>
    <sheet name="D50 number crunching" sheetId="2" r:id="rId3"/>
    <sheet name="Channel width number crunching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7" i="4" l="1"/>
  <c r="J16" i="4"/>
  <c r="J15" i="4"/>
  <c r="J14" i="4"/>
  <c r="J13" i="4"/>
  <c r="J12" i="4"/>
  <c r="J11" i="4"/>
  <c r="J10" i="4"/>
  <c r="J9" i="4"/>
  <c r="J8" i="4"/>
  <c r="J7" i="4"/>
  <c r="J5" i="4"/>
  <c r="J6" i="4"/>
  <c r="J4" i="4"/>
  <c r="J3" i="4"/>
  <c r="J2" i="4"/>
  <c r="Y169" i="1"/>
  <c r="Y163" i="1"/>
  <c r="Y164" i="1"/>
  <c r="Y165" i="1"/>
  <c r="Y166" i="1"/>
  <c r="Y162" i="1"/>
  <c r="W169" i="1"/>
  <c r="W163" i="1"/>
  <c r="W164" i="1"/>
  <c r="W165" i="1"/>
  <c r="W166" i="1"/>
  <c r="W162" i="1"/>
  <c r="V169" i="1"/>
  <c r="V163" i="1"/>
  <c r="V164" i="1"/>
  <c r="V165" i="1"/>
  <c r="V166" i="1"/>
  <c r="V162" i="1"/>
  <c r="U169" i="1"/>
  <c r="U163" i="1"/>
  <c r="U164" i="1"/>
  <c r="U165" i="1"/>
  <c r="U166" i="1"/>
  <c r="U162" i="1"/>
  <c r="T169" i="1"/>
  <c r="T163" i="1"/>
  <c r="T164" i="1"/>
  <c r="T165" i="1"/>
  <c r="T166" i="1"/>
  <c r="T162" i="1"/>
  <c r="S169" i="1"/>
  <c r="R163" i="1"/>
  <c r="R164" i="1"/>
  <c r="R165" i="1"/>
  <c r="R166" i="1"/>
  <c r="R162" i="1"/>
  <c r="AF27" i="3"/>
  <c r="AF26" i="3"/>
  <c r="O169" i="1"/>
  <c r="O163" i="1"/>
  <c r="O164" i="1"/>
  <c r="O165" i="1"/>
  <c r="O166" i="1"/>
  <c r="O162" i="1"/>
  <c r="N169" i="1"/>
  <c r="AF83" i="2"/>
  <c r="AF82" i="2"/>
  <c r="AF74" i="2"/>
  <c r="AF66" i="2"/>
  <c r="AF62" i="2"/>
  <c r="AF53" i="2"/>
  <c r="AF52" i="2"/>
  <c r="L169" i="1"/>
  <c r="L163" i="1"/>
  <c r="L164" i="1"/>
  <c r="L165" i="1"/>
  <c r="L166" i="1"/>
  <c r="L162" i="1"/>
  <c r="J169" i="1"/>
  <c r="J163" i="1"/>
  <c r="J164" i="1"/>
  <c r="J165" i="1"/>
  <c r="J166" i="1"/>
  <c r="I163" i="1"/>
  <c r="I164" i="1"/>
  <c r="I165" i="1"/>
  <c r="I166" i="1"/>
  <c r="H163" i="1"/>
  <c r="H164" i="1"/>
  <c r="H165" i="1"/>
  <c r="H166" i="1"/>
  <c r="H162" i="1"/>
  <c r="Y161" i="1"/>
  <c r="Y155" i="1"/>
  <c r="Y156" i="1"/>
  <c r="Y157" i="1"/>
  <c r="Y158" i="1"/>
  <c r="Y154" i="1"/>
  <c r="W161" i="1"/>
  <c r="W155" i="1"/>
  <c r="W156" i="1"/>
  <c r="W157" i="1"/>
  <c r="W158" i="1"/>
  <c r="W154" i="1"/>
  <c r="V161" i="1"/>
  <c r="V155" i="1"/>
  <c r="V156" i="1"/>
  <c r="V157" i="1"/>
  <c r="V158" i="1"/>
  <c r="V154" i="1"/>
  <c r="U161" i="1"/>
  <c r="U155" i="1"/>
  <c r="U156" i="1"/>
  <c r="U157" i="1"/>
  <c r="U158" i="1"/>
  <c r="U154" i="1"/>
  <c r="T161" i="1"/>
  <c r="T158" i="1"/>
  <c r="T155" i="1"/>
  <c r="T156" i="1"/>
  <c r="T157" i="1"/>
  <c r="T154" i="1"/>
  <c r="S161" i="1"/>
  <c r="R155" i="1"/>
  <c r="R156" i="1"/>
  <c r="R157" i="1"/>
  <c r="R158" i="1"/>
  <c r="R154" i="1"/>
  <c r="AD27" i="3"/>
  <c r="AD26" i="3"/>
  <c r="O161" i="1"/>
  <c r="O155" i="1"/>
  <c r="O156" i="1"/>
  <c r="O157" i="1"/>
  <c r="O158" i="1"/>
  <c r="O154" i="1"/>
  <c r="N161" i="1"/>
  <c r="AD96" i="2"/>
  <c r="AD90" i="2"/>
  <c r="AD89" i="2"/>
  <c r="AD71" i="2"/>
  <c r="AD63" i="2"/>
  <c r="AD62" i="2"/>
  <c r="AD49" i="2"/>
  <c r="AD48" i="2"/>
  <c r="L161" i="1"/>
  <c r="L155" i="1"/>
  <c r="L156" i="1"/>
  <c r="L157" i="1"/>
  <c r="L158" i="1"/>
  <c r="L154" i="1"/>
  <c r="J161" i="1"/>
  <c r="J155" i="1"/>
  <c r="J156" i="1"/>
  <c r="J157" i="1"/>
  <c r="J158" i="1"/>
  <c r="I155" i="1"/>
  <c r="I156" i="1"/>
  <c r="I157" i="1"/>
  <c r="I158" i="1"/>
  <c r="H155" i="1"/>
  <c r="H156" i="1"/>
  <c r="H157" i="1"/>
  <c r="H158" i="1"/>
  <c r="H154" i="1"/>
  <c r="T149" i="1"/>
  <c r="T150" i="1"/>
  <c r="S153" i="1"/>
  <c r="R147" i="1"/>
  <c r="T147" i="1" s="1"/>
  <c r="R148" i="1"/>
  <c r="R149" i="1"/>
  <c r="R150" i="1"/>
  <c r="R146" i="1"/>
  <c r="T146" i="1" s="1"/>
  <c r="T153" i="1" s="1"/>
  <c r="AB38" i="3"/>
  <c r="AB37" i="3"/>
  <c r="O147" i="1"/>
  <c r="O148" i="1"/>
  <c r="O149" i="1"/>
  <c r="O150" i="1"/>
  <c r="O146" i="1"/>
  <c r="N153" i="1"/>
  <c r="O153" i="1" s="1"/>
  <c r="AB90" i="2"/>
  <c r="AB89" i="2"/>
  <c r="AB83" i="2"/>
  <c r="AB82" i="2"/>
  <c r="AB69" i="2"/>
  <c r="AB68" i="2"/>
  <c r="AB59" i="2"/>
  <c r="AB54" i="2"/>
  <c r="AB53" i="2"/>
  <c r="L147" i="1"/>
  <c r="L148" i="1"/>
  <c r="L149" i="1"/>
  <c r="L150" i="1"/>
  <c r="L146" i="1"/>
  <c r="L153" i="1" s="1"/>
  <c r="H147" i="1"/>
  <c r="I147" i="1" s="1"/>
  <c r="J147" i="1" s="1"/>
  <c r="V147" i="1" s="1"/>
  <c r="H148" i="1"/>
  <c r="I148" i="1" s="1"/>
  <c r="J148" i="1" s="1"/>
  <c r="V148" i="1" s="1"/>
  <c r="H149" i="1"/>
  <c r="I149" i="1" s="1"/>
  <c r="J149" i="1" s="1"/>
  <c r="V149" i="1" s="1"/>
  <c r="H150" i="1"/>
  <c r="I150" i="1" s="1"/>
  <c r="J150" i="1" s="1"/>
  <c r="V150" i="1" s="1"/>
  <c r="H146" i="1"/>
  <c r="S145" i="1"/>
  <c r="R139" i="1"/>
  <c r="T139" i="1" s="1"/>
  <c r="R140" i="1"/>
  <c r="R141" i="1"/>
  <c r="T141" i="1" s="1"/>
  <c r="R142" i="1"/>
  <c r="T142" i="1" s="1"/>
  <c r="R138" i="1"/>
  <c r="T138" i="1" s="1"/>
  <c r="T145" i="1" s="1"/>
  <c r="Z34" i="3"/>
  <c r="Z33" i="3"/>
  <c r="O139" i="1"/>
  <c r="O140" i="1"/>
  <c r="O141" i="1"/>
  <c r="O142" i="1"/>
  <c r="O138" i="1"/>
  <c r="N145" i="1"/>
  <c r="O145" i="1" s="1"/>
  <c r="Z96" i="2"/>
  <c r="Z89" i="2"/>
  <c r="Z88" i="2"/>
  <c r="Z71" i="2"/>
  <c r="Z62" i="2"/>
  <c r="Z54" i="2"/>
  <c r="Z53" i="2"/>
  <c r="L145" i="1"/>
  <c r="L139" i="1"/>
  <c r="L140" i="1"/>
  <c r="L141" i="1"/>
  <c r="L142" i="1"/>
  <c r="L138" i="1"/>
  <c r="H139" i="1"/>
  <c r="I139" i="1" s="1"/>
  <c r="J139" i="1" s="1"/>
  <c r="H140" i="1"/>
  <c r="I140" i="1" s="1"/>
  <c r="J140" i="1" s="1"/>
  <c r="V140" i="1" s="1"/>
  <c r="H141" i="1"/>
  <c r="I141" i="1" s="1"/>
  <c r="J141" i="1" s="1"/>
  <c r="V141" i="1" s="1"/>
  <c r="H142" i="1"/>
  <c r="I142" i="1" s="1"/>
  <c r="J142" i="1" s="1"/>
  <c r="H138" i="1"/>
  <c r="S137" i="1"/>
  <c r="R131" i="1"/>
  <c r="R132" i="1"/>
  <c r="T132" i="1" s="1"/>
  <c r="R133" i="1"/>
  <c r="T133" i="1" s="1"/>
  <c r="R134" i="1"/>
  <c r="T134" i="1" s="1"/>
  <c r="R135" i="1"/>
  <c r="R130" i="1"/>
  <c r="U130" i="1" s="1"/>
  <c r="X34" i="3"/>
  <c r="X33" i="3"/>
  <c r="O131" i="1"/>
  <c r="O132" i="1"/>
  <c r="O133" i="1"/>
  <c r="O134" i="1"/>
  <c r="O135" i="1"/>
  <c r="O130" i="1"/>
  <c r="N137" i="1"/>
  <c r="O137" i="1" s="1"/>
  <c r="X94" i="2"/>
  <c r="X88" i="2"/>
  <c r="X87" i="2"/>
  <c r="X72" i="2"/>
  <c r="X63" i="2"/>
  <c r="X54" i="2"/>
  <c r="X53" i="2"/>
  <c r="L131" i="1"/>
  <c r="L132" i="1"/>
  <c r="L133" i="1"/>
  <c r="L134" i="1"/>
  <c r="L135" i="1"/>
  <c r="L130" i="1"/>
  <c r="L137" i="1" s="1"/>
  <c r="H131" i="1"/>
  <c r="I131" i="1" s="1"/>
  <c r="J131" i="1" s="1"/>
  <c r="V131" i="1" s="1"/>
  <c r="H132" i="1"/>
  <c r="I132" i="1" s="1"/>
  <c r="J132" i="1" s="1"/>
  <c r="H133" i="1"/>
  <c r="I133" i="1" s="1"/>
  <c r="J133" i="1" s="1"/>
  <c r="H134" i="1"/>
  <c r="I134" i="1" s="1"/>
  <c r="J134" i="1" s="1"/>
  <c r="H135" i="1"/>
  <c r="I135" i="1" s="1"/>
  <c r="J135" i="1" s="1"/>
  <c r="H130" i="1"/>
  <c r="S129" i="1"/>
  <c r="R123" i="1"/>
  <c r="T123" i="1" s="1"/>
  <c r="R124" i="1"/>
  <c r="T124" i="1" s="1"/>
  <c r="R125" i="1"/>
  <c r="R126" i="1"/>
  <c r="T126" i="1" s="1"/>
  <c r="R122" i="1"/>
  <c r="T122" i="1" s="1"/>
  <c r="T129" i="1" s="1"/>
  <c r="V24" i="3"/>
  <c r="V23" i="3"/>
  <c r="O123" i="1"/>
  <c r="O124" i="1"/>
  <c r="O125" i="1"/>
  <c r="O126" i="1"/>
  <c r="O122" i="1"/>
  <c r="N129" i="1"/>
  <c r="O129" i="1" s="1"/>
  <c r="V97" i="2"/>
  <c r="V92" i="2"/>
  <c r="V91" i="2"/>
  <c r="V67" i="2"/>
  <c r="V58" i="2"/>
  <c r="V57" i="2"/>
  <c r="L123" i="1"/>
  <c r="L124" i="1"/>
  <c r="L125" i="1"/>
  <c r="L126" i="1"/>
  <c r="L122" i="1"/>
  <c r="L129" i="1" s="1"/>
  <c r="H123" i="1"/>
  <c r="I123" i="1" s="1"/>
  <c r="J123" i="1" s="1"/>
  <c r="V123" i="1" s="1"/>
  <c r="H124" i="1"/>
  <c r="I124" i="1" s="1"/>
  <c r="J124" i="1" s="1"/>
  <c r="V124" i="1" s="1"/>
  <c r="H125" i="1"/>
  <c r="I125" i="1" s="1"/>
  <c r="J125" i="1" s="1"/>
  <c r="H126" i="1"/>
  <c r="I126" i="1" s="1"/>
  <c r="J126" i="1" s="1"/>
  <c r="H122" i="1"/>
  <c r="S121" i="1"/>
  <c r="R115" i="1"/>
  <c r="T115" i="1" s="1"/>
  <c r="R116" i="1"/>
  <c r="R117" i="1"/>
  <c r="R118" i="1"/>
  <c r="T118" i="1" s="1"/>
  <c r="R114" i="1"/>
  <c r="T114" i="1" s="1"/>
  <c r="T121" i="1" s="1"/>
  <c r="T33" i="3"/>
  <c r="T32" i="3"/>
  <c r="O115" i="1"/>
  <c r="O116" i="1"/>
  <c r="O117" i="1"/>
  <c r="O118" i="1"/>
  <c r="O114" i="1"/>
  <c r="N121" i="1"/>
  <c r="O121" i="1" s="1"/>
  <c r="L118" i="1"/>
  <c r="J118" i="1"/>
  <c r="V118" i="1" s="1"/>
  <c r="H118" i="1"/>
  <c r="T96" i="2"/>
  <c r="T95" i="2"/>
  <c r="T70" i="2"/>
  <c r="T63" i="2"/>
  <c r="T58" i="2"/>
  <c r="T57" i="2"/>
  <c r="L115" i="1"/>
  <c r="L116" i="1"/>
  <c r="L117" i="1"/>
  <c r="L114" i="1"/>
  <c r="L121" i="1" s="1"/>
  <c r="J115" i="1"/>
  <c r="V115" i="1" s="1"/>
  <c r="J116" i="1"/>
  <c r="V116" i="1" s="1"/>
  <c r="J117" i="1"/>
  <c r="V117" i="1" s="1"/>
  <c r="H115" i="1"/>
  <c r="H116" i="1"/>
  <c r="H117" i="1"/>
  <c r="H114" i="1"/>
  <c r="W148" i="1" l="1"/>
  <c r="Y148" i="1" s="1"/>
  <c r="U146" i="1"/>
  <c r="U153" i="1" s="1"/>
  <c r="W153" i="1" s="1"/>
  <c r="Y153" i="1" s="1"/>
  <c r="U147" i="1"/>
  <c r="W147" i="1"/>
  <c r="Y147" i="1" s="1"/>
  <c r="T148" i="1"/>
  <c r="U150" i="1"/>
  <c r="W150" i="1" s="1"/>
  <c r="Y150" i="1" s="1"/>
  <c r="V132" i="1"/>
  <c r="V134" i="1"/>
  <c r="V139" i="1"/>
  <c r="U149" i="1"/>
  <c r="W149" i="1" s="1"/>
  <c r="Y149" i="1" s="1"/>
  <c r="U148" i="1"/>
  <c r="V133" i="1"/>
  <c r="V142" i="1"/>
  <c r="W130" i="1"/>
  <c r="Y130" i="1" s="1"/>
  <c r="U132" i="1"/>
  <c r="W132" i="1" s="1"/>
  <c r="Y132" i="1" s="1"/>
  <c r="T140" i="1"/>
  <c r="U142" i="1"/>
  <c r="W142" i="1" s="1"/>
  <c r="Y142" i="1" s="1"/>
  <c r="U131" i="1"/>
  <c r="W131" i="1" s="1"/>
  <c r="Y131" i="1" s="1"/>
  <c r="U141" i="1"/>
  <c r="W141" i="1" s="1"/>
  <c r="Y141" i="1" s="1"/>
  <c r="U140" i="1"/>
  <c r="W140" i="1" s="1"/>
  <c r="Y140" i="1" s="1"/>
  <c r="V135" i="1"/>
  <c r="U133" i="1"/>
  <c r="W133" i="1" s="1"/>
  <c r="Y133" i="1" s="1"/>
  <c r="T130" i="1"/>
  <c r="T137" i="1" s="1"/>
  <c r="U135" i="1"/>
  <c r="W135" i="1" s="1"/>
  <c r="Y135" i="1" s="1"/>
  <c r="U138" i="1"/>
  <c r="U139" i="1"/>
  <c r="W139" i="1" s="1"/>
  <c r="Y139" i="1" s="1"/>
  <c r="T135" i="1"/>
  <c r="T131" i="1"/>
  <c r="U134" i="1"/>
  <c r="V125" i="1"/>
  <c r="V126" i="1"/>
  <c r="T125" i="1"/>
  <c r="U122" i="1"/>
  <c r="U123" i="1"/>
  <c r="W123" i="1" s="1"/>
  <c r="Y123" i="1" s="1"/>
  <c r="U126" i="1"/>
  <c r="W126" i="1" s="1"/>
  <c r="Y126" i="1" s="1"/>
  <c r="U125" i="1"/>
  <c r="W125" i="1" s="1"/>
  <c r="Y125" i="1" s="1"/>
  <c r="U124" i="1"/>
  <c r="W124" i="1" s="1"/>
  <c r="Y124" i="1" s="1"/>
  <c r="T117" i="1"/>
  <c r="U114" i="1"/>
  <c r="W114" i="1" s="1"/>
  <c r="Y114" i="1" s="1"/>
  <c r="U115" i="1"/>
  <c r="W115" i="1" s="1"/>
  <c r="Y115" i="1" s="1"/>
  <c r="T116" i="1"/>
  <c r="U118" i="1"/>
  <c r="W118" i="1" s="1"/>
  <c r="Y118" i="1" s="1"/>
  <c r="U117" i="1"/>
  <c r="W117" i="1" s="1"/>
  <c r="Y117" i="1" s="1"/>
  <c r="U116" i="1"/>
  <c r="W116" i="1" s="1"/>
  <c r="Y116" i="1" s="1"/>
  <c r="S113" i="1"/>
  <c r="R110" i="1"/>
  <c r="T110" i="1" s="1"/>
  <c r="R107" i="1"/>
  <c r="T107" i="1" s="1"/>
  <c r="R108" i="1"/>
  <c r="R109" i="1"/>
  <c r="R106" i="1"/>
  <c r="T106" i="1" s="1"/>
  <c r="T113" i="1" s="1"/>
  <c r="R41" i="3"/>
  <c r="R40" i="3"/>
  <c r="O107" i="1"/>
  <c r="O108" i="1"/>
  <c r="O109" i="1"/>
  <c r="O110" i="1"/>
  <c r="O106" i="1"/>
  <c r="N113" i="1"/>
  <c r="O113" i="1" s="1"/>
  <c r="R98" i="2"/>
  <c r="R93" i="2"/>
  <c r="R86" i="2"/>
  <c r="R80" i="2"/>
  <c r="R74" i="2"/>
  <c r="R73" i="2"/>
  <c r="L107" i="1"/>
  <c r="L108" i="1"/>
  <c r="L109" i="1"/>
  <c r="L110" i="1"/>
  <c r="L106" i="1"/>
  <c r="L113" i="1" s="1"/>
  <c r="H107" i="1"/>
  <c r="I107" i="1" s="1"/>
  <c r="J107" i="1" s="1"/>
  <c r="H108" i="1"/>
  <c r="I108" i="1" s="1"/>
  <c r="J108" i="1" s="1"/>
  <c r="H109" i="1"/>
  <c r="I109" i="1" s="1"/>
  <c r="J109" i="1" s="1"/>
  <c r="H110" i="1"/>
  <c r="I110" i="1" s="1"/>
  <c r="J110" i="1" s="1"/>
  <c r="H106" i="1"/>
  <c r="S105" i="1"/>
  <c r="R105" i="1"/>
  <c r="R100" i="1"/>
  <c r="R101" i="1"/>
  <c r="R99" i="1"/>
  <c r="R98" i="1"/>
  <c r="P40" i="3"/>
  <c r="P39" i="3"/>
  <c r="O101" i="1"/>
  <c r="O100" i="1"/>
  <c r="O99" i="1"/>
  <c r="O98" i="1"/>
  <c r="N105" i="1"/>
  <c r="O105" i="1" s="1"/>
  <c r="P73" i="2"/>
  <c r="P85" i="2"/>
  <c r="P91" i="2"/>
  <c r="P95" i="2"/>
  <c r="L101" i="1"/>
  <c r="L100" i="1"/>
  <c r="L99" i="1"/>
  <c r="L98" i="1"/>
  <c r="L105" i="1" s="1"/>
  <c r="H100" i="1"/>
  <c r="I100" i="1" s="1"/>
  <c r="J100" i="1" s="1"/>
  <c r="H101" i="1"/>
  <c r="I101" i="1" s="1"/>
  <c r="J101" i="1" s="1"/>
  <c r="H99" i="1"/>
  <c r="I99" i="1" s="1"/>
  <c r="J99" i="1" s="1"/>
  <c r="V99" i="1" s="1"/>
  <c r="H98" i="1"/>
  <c r="I98" i="1" s="1"/>
  <c r="J98" i="1" s="1"/>
  <c r="R92" i="1"/>
  <c r="R93" i="1"/>
  <c r="R91" i="1"/>
  <c r="R90" i="1"/>
  <c r="N97" i="1"/>
  <c r="O97" i="1" s="1"/>
  <c r="N45" i="3"/>
  <c r="N44" i="3"/>
  <c r="O92" i="1"/>
  <c r="O93" i="1"/>
  <c r="O91" i="1"/>
  <c r="O90" i="1"/>
  <c r="N64" i="2"/>
  <c r="N62" i="2"/>
  <c r="N59" i="2"/>
  <c r="N55" i="2"/>
  <c r="L97" i="1"/>
  <c r="L92" i="1"/>
  <c r="L93" i="1"/>
  <c r="L91" i="1"/>
  <c r="L90" i="1"/>
  <c r="H97" i="1"/>
  <c r="I97" i="1" s="1"/>
  <c r="J97" i="1" s="1"/>
  <c r="H92" i="1"/>
  <c r="I92" i="1" s="1"/>
  <c r="J92" i="1" s="1"/>
  <c r="H93" i="1"/>
  <c r="I93" i="1" s="1"/>
  <c r="J93" i="1" s="1"/>
  <c r="H91" i="1"/>
  <c r="I91" i="1" s="1"/>
  <c r="J91" i="1" s="1"/>
  <c r="H90" i="1"/>
  <c r="I90" i="1" s="1"/>
  <c r="J90" i="1" s="1"/>
  <c r="S73" i="1"/>
  <c r="R68" i="1"/>
  <c r="R69" i="1"/>
  <c r="R67" i="1"/>
  <c r="R66" i="1"/>
  <c r="L51" i="3"/>
  <c r="L50" i="3"/>
  <c r="N73" i="1"/>
  <c r="O73" i="1" s="1"/>
  <c r="O68" i="1"/>
  <c r="O69" i="1"/>
  <c r="O67" i="1"/>
  <c r="O66" i="1"/>
  <c r="L73" i="1"/>
  <c r="L68" i="1"/>
  <c r="L69" i="1"/>
  <c r="L67" i="1"/>
  <c r="L66" i="1"/>
  <c r="H73" i="1"/>
  <c r="I73" i="1" s="1"/>
  <c r="J73" i="1" s="1"/>
  <c r="H69" i="1"/>
  <c r="I69" i="1" s="1"/>
  <c r="J69" i="1" s="1"/>
  <c r="V69" i="1" s="1"/>
  <c r="H68" i="1"/>
  <c r="I68" i="1" s="1"/>
  <c r="J68" i="1" s="1"/>
  <c r="H67" i="1"/>
  <c r="I67" i="1" s="1"/>
  <c r="J67" i="1" s="1"/>
  <c r="H66" i="1"/>
  <c r="I66" i="1" s="1"/>
  <c r="J66" i="1" s="1"/>
  <c r="L91" i="2"/>
  <c r="L85" i="2"/>
  <c r="L73" i="2"/>
  <c r="L56" i="2"/>
  <c r="S65" i="1"/>
  <c r="R61" i="1"/>
  <c r="R60" i="1"/>
  <c r="R58" i="1"/>
  <c r="T58" i="1" s="1"/>
  <c r="T65" i="1" s="1"/>
  <c r="J51" i="3"/>
  <c r="J50" i="3"/>
  <c r="N65" i="1"/>
  <c r="O65" i="1" s="1"/>
  <c r="O61" i="1"/>
  <c r="O60" i="1"/>
  <c r="O58" i="1"/>
  <c r="K65" i="1"/>
  <c r="L61" i="1"/>
  <c r="L60" i="1"/>
  <c r="H61" i="1"/>
  <c r="I61" i="1" s="1"/>
  <c r="J61" i="1" s="1"/>
  <c r="H60" i="1"/>
  <c r="I60" i="1" s="1"/>
  <c r="J60" i="1" s="1"/>
  <c r="J94" i="2"/>
  <c r="J90" i="2"/>
  <c r="J85" i="2"/>
  <c r="L58" i="1"/>
  <c r="H58" i="1"/>
  <c r="I58" i="1" s="1"/>
  <c r="J58" i="1" s="1"/>
  <c r="J65" i="1" s="1"/>
  <c r="L34" i="1"/>
  <c r="H34" i="1"/>
  <c r="I34" i="1" s="1"/>
  <c r="J34" i="1" s="1"/>
  <c r="L33" i="1"/>
  <c r="J33" i="1"/>
  <c r="L25" i="1"/>
  <c r="J25" i="1"/>
  <c r="L17" i="1"/>
  <c r="J17" i="1"/>
  <c r="L9" i="1"/>
  <c r="J9" i="1"/>
  <c r="R27" i="1"/>
  <c r="R28" i="1"/>
  <c r="R29" i="1"/>
  <c r="R26" i="1"/>
  <c r="T26" i="1" s="1"/>
  <c r="T33" i="1" s="1"/>
  <c r="N33" i="1"/>
  <c r="O33" i="1" s="1"/>
  <c r="O27" i="1"/>
  <c r="O28" i="1"/>
  <c r="O29" i="1"/>
  <c r="O26" i="1"/>
  <c r="H51" i="3"/>
  <c r="H50" i="3"/>
  <c r="H94" i="2"/>
  <c r="H91" i="2"/>
  <c r="H86" i="2"/>
  <c r="H82" i="2"/>
  <c r="L26" i="1"/>
  <c r="L27" i="1"/>
  <c r="L28" i="1"/>
  <c r="L29" i="1"/>
  <c r="H27" i="1"/>
  <c r="I27" i="1" s="1"/>
  <c r="J27" i="1" s="1"/>
  <c r="H28" i="1"/>
  <c r="I28" i="1" s="1"/>
  <c r="J28" i="1" s="1"/>
  <c r="H29" i="1"/>
  <c r="I29" i="1" s="1"/>
  <c r="J29" i="1" s="1"/>
  <c r="H26" i="1"/>
  <c r="I26" i="1" s="1"/>
  <c r="J26" i="1" s="1"/>
  <c r="T20" i="1"/>
  <c r="T21" i="1"/>
  <c r="T18" i="1"/>
  <c r="T25" i="1" s="1"/>
  <c r="F51" i="3"/>
  <c r="F50" i="3"/>
  <c r="N25" i="1"/>
  <c r="O25" i="1" s="1"/>
  <c r="O20" i="1"/>
  <c r="U20" i="1" s="1"/>
  <c r="W20" i="1" s="1"/>
  <c r="Y20" i="1" s="1"/>
  <c r="O21" i="1"/>
  <c r="U21" i="1" s="1"/>
  <c r="W21" i="1" s="1"/>
  <c r="Y21" i="1" s="1"/>
  <c r="O18" i="1"/>
  <c r="U18" i="1" s="1"/>
  <c r="F98" i="2"/>
  <c r="F90" i="2"/>
  <c r="F84" i="2"/>
  <c r="L20" i="1"/>
  <c r="L21" i="1"/>
  <c r="L18" i="1"/>
  <c r="H20" i="1"/>
  <c r="I20" i="1" s="1"/>
  <c r="J20" i="1" s="1"/>
  <c r="H21" i="1"/>
  <c r="I21" i="1" s="1"/>
  <c r="J21" i="1" s="1"/>
  <c r="H18" i="1"/>
  <c r="I18" i="1" s="1"/>
  <c r="H12" i="1"/>
  <c r="I12" i="1" s="1"/>
  <c r="J12" i="1" s="1"/>
  <c r="H13" i="1"/>
  <c r="I13" i="1" s="1"/>
  <c r="J13" i="1" s="1"/>
  <c r="H10" i="1"/>
  <c r="I10" i="1" s="1"/>
  <c r="J10" i="1" s="1"/>
  <c r="L10" i="1"/>
  <c r="L12" i="1"/>
  <c r="L13" i="1"/>
  <c r="L4" i="1"/>
  <c r="L5" i="1"/>
  <c r="L2" i="1"/>
  <c r="N17" i="1"/>
  <c r="O17" i="1" s="1"/>
  <c r="R12" i="1"/>
  <c r="T12" i="1" s="1"/>
  <c r="R13" i="1"/>
  <c r="T13" i="1" s="1"/>
  <c r="R10" i="1"/>
  <c r="D51" i="3"/>
  <c r="D50" i="3"/>
  <c r="O12" i="1"/>
  <c r="O13" i="1"/>
  <c r="O10" i="1"/>
  <c r="N9" i="1"/>
  <c r="H4" i="1"/>
  <c r="I4" i="1" s="1"/>
  <c r="J4" i="1" s="1"/>
  <c r="H5" i="1"/>
  <c r="I5" i="1" s="1"/>
  <c r="J5" i="1" s="1"/>
  <c r="H2" i="1"/>
  <c r="I2" i="1" s="1"/>
  <c r="J2" i="1" s="1"/>
  <c r="D99" i="2"/>
  <c r="D90" i="2"/>
  <c r="D83" i="2"/>
  <c r="R4" i="1"/>
  <c r="T4" i="1" s="1"/>
  <c r="R5" i="1"/>
  <c r="T5" i="1" s="1"/>
  <c r="T9" i="1" s="1"/>
  <c r="R9" i="1"/>
  <c r="R2" i="1"/>
  <c r="T2" i="1" s="1"/>
  <c r="B40" i="3"/>
  <c r="B39" i="3"/>
  <c r="O4" i="1"/>
  <c r="O5" i="1"/>
  <c r="O2" i="1"/>
  <c r="B100" i="2"/>
  <c r="B97" i="2"/>
  <c r="B90" i="2"/>
  <c r="I162" i="1"/>
  <c r="J162" i="1" s="1"/>
  <c r="I154" i="1"/>
  <c r="J154" i="1" s="1"/>
  <c r="I146" i="1"/>
  <c r="J146" i="1" s="1"/>
  <c r="I138" i="1"/>
  <c r="J138" i="1" s="1"/>
  <c r="I130" i="1"/>
  <c r="J130" i="1" s="1"/>
  <c r="I122" i="1"/>
  <c r="J122" i="1" s="1"/>
  <c r="I114" i="1"/>
  <c r="I106" i="1"/>
  <c r="J106" i="1" s="1"/>
  <c r="H82" i="1"/>
  <c r="I82" i="1" s="1"/>
  <c r="J82" i="1" s="1"/>
  <c r="H74" i="1"/>
  <c r="I74" i="1" s="1"/>
  <c r="J74" i="1" s="1"/>
  <c r="H50" i="1"/>
  <c r="I50" i="1" s="1"/>
  <c r="J50" i="1" s="1"/>
  <c r="H42" i="1"/>
  <c r="I42" i="1" s="1"/>
  <c r="J42" i="1" s="1"/>
  <c r="W146" i="1" l="1"/>
  <c r="Y146" i="1" s="1"/>
  <c r="J153" i="1"/>
  <c r="V146" i="1"/>
  <c r="V153" i="1" s="1"/>
  <c r="V138" i="1"/>
  <c r="V145" i="1" s="1"/>
  <c r="J145" i="1"/>
  <c r="U145" i="1"/>
  <c r="W145" i="1" s="1"/>
  <c r="Y145" i="1" s="1"/>
  <c r="W138" i="1"/>
  <c r="Y138" i="1" s="1"/>
  <c r="U137" i="1"/>
  <c r="W137" i="1" s="1"/>
  <c r="Y137" i="1" s="1"/>
  <c r="W134" i="1"/>
  <c r="Y134" i="1" s="1"/>
  <c r="V130" i="1"/>
  <c r="V137" i="1" s="1"/>
  <c r="J137" i="1"/>
  <c r="V110" i="1"/>
  <c r="U129" i="1"/>
  <c r="W129" i="1" s="1"/>
  <c r="Y129" i="1" s="1"/>
  <c r="V100" i="1"/>
  <c r="J129" i="1"/>
  <c r="V122" i="1"/>
  <c r="V129" i="1" s="1"/>
  <c r="V109" i="1"/>
  <c r="W122" i="1"/>
  <c r="Y122" i="1" s="1"/>
  <c r="V108" i="1"/>
  <c r="J114" i="1"/>
  <c r="I121" i="1"/>
  <c r="V107" i="1"/>
  <c r="U121" i="1"/>
  <c r="W121" i="1" s="1"/>
  <c r="Y121" i="1" s="1"/>
  <c r="V106" i="1"/>
  <c r="V113" i="1" s="1"/>
  <c r="U99" i="1"/>
  <c r="W99" i="1" s="1"/>
  <c r="Y99" i="1" s="1"/>
  <c r="U98" i="1"/>
  <c r="T109" i="1"/>
  <c r="U106" i="1"/>
  <c r="W106" i="1" s="1"/>
  <c r="Y106" i="1" s="1"/>
  <c r="U107" i="1"/>
  <c r="W107" i="1" s="1"/>
  <c r="Y107" i="1" s="1"/>
  <c r="T108" i="1"/>
  <c r="U110" i="1"/>
  <c r="W110" i="1" s="1"/>
  <c r="Y110" i="1" s="1"/>
  <c r="V101" i="1"/>
  <c r="U101" i="1"/>
  <c r="W101" i="1" s="1"/>
  <c r="Y101" i="1" s="1"/>
  <c r="T98" i="1"/>
  <c r="T105" i="1" s="1"/>
  <c r="J113" i="1"/>
  <c r="U109" i="1"/>
  <c r="W109" i="1" s="1"/>
  <c r="Y109" i="1" s="1"/>
  <c r="V92" i="1"/>
  <c r="U100" i="1"/>
  <c r="W100" i="1" s="1"/>
  <c r="Y100" i="1" s="1"/>
  <c r="T99" i="1"/>
  <c r="U108" i="1"/>
  <c r="W108" i="1" s="1"/>
  <c r="Y108" i="1" s="1"/>
  <c r="J105" i="1"/>
  <c r="V98" i="1"/>
  <c r="V105" i="1" s="1"/>
  <c r="U90" i="1"/>
  <c r="W90" i="1" s="1"/>
  <c r="Y90" i="1" s="1"/>
  <c r="U66" i="1"/>
  <c r="W66" i="1" s="1"/>
  <c r="Y66" i="1" s="1"/>
  <c r="V93" i="1"/>
  <c r="T101" i="1"/>
  <c r="V91" i="1"/>
  <c r="V97" i="1"/>
  <c r="U93" i="1"/>
  <c r="W93" i="1" s="1"/>
  <c r="Y93" i="1" s="1"/>
  <c r="T100" i="1"/>
  <c r="U92" i="1"/>
  <c r="W92" i="1" s="1"/>
  <c r="Y92" i="1" s="1"/>
  <c r="T91" i="1"/>
  <c r="U91" i="1"/>
  <c r="V68" i="1"/>
  <c r="T93" i="1"/>
  <c r="V90" i="1"/>
  <c r="T92" i="1"/>
  <c r="T90" i="1"/>
  <c r="T97" i="1" s="1"/>
  <c r="V67" i="1"/>
  <c r="U68" i="1"/>
  <c r="W68" i="1" s="1"/>
  <c r="Y68" i="1" s="1"/>
  <c r="V66" i="1"/>
  <c r="V73" i="1" s="1"/>
  <c r="T67" i="1"/>
  <c r="U69" i="1"/>
  <c r="U67" i="1"/>
  <c r="W67" i="1" s="1"/>
  <c r="Y67" i="1" s="1"/>
  <c r="T69" i="1"/>
  <c r="V58" i="1"/>
  <c r="V65" i="1" s="1"/>
  <c r="V60" i="1"/>
  <c r="H65" i="1"/>
  <c r="T68" i="1"/>
  <c r="V61" i="1"/>
  <c r="I65" i="1"/>
  <c r="U60" i="1"/>
  <c r="W60" i="1" s="1"/>
  <c r="Y60" i="1" s="1"/>
  <c r="T66" i="1"/>
  <c r="T73" i="1" s="1"/>
  <c r="L65" i="1"/>
  <c r="T60" i="1"/>
  <c r="U58" i="1"/>
  <c r="T61" i="1"/>
  <c r="U61" i="1"/>
  <c r="W61" i="1" s="1"/>
  <c r="Y61" i="1" s="1"/>
  <c r="V27" i="1"/>
  <c r="V29" i="1"/>
  <c r="U28" i="1"/>
  <c r="W28" i="1" s="1"/>
  <c r="Y28" i="1" s="1"/>
  <c r="V20" i="1"/>
  <c r="V26" i="1"/>
  <c r="V33" i="1" s="1"/>
  <c r="V28" i="1"/>
  <c r="U27" i="1"/>
  <c r="W27" i="1" s="1"/>
  <c r="Y27" i="1" s="1"/>
  <c r="V21" i="1"/>
  <c r="U26" i="1"/>
  <c r="W26" i="1" s="1"/>
  <c r="Y26" i="1" s="1"/>
  <c r="T28" i="1"/>
  <c r="U29" i="1"/>
  <c r="T27" i="1"/>
  <c r="T29" i="1"/>
  <c r="V4" i="1"/>
  <c r="V2" i="1"/>
  <c r="U25" i="1"/>
  <c r="W25" i="1" s="1"/>
  <c r="Y25" i="1" s="1"/>
  <c r="U2" i="1"/>
  <c r="W2" i="1" s="1"/>
  <c r="V5" i="1"/>
  <c r="W18" i="1"/>
  <c r="Y18" i="1" s="1"/>
  <c r="V10" i="1"/>
  <c r="V17" i="1" s="1"/>
  <c r="U10" i="1"/>
  <c r="W10" i="1" s="1"/>
  <c r="Y10" i="1" s="1"/>
  <c r="V13" i="1"/>
  <c r="J18" i="1"/>
  <c r="V18" i="1" s="1"/>
  <c r="V25" i="1" s="1"/>
  <c r="V12" i="1"/>
  <c r="U12" i="1"/>
  <c r="W12" i="1" s="1"/>
  <c r="Y12" i="1" s="1"/>
  <c r="T10" i="1"/>
  <c r="T17" i="1" s="1"/>
  <c r="U13" i="1"/>
  <c r="W13" i="1" s="1"/>
  <c r="Y13" i="1" s="1"/>
  <c r="U5" i="1"/>
  <c r="W5" i="1" s="1"/>
  <c r="Y5" i="1" s="1"/>
  <c r="U4" i="1"/>
  <c r="U105" i="1" l="1"/>
  <c r="W105" i="1" s="1"/>
  <c r="Y105" i="1" s="1"/>
  <c r="V114" i="1"/>
  <c r="V121" i="1" s="1"/>
  <c r="J121" i="1"/>
  <c r="W98" i="1"/>
  <c r="Y98" i="1" s="1"/>
  <c r="U113" i="1"/>
  <c r="W113" i="1" s="1"/>
  <c r="Y113" i="1" s="1"/>
  <c r="U97" i="1"/>
  <c r="W97" i="1" s="1"/>
  <c r="Y97" i="1" s="1"/>
  <c r="W91" i="1"/>
  <c r="Y91" i="1" s="1"/>
  <c r="U73" i="1"/>
  <c r="W73" i="1" s="1"/>
  <c r="Y73" i="1" s="1"/>
  <c r="W69" i="1"/>
  <c r="Y69" i="1" s="1"/>
  <c r="U65" i="1"/>
  <c r="W65" i="1" s="1"/>
  <c r="Y65" i="1" s="1"/>
  <c r="W58" i="1"/>
  <c r="Y58" i="1" s="1"/>
  <c r="U33" i="1"/>
  <c r="W33" i="1" s="1"/>
  <c r="Y33" i="1" s="1"/>
  <c r="W29" i="1"/>
  <c r="Y29" i="1" s="1"/>
  <c r="U9" i="1"/>
  <c r="U17" i="1"/>
  <c r="W17" i="1" s="1"/>
  <c r="Y17" i="1" s="1"/>
  <c r="W4" i="1"/>
  <c r="Y4" i="1" s="1"/>
  <c r="Y2" i="1"/>
  <c r="V9" i="1"/>
  <c r="W9" i="1" l="1"/>
  <c r="Y9" i="1" s="1"/>
  <c r="O9" i="1"/>
</calcChain>
</file>

<file path=xl/sharedStrings.xml><?xml version="1.0" encoding="utf-8"?>
<sst xmlns="http://schemas.openxmlformats.org/spreadsheetml/2006/main" count="558" uniqueCount="87">
  <si>
    <t>Area (m^2)</t>
  </si>
  <si>
    <t>Slope</t>
  </si>
  <si>
    <t>k_Qs</t>
  </si>
  <si>
    <t>I</t>
  </si>
  <si>
    <t>Site</t>
  </si>
  <si>
    <t>BCP-10</t>
  </si>
  <si>
    <t>BCP-9</t>
  </si>
  <si>
    <t>BCP-8</t>
  </si>
  <si>
    <t>BCP-7</t>
  </si>
  <si>
    <t>BCP-6</t>
  </si>
  <si>
    <t>BCP-5</t>
  </si>
  <si>
    <t>BCP-4</t>
  </si>
  <si>
    <t>BCP-3</t>
  </si>
  <si>
    <t>BCP-2</t>
  </si>
  <si>
    <t>BCP-1</t>
  </si>
  <si>
    <t>BCM-1</t>
  </si>
  <si>
    <t>BCM-2</t>
  </si>
  <si>
    <t>BCM-11</t>
  </si>
  <si>
    <t>BCM-3</t>
  </si>
  <si>
    <t>BCM-4</t>
  </si>
  <si>
    <t>BCM-5</t>
  </si>
  <si>
    <t>BCM-6</t>
  </si>
  <si>
    <t>BCM-7</t>
  </si>
  <si>
    <t>BCM-8</t>
  </si>
  <si>
    <t>BCM-9</t>
  </si>
  <si>
    <t>BCM-10</t>
  </si>
  <si>
    <t>granitic</t>
  </si>
  <si>
    <t>volcanic</t>
  </si>
  <si>
    <t>light metamorphic</t>
  </si>
  <si>
    <t>dark metamorphic</t>
  </si>
  <si>
    <t>sandstone</t>
  </si>
  <si>
    <t>shale</t>
  </si>
  <si>
    <t>quartzite</t>
  </si>
  <si>
    <t>lithology</t>
  </si>
  <si>
    <t>median granitic</t>
  </si>
  <si>
    <t>grain size (mm)</t>
  </si>
  <si>
    <t>median dark metamorphic</t>
  </si>
  <si>
    <t>median light metamorphic</t>
  </si>
  <si>
    <t>depth (cm)</t>
  </si>
  <si>
    <t>point across channel</t>
  </si>
  <si>
    <t>Dist from headwaters (km)</t>
  </si>
  <si>
    <t>Dist (m)</t>
  </si>
  <si>
    <t>Lith</t>
  </si>
  <si>
    <t>D50 (mm)</t>
  </si>
  <si>
    <t>D50 (m)</t>
  </si>
  <si>
    <t>Bf width (m)</t>
  </si>
  <si>
    <t>Avg depth (cm)</t>
  </si>
  <si>
    <t>Avg depth (m)</t>
  </si>
  <si>
    <t>weighted average</t>
  </si>
  <si>
    <t>Bedload xport rate with M-S (m^3/s)</t>
  </si>
  <si>
    <t>Headwaters NFMBC to Barker Res base (km)</t>
  </si>
  <si>
    <t>avg depth, exc margins</t>
  </si>
  <si>
    <t>avg depth, inc margins</t>
  </si>
  <si>
    <t>runoff (m/yr)</t>
  </si>
  <si>
    <t>runoff (m/s)</t>
  </si>
  <si>
    <t>total grain count</t>
  </si>
  <si>
    <t>median volcanic</t>
  </si>
  <si>
    <t>g (m/s^2)</t>
  </si>
  <si>
    <t>ρ water (kg/m^3)</t>
  </si>
  <si>
    <t>ρ sed (kg/m^3)</t>
  </si>
  <si>
    <t>Bf 𝝉</t>
  </si>
  <si>
    <t>ū (W&amp;S '19) (m/s)</t>
  </si>
  <si>
    <t>Q (Hack's Law) (m^3/s)</t>
  </si>
  <si>
    <t>Q (Manning-Strickler) (m^3/s)</t>
  </si>
  <si>
    <t>% alluviated (100 - Fexp)</t>
  </si>
  <si>
    <t>number of granitic grains</t>
  </si>
  <si>
    <t>number of dm grains</t>
  </si>
  <si>
    <t>number of lm grains</t>
  </si>
  <si>
    <t>median light metamorohic</t>
  </si>
  <si>
    <t>number of volcanic grains</t>
  </si>
  <si>
    <t>number of sandstone grains</t>
  </si>
  <si>
    <t>median sandstone</t>
  </si>
  <si>
    <t>number of dark metamorphic grains</t>
  </si>
  <si>
    <t>number of light metamorphic grains</t>
  </si>
  <si>
    <t>number of shale grains</t>
  </si>
  <si>
    <t>median shale</t>
  </si>
  <si>
    <t>point sacross channel</t>
  </si>
  <si>
    <t>Area</t>
  </si>
  <si>
    <t>X-section</t>
  </si>
  <si>
    <t>Qb total</t>
  </si>
  <si>
    <t>Qb g</t>
  </si>
  <si>
    <t>Qb lm</t>
  </si>
  <si>
    <t>Qb dm</t>
  </si>
  <si>
    <t>Qb v</t>
  </si>
  <si>
    <t>Qb weighted average</t>
  </si>
  <si>
    <t>Qb ss</t>
  </si>
  <si>
    <t>Qb 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</si>
</sst>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EBEBEB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0.79998168889431442"/>
        <bgColor indexed="64"/>
      </patternFill>
    </fill>
  </fills>
  <borders count="80">
    <border>
      <left/>
      <right/>
      <top/>
      <bottom/>
      <diagonal/>
    </border>
    <border>
      <left style="thick">
        <color rgb="FFC00000"/>
      </left>
      <right/>
      <top style="thick">
        <color rgb="FFC00000"/>
      </top>
      <bottom/>
      <diagonal/>
    </border>
    <border>
      <left/>
      <right style="thick">
        <color rgb="FFC00000"/>
      </right>
      <top style="thick">
        <color rgb="FFC00000"/>
      </top>
      <bottom/>
      <diagonal/>
    </border>
    <border>
      <left style="thick">
        <color rgb="FFC00000"/>
      </left>
      <right/>
      <top/>
      <bottom/>
      <diagonal/>
    </border>
    <border>
      <left/>
      <right style="thick">
        <color rgb="FFC00000"/>
      </right>
      <top/>
      <bottom/>
      <diagonal/>
    </border>
    <border>
      <left style="thick">
        <color rgb="FFC00000"/>
      </left>
      <right/>
      <top/>
      <bottom style="thick">
        <color rgb="FFC00000"/>
      </bottom>
      <diagonal/>
    </border>
    <border>
      <left/>
      <right style="thick">
        <color rgb="FFC00000"/>
      </right>
      <top/>
      <bottom style="thick">
        <color rgb="FFC00000"/>
      </bottom>
      <diagonal/>
    </border>
    <border>
      <left/>
      <right/>
      <top style="thick">
        <color rgb="FFC00000"/>
      </top>
      <bottom/>
      <diagonal/>
    </border>
    <border>
      <left style="thick">
        <color rgb="FFFF0000"/>
      </left>
      <right/>
      <top style="thick">
        <color rgb="FFFF0000"/>
      </top>
      <bottom/>
      <diagonal/>
    </border>
    <border>
      <left/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/>
      <top/>
      <bottom/>
      <diagonal/>
    </border>
    <border>
      <left/>
      <right style="thick">
        <color rgb="FFFF0000"/>
      </right>
      <top/>
      <bottom/>
      <diagonal/>
    </border>
    <border>
      <left style="thick">
        <color rgb="FFFF0000"/>
      </left>
      <right/>
      <top/>
      <bottom style="thick">
        <color rgb="FFFF0000"/>
      </bottom>
      <diagonal/>
    </border>
    <border>
      <left/>
      <right style="thick">
        <color rgb="FFFF0000"/>
      </right>
      <top/>
      <bottom style="thick">
        <color rgb="FFFF0000"/>
      </bottom>
      <diagonal/>
    </border>
    <border>
      <left/>
      <right style="thick">
        <color rgb="FFFF0000"/>
      </right>
      <top style="thick">
        <color rgb="FFC00000"/>
      </top>
      <bottom/>
      <diagonal/>
    </border>
    <border>
      <left/>
      <right/>
      <top style="thick">
        <color rgb="FFFF0000"/>
      </top>
      <bottom/>
      <diagonal/>
    </border>
    <border>
      <left/>
      <right/>
      <top/>
      <bottom style="thick">
        <color rgb="FFFF0000"/>
      </bottom>
      <diagonal/>
    </border>
    <border>
      <left/>
      <right/>
      <top/>
      <bottom style="thick">
        <color rgb="FFFFC000"/>
      </bottom>
      <diagonal/>
    </border>
    <border>
      <left style="thick">
        <color rgb="FFFFC000"/>
      </left>
      <right/>
      <top style="thick">
        <color rgb="FFFFC000"/>
      </top>
      <bottom/>
      <diagonal/>
    </border>
    <border>
      <left style="thick">
        <color rgb="FFFFC000"/>
      </left>
      <right/>
      <top/>
      <bottom/>
      <diagonal/>
    </border>
    <border>
      <left/>
      <right style="thick">
        <color rgb="FFFFC000"/>
      </right>
      <top/>
      <bottom/>
      <diagonal/>
    </border>
    <border>
      <left style="thick">
        <color rgb="FFFFC000"/>
      </left>
      <right/>
      <top/>
      <bottom style="thick">
        <color rgb="FFFFC000"/>
      </bottom>
      <diagonal/>
    </border>
    <border>
      <left/>
      <right style="thick">
        <color rgb="FFFFC000"/>
      </right>
      <top/>
      <bottom style="thick">
        <color rgb="FFFFC000"/>
      </bottom>
      <diagonal/>
    </border>
    <border>
      <left/>
      <right/>
      <top/>
      <bottom style="thick">
        <color rgb="FFC00000"/>
      </bottom>
      <diagonal/>
    </border>
    <border>
      <left/>
      <right/>
      <top style="thick">
        <color rgb="FFFFC000"/>
      </top>
      <bottom/>
      <diagonal/>
    </border>
    <border>
      <left/>
      <right/>
      <top/>
      <bottom style="thick">
        <color rgb="FFFFFF00"/>
      </bottom>
      <diagonal/>
    </border>
    <border>
      <left style="thick">
        <color rgb="FFFFFF00"/>
      </left>
      <right/>
      <top/>
      <bottom/>
      <diagonal/>
    </border>
    <border>
      <left style="thick">
        <color rgb="FFFFFF00"/>
      </left>
      <right/>
      <top style="thick">
        <color rgb="FFFFFF00"/>
      </top>
      <bottom/>
      <diagonal/>
    </border>
    <border>
      <left/>
      <right style="thick">
        <color rgb="FFFFFF00"/>
      </right>
      <top style="thick">
        <color rgb="FFFFFF00"/>
      </top>
      <bottom/>
      <diagonal/>
    </border>
    <border>
      <left/>
      <right style="thick">
        <color rgb="FFFFFF00"/>
      </right>
      <top/>
      <bottom/>
      <diagonal/>
    </border>
    <border>
      <left style="thick">
        <color rgb="FFFFFF00"/>
      </left>
      <right/>
      <top/>
      <bottom style="thick">
        <color rgb="FFFFFF00"/>
      </bottom>
      <diagonal/>
    </border>
    <border>
      <left/>
      <right/>
      <top style="thick">
        <color rgb="FFFFFF00"/>
      </top>
      <bottom/>
      <diagonal/>
    </border>
    <border>
      <left style="thick">
        <color rgb="FF92D050"/>
      </left>
      <right/>
      <top style="thick">
        <color rgb="FF92D050"/>
      </top>
      <bottom/>
      <diagonal/>
    </border>
    <border>
      <left/>
      <right/>
      <top style="thick">
        <color rgb="FF92D050"/>
      </top>
      <bottom/>
      <diagonal/>
    </border>
    <border>
      <left/>
      <right style="thick">
        <color rgb="FF92D050"/>
      </right>
      <top style="thick">
        <color rgb="FF92D050"/>
      </top>
      <bottom/>
      <diagonal/>
    </border>
    <border>
      <left style="thick">
        <color rgb="FF92D050"/>
      </left>
      <right/>
      <top/>
      <bottom/>
      <diagonal/>
    </border>
    <border>
      <left/>
      <right style="thick">
        <color rgb="FF92D050"/>
      </right>
      <top/>
      <bottom/>
      <diagonal/>
    </border>
    <border>
      <left style="thick">
        <color rgb="FF00B050"/>
      </left>
      <right/>
      <top style="thick">
        <color rgb="FF00B050"/>
      </top>
      <bottom/>
      <diagonal/>
    </border>
    <border>
      <left/>
      <right/>
      <top style="thick">
        <color rgb="FF00B050"/>
      </top>
      <bottom/>
      <diagonal/>
    </border>
    <border>
      <left/>
      <right style="thick">
        <color rgb="FF00B050"/>
      </right>
      <top style="thick">
        <color rgb="FF00B050"/>
      </top>
      <bottom/>
      <diagonal/>
    </border>
    <border>
      <left style="thick">
        <color rgb="FF00B050"/>
      </left>
      <right/>
      <top/>
      <bottom/>
      <diagonal/>
    </border>
    <border>
      <left/>
      <right style="thick">
        <color rgb="FF00B050"/>
      </right>
      <top/>
      <bottom/>
      <diagonal/>
    </border>
    <border>
      <left style="thick">
        <color rgb="FF00B0F0"/>
      </left>
      <right/>
      <top style="thick">
        <color rgb="FF00B0F0"/>
      </top>
      <bottom/>
      <diagonal/>
    </border>
    <border>
      <left/>
      <right/>
      <top style="thick">
        <color rgb="FF00B0F0"/>
      </top>
      <bottom/>
      <diagonal/>
    </border>
    <border>
      <left/>
      <right style="thick">
        <color rgb="FF00B0F0"/>
      </right>
      <top style="thick">
        <color rgb="FF00B0F0"/>
      </top>
      <bottom/>
      <diagonal/>
    </border>
    <border>
      <left style="thick">
        <color rgb="FF00B0F0"/>
      </left>
      <right/>
      <top/>
      <bottom/>
      <diagonal/>
    </border>
    <border>
      <left/>
      <right style="thick">
        <color rgb="FF00B0F0"/>
      </right>
      <top/>
      <bottom/>
      <diagonal/>
    </border>
    <border>
      <left style="thick">
        <color rgb="FF0070C0"/>
      </left>
      <right/>
      <top style="thick">
        <color rgb="FF0070C0"/>
      </top>
      <bottom/>
      <diagonal/>
    </border>
    <border>
      <left/>
      <right/>
      <top style="thick">
        <color rgb="FF0070C0"/>
      </top>
      <bottom/>
      <diagonal/>
    </border>
    <border>
      <left/>
      <right style="thick">
        <color rgb="FF0070C0"/>
      </right>
      <top style="thick">
        <color rgb="FF0070C0"/>
      </top>
      <bottom/>
      <diagonal/>
    </border>
    <border>
      <left style="thick">
        <color rgb="FF0070C0"/>
      </left>
      <right/>
      <top/>
      <bottom/>
      <diagonal/>
    </border>
    <border>
      <left/>
      <right style="thick">
        <color rgb="FF0070C0"/>
      </right>
      <top/>
      <bottom/>
      <diagonal/>
    </border>
    <border>
      <left style="thick">
        <color rgb="FF0070C0"/>
      </left>
      <right/>
      <top/>
      <bottom style="thick">
        <color rgb="FF0070C0"/>
      </bottom>
      <diagonal/>
    </border>
    <border>
      <left/>
      <right/>
      <top/>
      <bottom style="thick">
        <color rgb="FF0070C0"/>
      </bottom>
      <diagonal/>
    </border>
    <border>
      <left/>
      <right style="thick">
        <color rgb="FF0070C0"/>
      </right>
      <top/>
      <bottom style="thick">
        <color rgb="FF0070C0"/>
      </bottom>
      <diagonal/>
    </border>
    <border>
      <left style="thick">
        <color rgb="FF002060"/>
      </left>
      <right/>
      <top style="thick">
        <color rgb="FF002060"/>
      </top>
      <bottom/>
      <diagonal/>
    </border>
    <border>
      <left/>
      <right/>
      <top style="thick">
        <color rgb="FF002060"/>
      </top>
      <bottom/>
      <diagonal/>
    </border>
    <border>
      <left/>
      <right style="thick">
        <color rgb="FF002060"/>
      </right>
      <top style="thick">
        <color rgb="FF002060"/>
      </top>
      <bottom/>
      <diagonal/>
    </border>
    <border>
      <left style="thick">
        <color rgb="FF002060"/>
      </left>
      <right/>
      <top/>
      <bottom/>
      <diagonal/>
    </border>
    <border>
      <left/>
      <right style="thick">
        <color rgb="FF002060"/>
      </right>
      <top/>
      <bottom/>
      <diagonal/>
    </border>
    <border>
      <left style="thick">
        <color rgb="FF002060"/>
      </left>
      <right/>
      <top/>
      <bottom style="thick">
        <color rgb="FF002060"/>
      </bottom>
      <diagonal/>
    </border>
    <border>
      <left/>
      <right style="thick">
        <color rgb="FF002060"/>
      </right>
      <top/>
      <bottom style="thick">
        <color rgb="FF002060"/>
      </bottom>
      <diagonal/>
    </border>
    <border>
      <left style="thick">
        <color rgb="FF7030A0"/>
      </left>
      <right/>
      <top style="thick">
        <color rgb="FF7030A0"/>
      </top>
      <bottom/>
      <diagonal/>
    </border>
    <border>
      <left/>
      <right/>
      <top style="thick">
        <color rgb="FF7030A0"/>
      </top>
      <bottom/>
      <diagonal/>
    </border>
    <border>
      <left/>
      <right style="thick">
        <color rgb="FF7030A0"/>
      </right>
      <top style="thick">
        <color rgb="FF7030A0"/>
      </top>
      <bottom/>
      <diagonal/>
    </border>
    <border>
      <left style="thick">
        <color rgb="FF7030A0"/>
      </left>
      <right/>
      <top/>
      <bottom/>
      <diagonal/>
    </border>
    <border>
      <left/>
      <right style="thick">
        <color rgb="FF7030A0"/>
      </right>
      <top/>
      <bottom/>
      <diagonal/>
    </border>
    <border>
      <left/>
      <right style="thick">
        <color rgb="FFFFC000"/>
      </right>
      <top style="thick">
        <color rgb="FFFFC000"/>
      </top>
      <bottom/>
      <diagonal/>
    </border>
    <border>
      <left/>
      <right style="thick">
        <color rgb="FFFFFF00"/>
      </right>
      <top/>
      <bottom style="thick">
        <color rgb="FFFFFF00"/>
      </bottom>
      <diagonal/>
    </border>
    <border>
      <left style="thick">
        <color rgb="FF92D050"/>
      </left>
      <right/>
      <top/>
      <bottom style="thick">
        <color rgb="FF92D050"/>
      </bottom>
      <diagonal/>
    </border>
    <border>
      <left/>
      <right style="thick">
        <color rgb="FF92D050"/>
      </right>
      <top/>
      <bottom style="thick">
        <color rgb="FF92D050"/>
      </bottom>
      <diagonal/>
    </border>
    <border>
      <left style="thick">
        <color rgb="FF00B050"/>
      </left>
      <right/>
      <top/>
      <bottom style="thick">
        <color rgb="FF00B050"/>
      </bottom>
      <diagonal/>
    </border>
    <border>
      <left/>
      <right/>
      <top/>
      <bottom style="thick">
        <color rgb="FF00B050"/>
      </bottom>
      <diagonal/>
    </border>
    <border>
      <left style="thick">
        <color rgb="FF00B0F0"/>
      </left>
      <right/>
      <top/>
      <bottom style="thick">
        <color rgb="FF00B0F0"/>
      </bottom>
      <diagonal/>
    </border>
    <border>
      <left/>
      <right/>
      <top/>
      <bottom style="thick">
        <color rgb="FF00B0F0"/>
      </bottom>
      <diagonal/>
    </border>
    <border>
      <left/>
      <right style="thick">
        <color rgb="FF00B0F0"/>
      </right>
      <top/>
      <bottom style="thick">
        <color rgb="FF00B0F0"/>
      </bottom>
      <diagonal/>
    </border>
    <border>
      <left/>
      <right/>
      <top/>
      <bottom style="thick">
        <color rgb="FF002060"/>
      </bottom>
      <diagonal/>
    </border>
    <border>
      <left style="thick">
        <color rgb="FF7030A0"/>
      </left>
      <right/>
      <top/>
      <bottom style="thick">
        <color rgb="FF7030A0"/>
      </bottom>
      <diagonal/>
    </border>
    <border>
      <left/>
      <right/>
      <top/>
      <bottom style="thick">
        <color rgb="FF7030A0"/>
      </bottom>
      <diagonal/>
    </border>
    <border>
      <left/>
      <right style="thick">
        <color rgb="FF7030A0"/>
      </right>
      <top/>
      <bottom style="thick">
        <color rgb="FF7030A0"/>
      </bottom>
      <diagonal/>
    </border>
  </borders>
  <cellStyleXfs count="1">
    <xf numFmtId="0" fontId="0" fillId="0" borderId="0"/>
  </cellStyleXfs>
  <cellXfs count="335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0" xfId="0" applyFont="1"/>
    <xf numFmtId="0" fontId="1" fillId="0" borderId="4" xfId="0" applyFont="1" applyBorder="1"/>
    <xf numFmtId="0" fontId="1" fillId="0" borderId="3" xfId="0" applyFont="1" applyBorder="1"/>
    <xf numFmtId="0" fontId="0" fillId="0" borderId="3" xfId="0" applyBorder="1"/>
    <xf numFmtId="0" fontId="1" fillId="2" borderId="3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1" fillId="2" borderId="0" xfId="0" applyFont="1" applyFill="1"/>
    <xf numFmtId="0" fontId="0" fillId="0" borderId="10" xfId="0" applyBorder="1"/>
    <xf numFmtId="0" fontId="0" fillId="0" borderId="11" xfId="0" applyBorder="1"/>
    <xf numFmtId="0" fontId="1" fillId="2" borderId="10" xfId="0" applyFont="1" applyFill="1" applyBorder="1"/>
    <xf numFmtId="0" fontId="1" fillId="2" borderId="12" xfId="0" applyFont="1" applyFill="1" applyBorder="1"/>
    <xf numFmtId="0" fontId="1" fillId="2" borderId="13" xfId="0" applyFont="1" applyFill="1" applyBorder="1"/>
    <xf numFmtId="0" fontId="1" fillId="0" borderId="10" xfId="0" applyFont="1" applyBorder="1"/>
    <xf numFmtId="0" fontId="1" fillId="0" borderId="12" xfId="0" applyFont="1" applyBorder="1"/>
    <xf numFmtId="0" fontId="8" fillId="0" borderId="0" xfId="0" applyFont="1"/>
    <xf numFmtId="0" fontId="0" fillId="0" borderId="17" xfId="0" applyBorder="1"/>
    <xf numFmtId="0" fontId="1" fillId="0" borderId="19" xfId="0" applyFont="1" applyBorder="1"/>
    <xf numFmtId="0" fontId="0" fillId="0" borderId="19" xfId="0" applyBorder="1"/>
    <xf numFmtId="0" fontId="8" fillId="0" borderId="20" xfId="0" applyFont="1" applyBorder="1"/>
    <xf numFmtId="0" fontId="1" fillId="2" borderId="19" xfId="0" applyFont="1" applyFill="1" applyBorder="1"/>
    <xf numFmtId="0" fontId="1" fillId="2" borderId="21" xfId="0" applyFont="1" applyFill="1" applyBorder="1"/>
    <xf numFmtId="0" fontId="1" fillId="2" borderId="22" xfId="0" applyFont="1" applyFill="1" applyBorder="1"/>
    <xf numFmtId="0" fontId="0" fillId="0" borderId="4" xfId="0" applyBorder="1"/>
    <xf numFmtId="0" fontId="1" fillId="0" borderId="5" xfId="0" applyFont="1" applyBorder="1"/>
    <xf numFmtId="0" fontId="0" fillId="0" borderId="15" xfId="0" applyBorder="1"/>
    <xf numFmtId="0" fontId="0" fillId="0" borderId="23" xfId="0" applyBorder="1"/>
    <xf numFmtId="0" fontId="0" fillId="0" borderId="16" xfId="0" applyBorder="1"/>
    <xf numFmtId="0" fontId="1" fillId="0" borderId="21" xfId="0" applyFont="1" applyBorder="1"/>
    <xf numFmtId="0" fontId="0" fillId="0" borderId="9" xfId="0" applyBorder="1"/>
    <xf numFmtId="0" fontId="0" fillId="0" borderId="2" xfId="0" applyBorder="1"/>
    <xf numFmtId="0" fontId="9" fillId="2" borderId="0" xfId="0" applyFont="1" applyFill="1"/>
    <xf numFmtId="0" fontId="0" fillId="0" borderId="25" xfId="0" applyBorder="1"/>
    <xf numFmtId="0" fontId="0" fillId="0" borderId="26" xfId="0" applyBorder="1"/>
    <xf numFmtId="0" fontId="8" fillId="0" borderId="19" xfId="0" applyFont="1" applyBorder="1"/>
    <xf numFmtId="0" fontId="1" fillId="0" borderId="26" xfId="0" applyFont="1" applyBorder="1"/>
    <xf numFmtId="0" fontId="1" fillId="2" borderId="26" xfId="0" applyFont="1" applyFill="1" applyBorder="1"/>
    <xf numFmtId="0" fontId="8" fillId="0" borderId="26" xfId="0" applyFont="1" applyBorder="1"/>
    <xf numFmtId="0" fontId="9" fillId="2" borderId="26" xfId="0" applyFont="1" applyFill="1" applyBorder="1"/>
    <xf numFmtId="0" fontId="9" fillId="2" borderId="30" xfId="0" applyFont="1" applyFill="1" applyBorder="1"/>
    <xf numFmtId="0" fontId="1" fillId="0" borderId="30" xfId="0" applyFont="1" applyBorder="1"/>
    <xf numFmtId="0" fontId="0" fillId="5" borderId="0" xfId="0" applyFill="1"/>
    <xf numFmtId="0" fontId="0" fillId="5" borderId="3" xfId="0" applyFill="1" applyBorder="1"/>
    <xf numFmtId="0" fontId="0" fillId="5" borderId="4" xfId="0" applyFill="1" applyBorder="1"/>
    <xf numFmtId="0" fontId="3" fillId="0" borderId="1" xfId="0" applyFont="1" applyBorder="1"/>
    <xf numFmtId="0" fontId="0" fillId="0" borderId="7" xfId="0" applyBorder="1"/>
    <xf numFmtId="0" fontId="6" fillId="4" borderId="3" xfId="0" applyFont="1" applyFill="1" applyBorder="1"/>
    <xf numFmtId="0" fontId="5" fillId="4" borderId="0" xfId="0" applyFont="1" applyFill="1"/>
    <xf numFmtId="0" fontId="5" fillId="4" borderId="4" xfId="0" applyFont="1" applyFill="1" applyBorder="1"/>
    <xf numFmtId="0" fontId="3" fillId="0" borderId="8" xfId="0" applyFont="1" applyBorder="1"/>
    <xf numFmtId="0" fontId="0" fillId="3" borderId="10" xfId="0" applyFill="1" applyBorder="1"/>
    <xf numFmtId="0" fontId="0" fillId="3" borderId="0" xfId="0" applyFill="1"/>
    <xf numFmtId="0" fontId="0" fillId="3" borderId="11" xfId="0" applyFill="1" applyBorder="1"/>
    <xf numFmtId="0" fontId="1" fillId="3" borderId="11" xfId="0" applyFont="1" applyFill="1" applyBorder="1"/>
    <xf numFmtId="0" fontId="6" fillId="6" borderId="12" xfId="0" applyFont="1" applyFill="1" applyBorder="1"/>
    <xf numFmtId="0" fontId="5" fillId="6" borderId="16" xfId="0" applyFont="1" applyFill="1" applyBorder="1"/>
    <xf numFmtId="0" fontId="5" fillId="6" borderId="13" xfId="0" applyFont="1" applyFill="1" applyBorder="1"/>
    <xf numFmtId="0" fontId="0" fillId="3" borderId="19" xfId="0" applyFill="1" applyBorder="1"/>
    <xf numFmtId="0" fontId="0" fillId="3" borderId="20" xfId="0" applyFill="1" applyBorder="1"/>
    <xf numFmtId="0" fontId="0" fillId="0" borderId="20" xfId="0" applyBorder="1"/>
    <xf numFmtId="0" fontId="1" fillId="3" borderId="20" xfId="0" applyFont="1" applyFill="1" applyBorder="1"/>
    <xf numFmtId="0" fontId="1" fillId="7" borderId="19" xfId="0" applyFont="1" applyFill="1" applyBorder="1"/>
    <xf numFmtId="0" fontId="1" fillId="7" borderId="0" xfId="0" applyFont="1" applyFill="1"/>
    <xf numFmtId="0" fontId="7" fillId="7" borderId="0" xfId="0" applyFont="1" applyFill="1"/>
    <xf numFmtId="0" fontId="1" fillId="7" borderId="20" xfId="0" applyFont="1" applyFill="1" applyBorder="1"/>
    <xf numFmtId="0" fontId="0" fillId="0" borderId="31" xfId="0" applyBorder="1"/>
    <xf numFmtId="0" fontId="2" fillId="0" borderId="31" xfId="0" applyFont="1" applyBorder="1"/>
    <xf numFmtId="0" fontId="0" fillId="0" borderId="28" xfId="0" applyBorder="1"/>
    <xf numFmtId="0" fontId="0" fillId="0" borderId="29" xfId="0" applyBorder="1"/>
    <xf numFmtId="0" fontId="0" fillId="3" borderId="26" xfId="0" applyFill="1" applyBorder="1"/>
    <xf numFmtId="0" fontId="1" fillId="3" borderId="29" xfId="0" applyFont="1" applyFill="1" applyBorder="1"/>
    <xf numFmtId="0" fontId="1" fillId="2" borderId="25" xfId="0" applyFont="1" applyFill="1" applyBorder="1"/>
    <xf numFmtId="0" fontId="3" fillId="0" borderId="27" xfId="0" applyFont="1" applyBorder="1"/>
    <xf numFmtId="0" fontId="2" fillId="5" borderId="0" xfId="0" applyFont="1" applyFill="1"/>
    <xf numFmtId="0" fontId="0" fillId="8" borderId="26" xfId="0" applyFill="1" applyBorder="1"/>
    <xf numFmtId="0" fontId="1" fillId="8" borderId="0" xfId="0" applyFont="1" applyFill="1"/>
    <xf numFmtId="0" fontId="7" fillId="8" borderId="0" xfId="0" applyFont="1" applyFill="1"/>
    <xf numFmtId="0" fontId="1" fillId="8" borderId="29" xfId="0" applyFont="1" applyFill="1" applyBorder="1"/>
    <xf numFmtId="0" fontId="0" fillId="0" borderId="32" xfId="0" applyBorder="1"/>
    <xf numFmtId="0" fontId="0" fillId="0" borderId="33" xfId="0" applyBorder="1"/>
    <xf numFmtId="0" fontId="2" fillId="0" borderId="33" xfId="0" applyFont="1" applyBorder="1"/>
    <xf numFmtId="0" fontId="1" fillId="0" borderId="34" xfId="0" applyFont="1" applyBorder="1"/>
    <xf numFmtId="0" fontId="0" fillId="0" borderId="35" xfId="0" applyBorder="1"/>
    <xf numFmtId="0" fontId="1" fillId="0" borderId="36" xfId="0" applyFont="1" applyBorder="1"/>
    <xf numFmtId="0" fontId="3" fillId="0" borderId="19" xfId="0" applyFont="1" applyBorder="1"/>
    <xf numFmtId="0" fontId="1" fillId="9" borderId="35" xfId="0" applyFont="1" applyFill="1" applyBorder="1"/>
    <xf numFmtId="0" fontId="1" fillId="9" borderId="0" xfId="0" applyFont="1" applyFill="1"/>
    <xf numFmtId="0" fontId="7" fillId="9" borderId="0" xfId="0" applyFont="1" applyFill="1"/>
    <xf numFmtId="0" fontId="1" fillId="9" borderId="36" xfId="0" applyFont="1" applyFill="1" applyBorder="1"/>
    <xf numFmtId="0" fontId="0" fillId="0" borderId="37" xfId="0" applyBorder="1"/>
    <xf numFmtId="0" fontId="0" fillId="0" borderId="38" xfId="0" applyBorder="1"/>
    <xf numFmtId="0" fontId="2" fillId="0" borderId="38" xfId="0" applyFont="1" applyBorder="1"/>
    <xf numFmtId="0" fontId="1" fillId="0" borderId="39" xfId="0" applyFont="1" applyBorder="1"/>
    <xf numFmtId="0" fontId="0" fillId="0" borderId="40" xfId="0" applyBorder="1"/>
    <xf numFmtId="0" fontId="1" fillId="0" borderId="41" xfId="0" applyFont="1" applyBorder="1"/>
    <xf numFmtId="0" fontId="0" fillId="10" borderId="40" xfId="0" applyFill="1" applyBorder="1"/>
    <xf numFmtId="0" fontId="0" fillId="10" borderId="0" xfId="0" applyFill="1"/>
    <xf numFmtId="0" fontId="2" fillId="10" borderId="0" xfId="0" applyFont="1" applyFill="1"/>
    <xf numFmtId="0" fontId="1" fillId="10" borderId="41" xfId="0" applyFont="1" applyFill="1" applyBorder="1"/>
    <xf numFmtId="0" fontId="0" fillId="0" borderId="42" xfId="0" applyBorder="1"/>
    <xf numFmtId="0" fontId="0" fillId="0" borderId="43" xfId="0" applyBorder="1"/>
    <xf numFmtId="0" fontId="2" fillId="0" borderId="43" xfId="0" applyFont="1" applyBorder="1"/>
    <xf numFmtId="0" fontId="1" fillId="0" borderId="44" xfId="0" applyFont="1" applyBorder="1"/>
    <xf numFmtId="0" fontId="0" fillId="0" borderId="45" xfId="0" applyBorder="1"/>
    <xf numFmtId="0" fontId="1" fillId="0" borderId="46" xfId="0" applyFont="1" applyBorder="1"/>
    <xf numFmtId="0" fontId="0" fillId="5" borderId="33" xfId="0" applyFill="1" applyBorder="1"/>
    <xf numFmtId="0" fontId="0" fillId="5" borderId="38" xfId="0" applyFill="1" applyBorder="1"/>
    <xf numFmtId="0" fontId="0" fillId="5" borderId="43" xfId="0" applyFill="1" applyBorder="1"/>
    <xf numFmtId="0" fontId="0" fillId="11" borderId="45" xfId="0" applyFill="1" applyBorder="1"/>
    <xf numFmtId="0" fontId="0" fillId="11" borderId="0" xfId="0" applyFill="1"/>
    <xf numFmtId="0" fontId="2" fillId="11" borderId="0" xfId="0" applyFont="1" applyFill="1"/>
    <xf numFmtId="0" fontId="1" fillId="11" borderId="46" xfId="0" applyFont="1" applyFill="1" applyBorder="1"/>
    <xf numFmtId="0" fontId="0" fillId="0" borderId="48" xfId="0" applyBorder="1"/>
    <xf numFmtId="0" fontId="2" fillId="0" borderId="48" xfId="0" applyFont="1" applyBorder="1"/>
    <xf numFmtId="0" fontId="0" fillId="0" borderId="50" xfId="0" applyBorder="1"/>
    <xf numFmtId="0" fontId="0" fillId="0" borderId="53" xfId="0" applyBorder="1"/>
    <xf numFmtId="0" fontId="3" fillId="0" borderId="47" xfId="0" applyFont="1" applyBorder="1"/>
    <xf numFmtId="0" fontId="1" fillId="0" borderId="50" xfId="0" applyFont="1" applyBorder="1"/>
    <xf numFmtId="0" fontId="8" fillId="0" borderId="50" xfId="0" applyFont="1" applyBorder="1"/>
    <xf numFmtId="0" fontId="8" fillId="0" borderId="51" xfId="0" applyFont="1" applyBorder="1"/>
    <xf numFmtId="0" fontId="1" fillId="0" borderId="52" xfId="0" applyFont="1" applyBorder="1"/>
    <xf numFmtId="0" fontId="1" fillId="2" borderId="50" xfId="0" applyFont="1" applyFill="1" applyBorder="1"/>
    <xf numFmtId="0" fontId="1" fillId="2" borderId="52" xfId="0" applyFont="1" applyFill="1" applyBorder="1"/>
    <xf numFmtId="0" fontId="9" fillId="2" borderId="54" xfId="0" applyFont="1" applyFill="1" applyBorder="1"/>
    <xf numFmtId="0" fontId="0" fillId="5" borderId="50" xfId="0" applyFill="1" applyBorder="1"/>
    <xf numFmtId="0" fontId="1" fillId="5" borderId="51" xfId="0" applyFont="1" applyFill="1" applyBorder="1"/>
    <xf numFmtId="0" fontId="0" fillId="11" borderId="53" xfId="0" applyFill="1" applyBorder="1"/>
    <xf numFmtId="0" fontId="0" fillId="0" borderId="49" xfId="0" applyBorder="1"/>
    <xf numFmtId="0" fontId="0" fillId="5" borderId="51" xfId="0" applyFill="1" applyBorder="1"/>
    <xf numFmtId="0" fontId="0" fillId="0" borderId="51" xfId="0" applyBorder="1"/>
    <xf numFmtId="0" fontId="1" fillId="12" borderId="50" xfId="0" applyFont="1" applyFill="1" applyBorder="1"/>
    <xf numFmtId="0" fontId="5" fillId="12" borderId="0" xfId="0" applyFont="1" applyFill="1"/>
    <xf numFmtId="0" fontId="5" fillId="12" borderId="51" xfId="0" applyFont="1" applyFill="1" applyBorder="1"/>
    <xf numFmtId="0" fontId="0" fillId="0" borderId="56" xfId="0" applyBorder="1"/>
    <xf numFmtId="0" fontId="2" fillId="0" borderId="56" xfId="0" applyFont="1" applyBorder="1"/>
    <xf numFmtId="0" fontId="0" fillId="0" borderId="58" xfId="0" applyBorder="1"/>
    <xf numFmtId="0" fontId="1" fillId="0" borderId="58" xfId="0" applyFont="1" applyBorder="1"/>
    <xf numFmtId="0" fontId="0" fillId="0" borderId="59" xfId="0" applyBorder="1"/>
    <xf numFmtId="0" fontId="1" fillId="2" borderId="58" xfId="0" applyFont="1" applyFill="1" applyBorder="1"/>
    <xf numFmtId="0" fontId="1" fillId="2" borderId="59" xfId="0" applyFont="1" applyFill="1" applyBorder="1"/>
    <xf numFmtId="0" fontId="1" fillId="2" borderId="60" xfId="0" applyFont="1" applyFill="1" applyBorder="1"/>
    <xf numFmtId="0" fontId="1" fillId="2" borderId="61" xfId="0" applyFont="1" applyFill="1" applyBorder="1"/>
    <xf numFmtId="0" fontId="0" fillId="5" borderId="58" xfId="0" applyFill="1" applyBorder="1"/>
    <xf numFmtId="0" fontId="1" fillId="5" borderId="59" xfId="0" applyFont="1" applyFill="1" applyBorder="1"/>
    <xf numFmtId="0" fontId="1" fillId="0" borderId="60" xfId="0" applyFont="1" applyBorder="1"/>
    <xf numFmtId="0" fontId="0" fillId="0" borderId="61" xfId="0" applyBorder="1"/>
    <xf numFmtId="0" fontId="0" fillId="0" borderId="57" xfId="0" applyBorder="1"/>
    <xf numFmtId="0" fontId="0" fillId="13" borderId="58" xfId="0" applyFill="1" applyBorder="1"/>
    <xf numFmtId="0" fontId="5" fillId="13" borderId="0" xfId="0" applyFont="1" applyFill="1"/>
    <xf numFmtId="0" fontId="5" fillId="13" borderId="59" xfId="0" applyFont="1" applyFill="1" applyBorder="1"/>
    <xf numFmtId="0" fontId="0" fillId="0" borderId="63" xfId="0" applyBorder="1"/>
    <xf numFmtId="0" fontId="2" fillId="0" borderId="63" xfId="0" applyFont="1" applyBorder="1"/>
    <xf numFmtId="0" fontId="1" fillId="0" borderId="64" xfId="0" applyFont="1" applyBorder="1"/>
    <xf numFmtId="0" fontId="0" fillId="0" borderId="65" xfId="0" applyBorder="1"/>
    <xf numFmtId="0" fontId="1" fillId="0" borderId="66" xfId="0" applyFont="1" applyBorder="1"/>
    <xf numFmtId="0" fontId="0" fillId="14" borderId="65" xfId="0" applyFill="1" applyBorder="1"/>
    <xf numFmtId="0" fontId="0" fillId="14" borderId="0" xfId="0" applyFill="1"/>
    <xf numFmtId="0" fontId="2" fillId="14" borderId="0" xfId="0" applyFont="1" applyFill="1"/>
    <xf numFmtId="0" fontId="1" fillId="14" borderId="66" xfId="0" applyFont="1" applyFill="1" applyBorder="1"/>
    <xf numFmtId="0" fontId="2" fillId="0" borderId="7" xfId="0" applyFont="1" applyBorder="1"/>
    <xf numFmtId="0" fontId="1" fillId="0" borderId="2" xfId="0" applyFont="1" applyBorder="1"/>
    <xf numFmtId="0" fontId="3" fillId="0" borderId="55" xfId="0" applyFont="1" applyBorder="1"/>
    <xf numFmtId="0" fontId="3" fillId="0" borderId="62" xfId="0" applyFont="1" applyBorder="1"/>
    <xf numFmtId="0" fontId="0" fillId="4" borderId="3" xfId="0" applyFill="1" applyBorder="1"/>
    <xf numFmtId="0" fontId="0" fillId="4" borderId="0" xfId="0" applyFill="1"/>
    <xf numFmtId="0" fontId="2" fillId="4" borderId="0" xfId="0" applyFont="1" applyFill="1"/>
    <xf numFmtId="0" fontId="1" fillId="4" borderId="4" xfId="0" applyFont="1" applyFill="1" applyBorder="1"/>
    <xf numFmtId="0" fontId="2" fillId="0" borderId="15" xfId="0" applyFont="1" applyBorder="1"/>
    <xf numFmtId="0" fontId="0" fillId="5" borderId="10" xfId="0" applyFill="1" applyBorder="1"/>
    <xf numFmtId="0" fontId="0" fillId="5" borderId="11" xfId="0" applyFill="1" applyBorder="1"/>
    <xf numFmtId="0" fontId="0" fillId="6" borderId="10" xfId="0" applyFill="1" applyBorder="1"/>
    <xf numFmtId="0" fontId="5" fillId="6" borderId="0" xfId="0" applyFont="1" applyFill="1"/>
    <xf numFmtId="0" fontId="5" fillId="6" borderId="11" xfId="0" applyFont="1" applyFill="1" applyBorder="1"/>
    <xf numFmtId="0" fontId="0" fillId="0" borderId="24" xfId="0" applyBorder="1"/>
    <xf numFmtId="0" fontId="2" fillId="0" borderId="24" xfId="0" applyFont="1" applyBorder="1"/>
    <xf numFmtId="0" fontId="0" fillId="0" borderId="67" xfId="0" applyBorder="1"/>
    <xf numFmtId="0" fontId="3" fillId="0" borderId="18" xfId="0" applyFont="1" applyBorder="1"/>
    <xf numFmtId="0" fontId="0" fillId="5" borderId="19" xfId="0" applyFill="1" applyBorder="1"/>
    <xf numFmtId="0" fontId="0" fillId="5" borderId="20" xfId="0" applyFill="1" applyBorder="1"/>
    <xf numFmtId="0" fontId="1" fillId="2" borderId="16" xfId="0" applyFont="1" applyFill="1" applyBorder="1"/>
    <xf numFmtId="0" fontId="0" fillId="0" borderId="68" xfId="0" applyBorder="1"/>
    <xf numFmtId="0" fontId="0" fillId="5" borderId="26" xfId="0" applyFill="1" applyBorder="1"/>
    <xf numFmtId="0" fontId="0" fillId="5" borderId="29" xfId="0" applyFill="1" applyBorder="1"/>
    <xf numFmtId="0" fontId="1" fillId="2" borderId="17" xfId="0" applyFont="1" applyFill="1" applyBorder="1"/>
    <xf numFmtId="0" fontId="0" fillId="15" borderId="26" xfId="0" applyFill="1" applyBorder="1"/>
    <xf numFmtId="0" fontId="1" fillId="2" borderId="30" xfId="0" applyFont="1" applyFill="1" applyBorder="1"/>
    <xf numFmtId="0" fontId="3" fillId="0" borderId="18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3" fillId="0" borderId="27" xfId="0" applyFont="1" applyBorder="1" applyAlignment="1">
      <alignment horizontal="center"/>
    </xf>
    <xf numFmtId="0" fontId="3" fillId="0" borderId="55" xfId="0" applyFont="1" applyBorder="1" applyAlignment="1">
      <alignment horizontal="center"/>
    </xf>
    <xf numFmtId="0" fontId="3" fillId="0" borderId="56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31" xfId="0" applyFont="1" applyBorder="1" applyAlignment="1">
      <alignment horizontal="center"/>
    </xf>
    <xf numFmtId="0" fontId="3" fillId="0" borderId="47" xfId="0" applyFont="1" applyBorder="1" applyAlignment="1">
      <alignment horizontal="center"/>
    </xf>
    <xf numFmtId="0" fontId="3" fillId="0" borderId="48" xfId="0" applyFont="1" applyBorder="1" applyAlignment="1">
      <alignment horizontal="center"/>
    </xf>
    <xf numFmtId="0" fontId="3" fillId="0" borderId="1" xfId="0" quotePrefix="1" applyFont="1" applyBorder="1" applyAlignment="1">
      <alignment horizontal="center"/>
    </xf>
    <xf numFmtId="0" fontId="3" fillId="0" borderId="7" xfId="0" quotePrefix="1" applyFont="1" applyBorder="1" applyAlignment="1">
      <alignment horizontal="center"/>
    </xf>
    <xf numFmtId="0" fontId="3" fillId="0" borderId="0" xfId="0" applyFont="1"/>
    <xf numFmtId="0" fontId="1" fillId="8" borderId="26" xfId="0" applyFont="1" applyFill="1" applyBorder="1"/>
    <xf numFmtId="0" fontId="1" fillId="8" borderId="0" xfId="0" applyFont="1" applyFill="1" applyBorder="1"/>
    <xf numFmtId="0" fontId="7" fillId="8" borderId="0" xfId="0" applyFont="1" applyFill="1" applyBorder="1"/>
    <xf numFmtId="0" fontId="0" fillId="0" borderId="0" xfId="0" applyBorder="1"/>
    <xf numFmtId="0" fontId="2" fillId="0" borderId="0" xfId="0" applyFont="1" applyBorder="1"/>
    <xf numFmtId="0" fontId="1" fillId="0" borderId="0" xfId="0" applyFont="1" applyBorder="1"/>
    <xf numFmtId="0" fontId="3" fillId="0" borderId="32" xfId="0" applyFont="1" applyBorder="1"/>
    <xf numFmtId="0" fontId="0" fillId="0" borderId="34" xfId="0" applyBorder="1"/>
    <xf numFmtId="0" fontId="0" fillId="0" borderId="36" xfId="0" applyBorder="1"/>
    <xf numFmtId="0" fontId="1" fillId="0" borderId="69" xfId="0" applyFont="1" applyBorder="1"/>
    <xf numFmtId="0" fontId="0" fillId="5" borderId="35" xfId="0" applyFill="1" applyBorder="1"/>
    <xf numFmtId="0" fontId="0" fillId="5" borderId="0" xfId="0" applyFill="1" applyBorder="1"/>
    <xf numFmtId="0" fontId="2" fillId="5" borderId="0" xfId="0" applyFont="1" applyFill="1" applyBorder="1"/>
    <xf numFmtId="0" fontId="0" fillId="5" borderId="36" xfId="0" applyFill="1" applyBorder="1"/>
    <xf numFmtId="0" fontId="0" fillId="0" borderId="0" xfId="0" applyFill="1" applyBorder="1"/>
    <xf numFmtId="0" fontId="1" fillId="0" borderId="0" xfId="0" applyFont="1" applyFill="1" applyBorder="1"/>
    <xf numFmtId="0" fontId="0" fillId="15" borderId="0" xfId="0" applyFill="1" applyBorder="1"/>
    <xf numFmtId="0" fontId="1" fillId="2" borderId="0" xfId="0" applyFont="1" applyFill="1" applyBorder="1"/>
    <xf numFmtId="0" fontId="0" fillId="0" borderId="35" xfId="0" applyFill="1" applyBorder="1"/>
    <xf numFmtId="0" fontId="2" fillId="0" borderId="0" xfId="0" applyFont="1" applyFill="1" applyBorder="1"/>
    <xf numFmtId="0" fontId="3" fillId="0" borderId="32" xfId="0" applyFont="1" applyBorder="1" applyAlignment="1">
      <alignment horizontal="center"/>
    </xf>
    <xf numFmtId="0" fontId="1" fillId="0" borderId="35" xfId="0" applyFont="1" applyFill="1" applyBorder="1"/>
    <xf numFmtId="0" fontId="0" fillId="15" borderId="35" xfId="0" applyFill="1" applyBorder="1"/>
    <xf numFmtId="0" fontId="0" fillId="15" borderId="36" xfId="0" applyFill="1" applyBorder="1"/>
    <xf numFmtId="0" fontId="1" fillId="2" borderId="35" xfId="0" applyFont="1" applyFill="1" applyBorder="1"/>
    <xf numFmtId="0" fontId="1" fillId="2" borderId="36" xfId="0" applyFont="1" applyFill="1" applyBorder="1"/>
    <xf numFmtId="0" fontId="1" fillId="2" borderId="69" xfId="0" applyFont="1" applyFill="1" applyBorder="1"/>
    <xf numFmtId="0" fontId="1" fillId="9" borderId="0" xfId="0" applyFont="1" applyFill="1" applyBorder="1"/>
    <xf numFmtId="0" fontId="1" fillId="0" borderId="35" xfId="0" applyFont="1" applyBorder="1"/>
    <xf numFmtId="0" fontId="0" fillId="0" borderId="70" xfId="0" applyBorder="1"/>
    <xf numFmtId="0" fontId="7" fillId="9" borderId="0" xfId="0" applyFont="1" applyFill="1" applyBorder="1"/>
    <xf numFmtId="0" fontId="3" fillId="0" borderId="37" xfId="0" applyFont="1" applyBorder="1"/>
    <xf numFmtId="0" fontId="0" fillId="0" borderId="39" xfId="0" applyBorder="1"/>
    <xf numFmtId="0" fontId="0" fillId="0" borderId="41" xfId="0" applyBorder="1"/>
    <xf numFmtId="0" fontId="0" fillId="0" borderId="72" xfId="0" applyBorder="1"/>
    <xf numFmtId="0" fontId="0" fillId="5" borderId="40" xfId="0" applyFill="1" applyBorder="1"/>
    <xf numFmtId="0" fontId="0" fillId="5" borderId="41" xfId="0" applyFill="1" applyBorder="1"/>
    <xf numFmtId="0" fontId="3" fillId="0" borderId="33" xfId="0" applyFont="1" applyBorder="1" applyAlignment="1">
      <alignment horizontal="center"/>
    </xf>
    <xf numFmtId="0" fontId="3" fillId="0" borderId="37" xfId="0" applyFont="1" applyBorder="1" applyAlignment="1">
      <alignment horizontal="center"/>
    </xf>
    <xf numFmtId="0" fontId="1" fillId="0" borderId="40" xfId="0" applyFont="1" applyFill="1" applyBorder="1"/>
    <xf numFmtId="0" fontId="0" fillId="15" borderId="40" xfId="0" applyFill="1" applyBorder="1"/>
    <xf numFmtId="0" fontId="1" fillId="2" borderId="40" xfId="0" applyFont="1" applyFill="1" applyBorder="1"/>
    <xf numFmtId="0" fontId="1" fillId="2" borderId="71" xfId="0" applyFont="1" applyFill="1" applyBorder="1"/>
    <xf numFmtId="0" fontId="0" fillId="0" borderId="41" xfId="0" applyFill="1" applyBorder="1"/>
    <xf numFmtId="0" fontId="1" fillId="10" borderId="0" xfId="0" applyFont="1" applyFill="1" applyBorder="1"/>
    <xf numFmtId="0" fontId="1" fillId="0" borderId="40" xfId="0" applyFont="1" applyBorder="1"/>
    <xf numFmtId="0" fontId="1" fillId="0" borderId="71" xfId="0" applyFont="1" applyBorder="1"/>
    <xf numFmtId="0" fontId="1" fillId="10" borderId="40" xfId="0" applyFont="1" applyFill="1" applyBorder="1"/>
    <xf numFmtId="0" fontId="7" fillId="10" borderId="0" xfId="0" applyFont="1" applyFill="1" applyBorder="1"/>
    <xf numFmtId="0" fontId="3" fillId="0" borderId="42" xfId="0" applyFont="1" applyBorder="1"/>
    <xf numFmtId="0" fontId="0" fillId="0" borderId="44" xfId="0" applyBorder="1"/>
    <xf numFmtId="0" fontId="0" fillId="0" borderId="46" xfId="0" applyBorder="1"/>
    <xf numFmtId="0" fontId="0" fillId="0" borderId="74" xfId="0" applyBorder="1"/>
    <xf numFmtId="0" fontId="0" fillId="5" borderId="45" xfId="0" applyFill="1" applyBorder="1"/>
    <xf numFmtId="0" fontId="0" fillId="5" borderId="46" xfId="0" applyFill="1" applyBorder="1"/>
    <xf numFmtId="0" fontId="3" fillId="0" borderId="38" xfId="0" applyFont="1" applyBorder="1" applyAlignment="1">
      <alignment horizontal="center"/>
    </xf>
    <xf numFmtId="0" fontId="1" fillId="2" borderId="72" xfId="0" applyFont="1" applyFill="1" applyBorder="1"/>
    <xf numFmtId="0" fontId="3" fillId="0" borderId="42" xfId="0" applyFont="1" applyBorder="1" applyAlignment="1">
      <alignment horizontal="center"/>
    </xf>
    <xf numFmtId="0" fontId="1" fillId="0" borderId="45" xfId="0" applyFont="1" applyFill="1" applyBorder="1"/>
    <xf numFmtId="0" fontId="0" fillId="15" borderId="45" xfId="0" applyFill="1" applyBorder="1"/>
    <xf numFmtId="0" fontId="1" fillId="2" borderId="45" xfId="0" applyFont="1" applyFill="1" applyBorder="1"/>
    <xf numFmtId="0" fontId="1" fillId="2" borderId="73" xfId="0" applyFont="1" applyFill="1" applyBorder="1"/>
    <xf numFmtId="0" fontId="1" fillId="2" borderId="75" xfId="0" applyFont="1" applyFill="1" applyBorder="1"/>
    <xf numFmtId="0" fontId="1" fillId="11" borderId="0" xfId="0" applyFont="1" applyFill="1" applyBorder="1"/>
    <xf numFmtId="0" fontId="1" fillId="0" borderId="45" xfId="0" applyFont="1" applyBorder="1"/>
    <xf numFmtId="0" fontId="1" fillId="0" borderId="73" xfId="0" applyFont="1" applyBorder="1"/>
    <xf numFmtId="0" fontId="1" fillId="11" borderId="45" xfId="0" applyFont="1" applyFill="1" applyBorder="1"/>
    <xf numFmtId="0" fontId="7" fillId="11" borderId="0" xfId="0" applyFont="1" applyFill="1" applyBorder="1"/>
    <xf numFmtId="0" fontId="5" fillId="0" borderId="0" xfId="0" applyFont="1"/>
    <xf numFmtId="0" fontId="8" fillId="0" borderId="0" xfId="0" applyFont="1" applyBorder="1"/>
    <xf numFmtId="0" fontId="8" fillId="15" borderId="0" xfId="0" applyFont="1" applyFill="1" applyBorder="1"/>
    <xf numFmtId="0" fontId="3" fillId="0" borderId="43" xfId="0" applyFont="1" applyBorder="1" applyAlignment="1">
      <alignment horizontal="center"/>
    </xf>
    <xf numFmtId="0" fontId="1" fillId="0" borderId="50" xfId="0" applyFont="1" applyFill="1" applyBorder="1"/>
    <xf numFmtId="0" fontId="0" fillId="15" borderId="50" xfId="0" applyFill="1" applyBorder="1"/>
    <xf numFmtId="0" fontId="8" fillId="15" borderId="51" xfId="0" applyFont="1" applyFill="1" applyBorder="1"/>
    <xf numFmtId="0" fontId="1" fillId="2" borderId="54" xfId="0" applyFont="1" applyFill="1" applyBorder="1"/>
    <xf numFmtId="0" fontId="8" fillId="0" borderId="51" xfId="0" applyFont="1" applyFill="1" applyBorder="1"/>
    <xf numFmtId="0" fontId="5" fillId="12" borderId="0" xfId="0" applyFont="1" applyFill="1" applyBorder="1"/>
    <xf numFmtId="0" fontId="5" fillId="12" borderId="50" xfId="0" applyFont="1" applyFill="1" applyBorder="1"/>
    <xf numFmtId="0" fontId="0" fillId="5" borderId="59" xfId="0" applyFill="1" applyBorder="1"/>
    <xf numFmtId="0" fontId="9" fillId="2" borderId="0" xfId="0" applyFont="1" applyFill="1" applyBorder="1"/>
    <xf numFmtId="0" fontId="1" fillId="0" borderId="58" xfId="0" applyFont="1" applyFill="1" applyBorder="1"/>
    <xf numFmtId="0" fontId="0" fillId="15" borderId="58" xfId="0" applyFill="1" applyBorder="1"/>
    <xf numFmtId="0" fontId="0" fillId="0" borderId="58" xfId="0" applyFill="1" applyBorder="1"/>
    <xf numFmtId="0" fontId="5" fillId="13" borderId="0" xfId="0" applyFont="1" applyFill="1" applyBorder="1"/>
    <xf numFmtId="0" fontId="5" fillId="13" borderId="58" xfId="0" applyFont="1" applyFill="1" applyBorder="1"/>
    <xf numFmtId="0" fontId="0" fillId="0" borderId="64" xfId="0" applyBorder="1"/>
    <xf numFmtId="0" fontId="0" fillId="0" borderId="66" xfId="0" applyBorder="1"/>
    <xf numFmtId="0" fontId="0" fillId="0" borderId="78" xfId="0" applyBorder="1"/>
    <xf numFmtId="0" fontId="0" fillId="5" borderId="65" xfId="0" applyFill="1" applyBorder="1"/>
    <xf numFmtId="0" fontId="0" fillId="5" borderId="66" xfId="0" applyFill="1" applyBorder="1"/>
    <xf numFmtId="0" fontId="1" fillId="2" borderId="76" xfId="0" applyFont="1" applyFill="1" applyBorder="1"/>
    <xf numFmtId="0" fontId="3" fillId="0" borderId="62" xfId="0" applyFont="1" applyBorder="1" applyAlignment="1">
      <alignment horizontal="center"/>
    </xf>
    <xf numFmtId="0" fontId="1" fillId="0" borderId="65" xfId="0" applyFont="1" applyFill="1" applyBorder="1"/>
    <xf numFmtId="0" fontId="0" fillId="0" borderId="66" xfId="0" applyFill="1" applyBorder="1"/>
    <xf numFmtId="0" fontId="0" fillId="15" borderId="65" xfId="0" applyFont="1" applyFill="1" applyBorder="1"/>
    <xf numFmtId="0" fontId="1" fillId="2" borderId="66" xfId="0" applyFont="1" applyFill="1" applyBorder="1"/>
    <xf numFmtId="0" fontId="0" fillId="15" borderId="66" xfId="0" applyFill="1" applyBorder="1"/>
    <xf numFmtId="0" fontId="1" fillId="2" borderId="65" xfId="0" applyFont="1" applyFill="1" applyBorder="1"/>
    <xf numFmtId="0" fontId="1" fillId="2" borderId="79" xfId="0" applyFont="1" applyFill="1" applyBorder="1"/>
    <xf numFmtId="0" fontId="5" fillId="14" borderId="0" xfId="0" applyFont="1" applyFill="1" applyBorder="1"/>
    <xf numFmtId="0" fontId="3" fillId="0" borderId="63" xfId="0" applyFont="1" applyBorder="1" applyAlignment="1">
      <alignment horizontal="center"/>
    </xf>
    <xf numFmtId="0" fontId="1" fillId="0" borderId="65" xfId="0" applyFont="1" applyBorder="1"/>
    <xf numFmtId="0" fontId="1" fillId="0" borderId="77" xfId="0" applyFont="1" applyBorder="1"/>
    <xf numFmtId="0" fontId="5" fillId="14" borderId="65" xfId="0" applyFont="1" applyFill="1" applyBorder="1"/>
    <xf numFmtId="0" fontId="5" fillId="14" borderId="66" xfId="0" applyFont="1" applyFill="1" applyBorder="1"/>
    <xf numFmtId="0" fontId="0" fillId="0" borderId="6" xfId="0" applyBorder="1"/>
    <xf numFmtId="0" fontId="5" fillId="4" borderId="5" xfId="0" applyFont="1" applyFill="1" applyBorder="1"/>
    <xf numFmtId="0" fontId="5" fillId="4" borderId="23" xfId="0" applyFont="1" applyFill="1" applyBorder="1"/>
    <xf numFmtId="0" fontId="5" fillId="4" borderId="6" xfId="0" applyFont="1" applyFill="1" applyBorder="1"/>
    <xf numFmtId="0" fontId="0" fillId="15" borderId="0" xfId="0" applyFont="1" applyFill="1" applyBorder="1"/>
    <xf numFmtId="0" fontId="3" fillId="0" borderId="2" xfId="0" applyFont="1" applyBorder="1" applyAlignment="1">
      <alignment horizontal="center"/>
    </xf>
    <xf numFmtId="0" fontId="1" fillId="0" borderId="3" xfId="0" applyFont="1" applyFill="1" applyBorder="1"/>
    <xf numFmtId="0" fontId="1" fillId="0" borderId="4" xfId="0" applyFont="1" applyFill="1" applyBorder="1"/>
    <xf numFmtId="0" fontId="0" fillId="15" borderId="3" xfId="0" applyFill="1" applyBorder="1"/>
    <xf numFmtId="0" fontId="1" fillId="2" borderId="4" xfId="0" applyFont="1" applyFill="1" applyBorder="1"/>
    <xf numFmtId="0" fontId="0" fillId="0" borderId="65" xfId="0" applyFont="1" applyBorder="1"/>
    <xf numFmtId="0" fontId="2" fillId="0" borderId="65" xfId="0" applyFont="1" applyBorder="1"/>
    <xf numFmtId="0" fontId="7" fillId="2" borderId="65" xfId="0" applyFont="1" applyFill="1" applyBorder="1"/>
    <xf numFmtId="0" fontId="2" fillId="15" borderId="65" xfId="0" applyFont="1" applyFill="1" applyBorder="1"/>
    <xf numFmtId="0" fontId="7" fillId="2" borderId="77" xfId="0" applyFont="1" applyFill="1" applyBorder="1"/>
    <xf numFmtId="0" fontId="0" fillId="0" borderId="0" xfId="0" applyFont="1" applyBorder="1"/>
    <xf numFmtId="0" fontId="0" fillId="0" borderId="0" xfId="0" applyFont="1"/>
    <xf numFmtId="0" fontId="2" fillId="0" borderId="4" xfId="0" applyFont="1" applyBorder="1"/>
    <xf numFmtId="0" fontId="0" fillId="15" borderId="4" xfId="0" applyFont="1" applyFill="1" applyBorder="1"/>
    <xf numFmtId="0" fontId="2" fillId="15" borderId="4" xfId="0" applyFont="1" applyFill="1" applyBorder="1"/>
    <xf numFmtId="0" fontId="2" fillId="0" borderId="4" xfId="0" applyFont="1" applyFill="1" applyBorder="1"/>
    <xf numFmtId="0" fontId="0" fillId="0" borderId="62" xfId="0" applyFont="1" applyBorder="1"/>
    <xf numFmtId="0" fontId="0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BEBEB"/>
      <color rgb="FFFF85FF"/>
      <color rgb="FFFF8AD8"/>
      <color rgb="FFF6E0D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96657-18F8-7644-BCD7-1000957145BC}">
  <dimension ref="A1:Y170"/>
  <sheetViews>
    <sheetView topLeftCell="F1" zoomScale="120" zoomScaleNormal="120" workbookViewId="0">
      <pane ySplit="1" topLeftCell="A139" activePane="bottomLeft" state="frozen"/>
      <selection pane="bottomLeft" activeCell="Y169" sqref="Y169"/>
    </sheetView>
  </sheetViews>
  <sheetFormatPr baseColWidth="10" defaultRowHeight="16" x14ac:dyDescent="0.2"/>
  <cols>
    <col min="1" max="1" width="10.1640625" bestFit="1" customWidth="1"/>
    <col min="2" max="2" width="11.1640625" customWidth="1"/>
    <col min="3" max="3" width="11.5" bestFit="1" customWidth="1"/>
    <col min="4" max="4" width="9.83203125" bestFit="1" customWidth="1"/>
    <col min="5" max="5" width="6.6640625" bestFit="1" customWidth="1"/>
    <col min="6" max="6" width="5.1640625" bestFit="1" customWidth="1"/>
    <col min="7" max="7" width="20.83203125" bestFit="1" customWidth="1"/>
    <col min="8" max="8" width="14.5" bestFit="1" customWidth="1"/>
    <col min="9" max="9" width="6.1640625" bestFit="1" customWidth="1"/>
    <col min="10" max="10" width="13.6640625" bestFit="1" customWidth="1"/>
    <col min="11" max="11" width="8.5" bestFit="1" customWidth="1"/>
    <col min="12" max="12" width="11.1640625" bestFit="1" customWidth="1"/>
    <col min="13" max="13" width="16.5" bestFit="1" customWidth="1"/>
    <col min="14" max="15" width="12.1640625" bestFit="1" customWidth="1"/>
    <col min="16" max="16" width="10.83203125" customWidth="1"/>
    <col min="17" max="17" width="12.5" customWidth="1"/>
    <col min="18" max="18" width="12.6640625" customWidth="1"/>
    <col min="19" max="22" width="12.1640625" bestFit="1" customWidth="1"/>
    <col min="23" max="23" width="15.5" bestFit="1" customWidth="1"/>
    <col min="24" max="24" width="15.33203125" bestFit="1" customWidth="1"/>
    <col min="25" max="25" width="20.33203125" customWidth="1"/>
  </cols>
  <sheetData>
    <row r="1" spans="1:25" s="3" customFormat="1" ht="89" thickBot="1" x14ac:dyDescent="0.3">
      <c r="A1" s="10" t="s">
        <v>4</v>
      </c>
      <c r="B1" s="11" t="s">
        <v>58</v>
      </c>
      <c r="C1" s="11" t="s">
        <v>59</v>
      </c>
      <c r="D1" s="11" t="s">
        <v>57</v>
      </c>
      <c r="E1" s="11" t="s">
        <v>2</v>
      </c>
      <c r="F1" s="10" t="s">
        <v>3</v>
      </c>
      <c r="G1" s="11" t="s">
        <v>50</v>
      </c>
      <c r="H1" s="11" t="s">
        <v>40</v>
      </c>
      <c r="I1" s="11" t="s">
        <v>41</v>
      </c>
      <c r="J1" s="11" t="s">
        <v>0</v>
      </c>
      <c r="K1" s="11" t="s">
        <v>53</v>
      </c>
      <c r="L1" s="11" t="s">
        <v>54</v>
      </c>
      <c r="M1" s="11" t="s">
        <v>42</v>
      </c>
      <c r="N1" s="11" t="s">
        <v>43</v>
      </c>
      <c r="O1" s="11" t="s">
        <v>44</v>
      </c>
      <c r="P1" s="11" t="s">
        <v>45</v>
      </c>
      <c r="Q1" s="11" t="s">
        <v>46</v>
      </c>
      <c r="R1" s="11" t="s">
        <v>47</v>
      </c>
      <c r="S1" s="10" t="s">
        <v>1</v>
      </c>
      <c r="T1" s="11" t="s">
        <v>60</v>
      </c>
      <c r="U1" s="11" t="s">
        <v>61</v>
      </c>
      <c r="V1" s="11" t="s">
        <v>62</v>
      </c>
      <c r="W1" s="11" t="s">
        <v>63</v>
      </c>
      <c r="X1" s="11" t="s">
        <v>64</v>
      </c>
      <c r="Y1" s="11" t="s">
        <v>49</v>
      </c>
    </row>
    <row r="2" spans="1:25" ht="22" thickTop="1" x14ac:dyDescent="0.25">
      <c r="A2" s="49" t="s">
        <v>25</v>
      </c>
      <c r="B2" s="50">
        <v>1000</v>
      </c>
      <c r="C2" s="50">
        <v>2650</v>
      </c>
      <c r="D2" s="50">
        <v>9.81</v>
      </c>
      <c r="E2" s="50">
        <v>4.1000000000000002E-2</v>
      </c>
      <c r="F2" s="50">
        <v>0.01</v>
      </c>
      <c r="G2" s="50">
        <v>23.74</v>
      </c>
      <c r="H2" s="50">
        <f>G2+3.55</f>
        <v>27.29</v>
      </c>
      <c r="I2" s="50">
        <f>H2 * 1000</f>
        <v>27290</v>
      </c>
      <c r="J2" s="50">
        <f>(1/3) * (I2^2)</f>
        <v>248248033.33333331</v>
      </c>
      <c r="K2" s="50">
        <v>0.5</v>
      </c>
      <c r="L2" s="50">
        <f>K2/31500000</f>
        <v>1.5873015873015872E-8</v>
      </c>
      <c r="M2" s="50" t="s">
        <v>26</v>
      </c>
      <c r="N2" s="50">
        <v>64</v>
      </c>
      <c r="O2" s="50">
        <f>N2/1000</f>
        <v>6.4000000000000001E-2</v>
      </c>
      <c r="P2" s="50">
        <v>17.25</v>
      </c>
      <c r="Q2" s="50">
        <v>54</v>
      </c>
      <c r="R2" s="50">
        <f xml:space="preserve"> Q2/100</f>
        <v>0.54</v>
      </c>
      <c r="S2" s="50">
        <v>2.8860029999999998E-3</v>
      </c>
      <c r="T2" s="50">
        <f>B2*D2*R2*S2</f>
        <v>15.288312292200001</v>
      </c>
      <c r="U2" s="50">
        <f>5.9 * (SQRT(D2)) * ((R2^(2/3)*(SQRT(S2)))/((O2^(1/6))))</f>
        <v>1.0408802032250186</v>
      </c>
      <c r="V2" s="50">
        <f>L2*J2</f>
        <v>3.9404449735449729</v>
      </c>
      <c r="W2" s="50">
        <f>U2*P2*R2</f>
        <v>9.6957990930410478</v>
      </c>
      <c r="X2" s="50">
        <v>0.9</v>
      </c>
      <c r="Y2" s="35">
        <f>E2*F2*W2*(S2^(7/6))*X2</f>
        <v>3.8960352892916149E-6</v>
      </c>
    </row>
    <row r="3" spans="1:25" x14ac:dyDescent="0.2">
      <c r="A3" s="47"/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 t="s">
        <v>27</v>
      </c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8"/>
    </row>
    <row r="4" spans="1:25" x14ac:dyDescent="0.2">
      <c r="A4" s="6"/>
      <c r="B4">
        <v>1000</v>
      </c>
      <c r="C4">
        <v>2650</v>
      </c>
      <c r="D4">
        <v>9.81</v>
      </c>
      <c r="E4">
        <v>4.1000000000000002E-2</v>
      </c>
      <c r="F4">
        <v>0.01</v>
      </c>
      <c r="G4">
        <v>23.74</v>
      </c>
      <c r="H4">
        <f t="shared" ref="H4:H5" si="0">G4+3.55</f>
        <v>27.29</v>
      </c>
      <c r="I4">
        <f t="shared" ref="I4:I5" si="1">H4 * 1000</f>
        <v>27290</v>
      </c>
      <c r="J4">
        <f t="shared" ref="J4:J5" si="2">(1/3) * (I4^2)</f>
        <v>248248033.33333331</v>
      </c>
      <c r="K4">
        <v>0.5</v>
      </c>
      <c r="L4">
        <f t="shared" ref="L4:L13" si="3">K4/31500000</f>
        <v>1.5873015873015872E-8</v>
      </c>
      <c r="M4" t="s">
        <v>28</v>
      </c>
      <c r="N4">
        <v>77</v>
      </c>
      <c r="O4">
        <f t="shared" ref="O4:O5" si="4">N4/1000</f>
        <v>7.6999999999999999E-2</v>
      </c>
      <c r="P4">
        <v>17.25</v>
      </c>
      <c r="Q4">
        <v>54</v>
      </c>
      <c r="R4">
        <f t="shared" ref="R4:R9" si="5" xml:space="preserve"> Q4/100</f>
        <v>0.54</v>
      </c>
      <c r="S4">
        <v>2.8860029999999998E-3</v>
      </c>
      <c r="T4">
        <f t="shared" ref="T4:T5" si="6">B4*D4*R4*S4</f>
        <v>15.288312292200001</v>
      </c>
      <c r="U4">
        <f t="shared" ref="U4:U5" si="7">5.9 * (SQRT(D4)) * ((R4^(2/3)*(SQRT(S4)))/((O4^(1/6))))</f>
        <v>1.0092891939317363</v>
      </c>
      <c r="V4">
        <f t="shared" ref="V4:V5" si="8">L4*J4</f>
        <v>3.9404449735449729</v>
      </c>
      <c r="W4">
        <f>U4*P2*R2</f>
        <v>9.4015288414741232</v>
      </c>
      <c r="X4">
        <v>0.9</v>
      </c>
      <c r="Y4" s="28">
        <f t="shared" ref="Y4:Y5" si="9">E4*F4*W4*(S4^(7/6))*X4</f>
        <v>3.7777895136013655E-6</v>
      </c>
    </row>
    <row r="5" spans="1:25" x14ac:dyDescent="0.2">
      <c r="A5" s="6"/>
      <c r="B5">
        <v>1000</v>
      </c>
      <c r="C5">
        <v>2650</v>
      </c>
      <c r="D5">
        <v>9.81</v>
      </c>
      <c r="E5">
        <v>4.1000000000000002E-2</v>
      </c>
      <c r="F5">
        <v>0.01</v>
      </c>
      <c r="G5">
        <v>23.74</v>
      </c>
      <c r="H5">
        <f t="shared" si="0"/>
        <v>27.29</v>
      </c>
      <c r="I5">
        <f t="shared" si="1"/>
        <v>27290</v>
      </c>
      <c r="J5">
        <f t="shared" si="2"/>
        <v>248248033.33333331</v>
      </c>
      <c r="K5">
        <v>0.5</v>
      </c>
      <c r="L5">
        <f t="shared" si="3"/>
        <v>1.5873015873015872E-8</v>
      </c>
      <c r="M5" t="s">
        <v>29</v>
      </c>
      <c r="N5">
        <v>109</v>
      </c>
      <c r="O5">
        <f t="shared" si="4"/>
        <v>0.109</v>
      </c>
      <c r="P5">
        <v>17.25</v>
      </c>
      <c r="Q5">
        <v>54</v>
      </c>
      <c r="R5">
        <f t="shared" si="5"/>
        <v>0.54</v>
      </c>
      <c r="S5">
        <v>2.8860029999999998E-3</v>
      </c>
      <c r="T5">
        <f t="shared" si="6"/>
        <v>15.288312292200001</v>
      </c>
      <c r="U5">
        <f t="shared" si="7"/>
        <v>0.95248832555803153</v>
      </c>
      <c r="V5">
        <f t="shared" si="8"/>
        <v>3.9404449735449729</v>
      </c>
      <c r="W5">
        <f>U5*P2*R2</f>
        <v>8.8724287525730645</v>
      </c>
      <c r="X5">
        <v>0.9</v>
      </c>
      <c r="Y5" s="28">
        <f t="shared" si="9"/>
        <v>3.5651827342998654E-6</v>
      </c>
    </row>
    <row r="6" spans="1:25" x14ac:dyDescent="0.2">
      <c r="A6" s="47"/>
      <c r="B6" s="46"/>
      <c r="C6" s="46"/>
      <c r="D6" s="46"/>
      <c r="E6" s="46"/>
      <c r="F6" s="46"/>
      <c r="G6" s="46"/>
      <c r="H6" s="46"/>
      <c r="I6" s="46"/>
      <c r="J6" s="46"/>
      <c r="K6" s="46"/>
      <c r="L6" s="46"/>
      <c r="M6" s="46" t="s">
        <v>30</v>
      </c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8"/>
    </row>
    <row r="7" spans="1:25" x14ac:dyDescent="0.2">
      <c r="A7" s="47"/>
      <c r="B7" s="46"/>
      <c r="C7" s="46"/>
      <c r="D7" s="46"/>
      <c r="E7" s="46"/>
      <c r="F7" s="46"/>
      <c r="G7" s="46"/>
      <c r="H7" s="46"/>
      <c r="I7" s="46"/>
      <c r="J7" s="46"/>
      <c r="K7" s="46"/>
      <c r="L7" s="46"/>
      <c r="M7" s="46" t="s">
        <v>31</v>
      </c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8"/>
    </row>
    <row r="8" spans="1:25" x14ac:dyDescent="0.2">
      <c r="A8" s="47"/>
      <c r="B8" s="46"/>
      <c r="C8" s="46"/>
      <c r="D8" s="46"/>
      <c r="E8" s="46"/>
      <c r="F8" s="46"/>
      <c r="G8" s="46"/>
      <c r="H8" s="46"/>
      <c r="I8" s="46"/>
      <c r="J8" s="46"/>
      <c r="K8" s="46"/>
      <c r="L8" s="46"/>
      <c r="M8" s="46" t="s">
        <v>32</v>
      </c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8"/>
    </row>
    <row r="9" spans="1:25" ht="17" thickBot="1" x14ac:dyDescent="0.25">
      <c r="A9" s="51"/>
      <c r="B9" s="52">
        <v>1000</v>
      </c>
      <c r="C9" s="52">
        <v>2650</v>
      </c>
      <c r="D9" s="52">
        <v>9.81</v>
      </c>
      <c r="E9" s="52">
        <v>4.1000000000000002E-2</v>
      </c>
      <c r="F9" s="52">
        <v>0.01</v>
      </c>
      <c r="G9" s="52">
        <v>23.74</v>
      </c>
      <c r="H9" s="52">
        <v>27.29</v>
      </c>
      <c r="I9" s="52">
        <v>27290</v>
      </c>
      <c r="J9" s="52">
        <f t="shared" ref="J9" si="10">(1/3) * (I9^2)</f>
        <v>248248033.33333331</v>
      </c>
      <c r="K9" s="52">
        <v>0.5</v>
      </c>
      <c r="L9" s="52">
        <f t="shared" si="3"/>
        <v>1.5873015873015872E-8</v>
      </c>
      <c r="M9" s="52" t="s">
        <v>48</v>
      </c>
      <c r="N9" s="52">
        <f>(64*(87/95))+(77*(2/95))+(109*(6/95))</f>
        <v>67.115789473684202</v>
      </c>
      <c r="O9" s="52">
        <f>N9/1000</f>
        <v>6.7115789473684198E-2</v>
      </c>
      <c r="P9" s="52">
        <v>17.25</v>
      </c>
      <c r="Q9" s="52">
        <v>54</v>
      </c>
      <c r="R9" s="52">
        <f t="shared" si="5"/>
        <v>0.54</v>
      </c>
      <c r="S9" s="52">
        <v>2.8860029999999998E-3</v>
      </c>
      <c r="T9" s="52">
        <f>T5</f>
        <v>15.288312292200001</v>
      </c>
      <c r="U9" s="52">
        <f>(U2* (87/95)) + (U4*(2/95)) + (U5*(6/95))</f>
        <v>1.0346324844398767</v>
      </c>
      <c r="V9" s="52">
        <f>V2</f>
        <v>3.9404449735449729</v>
      </c>
      <c r="W9" s="52">
        <f>(W2*(87/95))+(W4*(2/95))+(W5*(6/95))</f>
        <v>9.6376015925574485</v>
      </c>
      <c r="X9" s="52">
        <v>0.9</v>
      </c>
      <c r="Y9" s="53">
        <f>E9*F9*W9*(S9^(7/6))*X9</f>
        <v>3.8726499536986567E-6</v>
      </c>
    </row>
    <row r="10" spans="1:25" ht="22" thickTop="1" x14ac:dyDescent="0.25">
      <c r="A10" s="54" t="s">
        <v>24</v>
      </c>
      <c r="B10" s="30">
        <v>1000</v>
      </c>
      <c r="C10" s="30">
        <v>2650</v>
      </c>
      <c r="D10" s="30">
        <v>9.81</v>
      </c>
      <c r="E10" s="30">
        <v>4.1000000000000002E-2</v>
      </c>
      <c r="F10" s="30">
        <v>0.01</v>
      </c>
      <c r="G10" s="30">
        <v>23.74</v>
      </c>
      <c r="H10" s="30">
        <f>G10+5.53</f>
        <v>29.27</v>
      </c>
      <c r="I10" s="30">
        <f t="shared" ref="I10:I163" si="11">H10 * 1000</f>
        <v>29270</v>
      </c>
      <c r="J10" s="30">
        <f t="shared" ref="J10:J163" si="12">(1/3) * (I10^2)</f>
        <v>285577633.33333331</v>
      </c>
      <c r="K10" s="30">
        <v>0.5</v>
      </c>
      <c r="L10" s="30">
        <f t="shared" si="3"/>
        <v>1.5873015873015872E-8</v>
      </c>
      <c r="M10" s="30" t="s">
        <v>26</v>
      </c>
      <c r="N10" s="30">
        <v>128</v>
      </c>
      <c r="O10" s="30">
        <f>N10/1000</f>
        <v>0.128</v>
      </c>
      <c r="P10" s="30">
        <v>14</v>
      </c>
      <c r="Q10" s="30">
        <v>51</v>
      </c>
      <c r="R10" s="30">
        <f>Q10/100</f>
        <v>0.51</v>
      </c>
      <c r="S10" s="30">
        <v>3.8587849E-2</v>
      </c>
      <c r="T10" s="30">
        <f>B10*D10*R10*S10</f>
        <v>193.05886733190002</v>
      </c>
      <c r="U10" s="30">
        <f>5.9 * (SQRT(D10))*(((R10^(2/3))*(S10^(1/2)))/(O10^(1/6)))</f>
        <v>3.2640509031040676</v>
      </c>
      <c r="V10" s="30">
        <f>J10*L10</f>
        <v>4.5329783068783067</v>
      </c>
      <c r="W10" s="30">
        <f>P10*R10*U10</f>
        <v>23.305323448163044</v>
      </c>
      <c r="X10" s="30">
        <v>1</v>
      </c>
      <c r="Y10" s="34">
        <f>E10*F10*W10*(S10^(7/6))*X10</f>
        <v>2.1433741581280291E-4</v>
      </c>
    </row>
    <row r="11" spans="1:25" x14ac:dyDescent="0.2">
      <c r="A11" s="55"/>
      <c r="B11" s="56"/>
      <c r="C11" s="56"/>
      <c r="D11" s="56"/>
      <c r="E11" s="56"/>
      <c r="F11" s="56"/>
      <c r="G11" s="56"/>
      <c r="H11" s="56"/>
      <c r="I11" s="56"/>
      <c r="J11" s="56"/>
      <c r="K11" s="56"/>
      <c r="L11" s="56"/>
      <c r="M11" s="46" t="s">
        <v>27</v>
      </c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7"/>
    </row>
    <row r="12" spans="1:25" x14ac:dyDescent="0.2">
      <c r="A12" s="13"/>
      <c r="B12">
        <v>1000</v>
      </c>
      <c r="C12">
        <v>2650</v>
      </c>
      <c r="D12">
        <v>9.81</v>
      </c>
      <c r="E12">
        <v>4.1000000000000002E-2</v>
      </c>
      <c r="F12">
        <v>0.01</v>
      </c>
      <c r="G12">
        <v>23.74</v>
      </c>
      <c r="H12">
        <f t="shared" ref="H12:H13" si="13">G12+5.53</f>
        <v>29.27</v>
      </c>
      <c r="I12">
        <f t="shared" si="11"/>
        <v>29270</v>
      </c>
      <c r="J12">
        <f t="shared" si="12"/>
        <v>285577633.33333331</v>
      </c>
      <c r="K12">
        <v>0.5</v>
      </c>
      <c r="L12">
        <f t="shared" si="3"/>
        <v>1.5873015873015872E-8</v>
      </c>
      <c r="M12" t="s">
        <v>28</v>
      </c>
      <c r="N12">
        <v>109</v>
      </c>
      <c r="O12">
        <f t="shared" ref="O12:O13" si="14">N12/1000</f>
        <v>0.109</v>
      </c>
      <c r="P12">
        <v>14</v>
      </c>
      <c r="Q12">
        <v>51</v>
      </c>
      <c r="R12">
        <f t="shared" ref="R12:R13" si="15">Q12/100</f>
        <v>0.51</v>
      </c>
      <c r="S12">
        <v>3.8587849E-2</v>
      </c>
      <c r="T12">
        <f>B12*D12*R12*S12</f>
        <v>193.05886733190002</v>
      </c>
      <c r="U12">
        <f>5.9 * (SQRT(D12))*(((R12^(2/3))*(S12^(1/2)))/(O12^(1/6)))</f>
        <v>3.3526444726257352</v>
      </c>
      <c r="V12">
        <f t="shared" ref="V12:V13" si="16">J12*L12</f>
        <v>4.5329783068783067</v>
      </c>
      <c r="W12">
        <f t="shared" ref="W12:W17" si="17">P12*R12*U12</f>
        <v>23.937881534547753</v>
      </c>
      <c r="X12">
        <v>1</v>
      </c>
      <c r="Y12" s="14">
        <f t="shared" ref="Y12:Y13" si="18">E12*F12*W12*(S12^(7/6))*X12</f>
        <v>2.2015500791311237E-4</v>
      </c>
    </row>
    <row r="13" spans="1:25" x14ac:dyDescent="0.2">
      <c r="A13" s="13"/>
      <c r="B13">
        <v>1000</v>
      </c>
      <c r="C13">
        <v>2650</v>
      </c>
      <c r="D13">
        <v>9.81</v>
      </c>
      <c r="E13">
        <v>4.1000000000000002E-2</v>
      </c>
      <c r="F13">
        <v>0.01</v>
      </c>
      <c r="G13">
        <v>23.74</v>
      </c>
      <c r="H13">
        <f t="shared" si="13"/>
        <v>29.27</v>
      </c>
      <c r="I13">
        <f t="shared" si="11"/>
        <v>29270</v>
      </c>
      <c r="J13">
        <f t="shared" si="12"/>
        <v>285577633.33333331</v>
      </c>
      <c r="K13">
        <v>0.5</v>
      </c>
      <c r="L13">
        <f t="shared" si="3"/>
        <v>1.5873015873015872E-8</v>
      </c>
      <c r="M13" t="s">
        <v>29</v>
      </c>
      <c r="N13">
        <v>77</v>
      </c>
      <c r="O13">
        <f t="shared" si="14"/>
        <v>7.6999999999999999E-2</v>
      </c>
      <c r="P13">
        <v>14</v>
      </c>
      <c r="Q13">
        <v>51</v>
      </c>
      <c r="R13">
        <f t="shared" si="15"/>
        <v>0.51</v>
      </c>
      <c r="S13">
        <v>3.8587849E-2</v>
      </c>
      <c r="T13">
        <f>B13*D13*R13*S13</f>
        <v>193.05886733190002</v>
      </c>
      <c r="U13">
        <f>5.9 * (SQRT(D13))*(((R13^(2/3))*(SQRT(S13)))/(O13^(1/6)))</f>
        <v>3.5525767051618922</v>
      </c>
      <c r="V13">
        <f t="shared" si="16"/>
        <v>4.5329783068783067</v>
      </c>
      <c r="W13">
        <f t="shared" si="17"/>
        <v>25.365397674855913</v>
      </c>
      <c r="X13">
        <v>1</v>
      </c>
      <c r="Y13" s="14">
        <f t="shared" si="18"/>
        <v>2.3328377315961381E-4</v>
      </c>
    </row>
    <row r="14" spans="1:25" x14ac:dyDescent="0.2">
      <c r="A14" s="55"/>
      <c r="B14" s="56"/>
      <c r="C14" s="56"/>
      <c r="D14" s="56"/>
      <c r="E14" s="56"/>
      <c r="F14" s="56"/>
      <c r="G14" s="56"/>
      <c r="H14" s="56"/>
      <c r="I14" s="56"/>
      <c r="J14" s="56"/>
      <c r="K14" s="56"/>
      <c r="L14" s="56"/>
      <c r="M14" s="46" t="s">
        <v>30</v>
      </c>
      <c r="N14" s="56"/>
      <c r="O14" s="56"/>
      <c r="P14" s="56"/>
      <c r="Q14" s="56"/>
      <c r="R14" s="56"/>
      <c r="S14" s="56"/>
      <c r="T14" s="56"/>
      <c r="U14" s="56"/>
      <c r="V14" s="56"/>
      <c r="W14" s="56"/>
      <c r="X14" s="56"/>
      <c r="Y14" s="57"/>
    </row>
    <row r="15" spans="1:25" x14ac:dyDescent="0.2">
      <c r="A15" s="55"/>
      <c r="B15" s="56"/>
      <c r="C15" s="56"/>
      <c r="D15" s="56"/>
      <c r="E15" s="56"/>
      <c r="F15" s="56"/>
      <c r="G15" s="56"/>
      <c r="H15" s="56"/>
      <c r="I15" s="56"/>
      <c r="J15" s="56"/>
      <c r="K15" s="56"/>
      <c r="L15" s="56"/>
      <c r="M15" s="46" t="s">
        <v>31</v>
      </c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8"/>
    </row>
    <row r="16" spans="1:25" x14ac:dyDescent="0.2">
      <c r="A16" s="55"/>
      <c r="B16" s="56"/>
      <c r="C16" s="56"/>
      <c r="D16" s="56"/>
      <c r="E16" s="56"/>
      <c r="F16" s="56"/>
      <c r="G16" s="56"/>
      <c r="H16" s="56"/>
      <c r="I16" s="56"/>
      <c r="J16" s="56"/>
      <c r="K16" s="56"/>
      <c r="L16" s="56"/>
      <c r="M16" s="46" t="s">
        <v>32</v>
      </c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8"/>
    </row>
    <row r="17" spans="1:25" ht="17" thickBot="1" x14ac:dyDescent="0.25">
      <c r="A17" s="59"/>
      <c r="B17" s="60">
        <v>1000</v>
      </c>
      <c r="C17" s="60">
        <v>2650</v>
      </c>
      <c r="D17" s="60">
        <v>9.81</v>
      </c>
      <c r="E17" s="60">
        <v>4.1000000000000002E-2</v>
      </c>
      <c r="F17" s="60">
        <v>0.01</v>
      </c>
      <c r="G17" s="60">
        <v>23.74</v>
      </c>
      <c r="H17" s="60">
        <v>29.27</v>
      </c>
      <c r="I17" s="60">
        <v>29270</v>
      </c>
      <c r="J17" s="60">
        <f t="shared" si="12"/>
        <v>285577633.33333331</v>
      </c>
      <c r="K17" s="60">
        <v>0.5</v>
      </c>
      <c r="L17" s="60">
        <f t="shared" ref="L17" si="19">K17/31500000</f>
        <v>1.5873015873015872E-8</v>
      </c>
      <c r="M17" s="60" t="s">
        <v>48</v>
      </c>
      <c r="N17" s="60">
        <f>(N10*(80/94))+(N12*(6/94))+(N13*(8/94))</f>
        <v>122.44680851063831</v>
      </c>
      <c r="O17" s="60">
        <f>N17/1000</f>
        <v>0.1224468085106383</v>
      </c>
      <c r="P17" s="60">
        <v>14</v>
      </c>
      <c r="Q17" s="60">
        <v>51</v>
      </c>
      <c r="R17" s="60">
        <v>0.51</v>
      </c>
      <c r="S17" s="60">
        <v>3.8587849E-2</v>
      </c>
      <c r="T17" s="60">
        <f>T10</f>
        <v>193.05886733190002</v>
      </c>
      <c r="U17" s="60">
        <f>(U10*(80/94))+(U12*(6/94))+(U13*(8/94))</f>
        <v>3.2942611992061166</v>
      </c>
      <c r="V17" s="60">
        <f>V10</f>
        <v>4.5329783068783067</v>
      </c>
      <c r="W17" s="60">
        <f t="shared" si="17"/>
        <v>23.521024962331673</v>
      </c>
      <c r="X17" s="60">
        <v>1</v>
      </c>
      <c r="Y17" s="61">
        <f>E17*F17*W17*(S17^(7/6))*X17</f>
        <v>2.1632120742318952E-4</v>
      </c>
    </row>
    <row r="18" spans="1:25" ht="22" thickTop="1" x14ac:dyDescent="0.25">
      <c r="A18" s="89" t="s">
        <v>23</v>
      </c>
      <c r="B18">
        <v>1000</v>
      </c>
      <c r="C18">
        <v>2650</v>
      </c>
      <c r="D18">
        <v>9.81</v>
      </c>
      <c r="E18">
        <v>4.1000000000000002E-2</v>
      </c>
      <c r="F18">
        <v>0.01</v>
      </c>
      <c r="G18">
        <v>23.74</v>
      </c>
      <c r="H18">
        <f>G18+7.41</f>
        <v>31.15</v>
      </c>
      <c r="I18">
        <f t="shared" si="11"/>
        <v>31150</v>
      </c>
      <c r="J18">
        <f t="shared" si="12"/>
        <v>323440833.33333331</v>
      </c>
      <c r="K18">
        <v>0.5</v>
      </c>
      <c r="L18">
        <f>K18/31500000</f>
        <v>1.5873015873015872E-8</v>
      </c>
      <c r="M18" s="2" t="s">
        <v>26</v>
      </c>
      <c r="N18">
        <v>128</v>
      </c>
      <c r="O18">
        <f>N18/1000</f>
        <v>0.128</v>
      </c>
      <c r="P18">
        <v>10.5</v>
      </c>
      <c r="Q18">
        <v>90</v>
      </c>
      <c r="R18">
        <v>0.9</v>
      </c>
      <c r="S18">
        <v>6.4997336000000003E-2</v>
      </c>
      <c r="T18">
        <f>B18*D18*R18*S18</f>
        <v>573.86147954400008</v>
      </c>
      <c r="U18">
        <f>5.9 * (SQRT(D18))*(((R18^(2/3))*(S18^(1/2)))/(O18^(1/6)))</f>
        <v>6.1862524449137011</v>
      </c>
      <c r="V18">
        <f>J18*L18</f>
        <v>5.1339814814814808</v>
      </c>
      <c r="W18">
        <f>P18*R18*U18</f>
        <v>58.460085604434482</v>
      </c>
      <c r="X18">
        <v>0.95</v>
      </c>
      <c r="Y18" s="64">
        <f>E18*F18*W18*(S18^(7/6))*X18</f>
        <v>9.3845126776867711E-4</v>
      </c>
    </row>
    <row r="19" spans="1:25" x14ac:dyDescent="0.2">
      <c r="A19" s="62"/>
      <c r="B19" s="56"/>
      <c r="C19" s="56"/>
      <c r="D19" s="56"/>
      <c r="E19" s="56"/>
      <c r="F19" s="56"/>
      <c r="G19" s="56"/>
      <c r="H19" s="56"/>
      <c r="I19" s="56"/>
      <c r="J19" s="56"/>
      <c r="K19" s="56"/>
      <c r="L19" s="56"/>
      <c r="M19" s="78" t="s">
        <v>27</v>
      </c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63"/>
    </row>
    <row r="20" spans="1:25" x14ac:dyDescent="0.2">
      <c r="A20" s="23"/>
      <c r="B20">
        <v>1000</v>
      </c>
      <c r="C20">
        <v>2650</v>
      </c>
      <c r="D20">
        <v>9.81</v>
      </c>
      <c r="E20">
        <v>4.1000000000000002E-2</v>
      </c>
      <c r="F20">
        <v>0.01</v>
      </c>
      <c r="G20">
        <v>23.74</v>
      </c>
      <c r="H20">
        <f t="shared" ref="H20:H21" si="20">G20+7.41</f>
        <v>31.15</v>
      </c>
      <c r="I20">
        <f t="shared" si="11"/>
        <v>31150</v>
      </c>
      <c r="J20">
        <f t="shared" si="12"/>
        <v>323440833.33333331</v>
      </c>
      <c r="K20">
        <v>0.5</v>
      </c>
      <c r="L20">
        <f t="shared" ref="L20:L29" si="21">K20/31500000</f>
        <v>1.5873015873015872E-8</v>
      </c>
      <c r="M20" s="2" t="s">
        <v>28</v>
      </c>
      <c r="N20">
        <v>64</v>
      </c>
      <c r="O20">
        <f t="shared" ref="O20:O21" si="22">N20/1000</f>
        <v>6.4000000000000001E-2</v>
      </c>
      <c r="P20">
        <v>10.5</v>
      </c>
      <c r="Q20">
        <v>90</v>
      </c>
      <c r="R20">
        <v>0.9</v>
      </c>
      <c r="S20">
        <v>6.4997336000000003E-2</v>
      </c>
      <c r="T20">
        <f t="shared" ref="T20:T21" si="23">B20*D20*R20*S20</f>
        <v>573.86147954400008</v>
      </c>
      <c r="U20">
        <f t="shared" ref="U20:U21" si="24">5.9 * (SQRT(D20))*(((R20^(2/3))*(S20^(1/2)))/(O20^(1/6)))</f>
        <v>6.9438335906766993</v>
      </c>
      <c r="V20">
        <f t="shared" ref="V20:V21" si="25">J20*L20</f>
        <v>5.1339814814814808</v>
      </c>
      <c r="W20">
        <f t="shared" ref="W20:W25" si="26">P20*R20*U20</f>
        <v>65.619227431894814</v>
      </c>
      <c r="X20">
        <v>0.95</v>
      </c>
      <c r="Y20" s="64">
        <f t="shared" ref="Y20:Y21" si="27">E20*F20*W20*(S20^(7/6))*X20</f>
        <v>1.0533759322581572E-3</v>
      </c>
    </row>
    <row r="21" spans="1:25" x14ac:dyDescent="0.2">
      <c r="A21" s="23"/>
      <c r="B21">
        <v>1000</v>
      </c>
      <c r="C21">
        <v>2650</v>
      </c>
      <c r="D21">
        <v>9.81</v>
      </c>
      <c r="E21">
        <v>4.1000000000000002E-2</v>
      </c>
      <c r="F21">
        <v>0.01</v>
      </c>
      <c r="G21">
        <v>23.74</v>
      </c>
      <c r="H21">
        <f t="shared" si="20"/>
        <v>31.15</v>
      </c>
      <c r="I21">
        <f t="shared" si="11"/>
        <v>31150</v>
      </c>
      <c r="J21">
        <f t="shared" si="12"/>
        <v>323440833.33333331</v>
      </c>
      <c r="K21">
        <v>0.5</v>
      </c>
      <c r="L21">
        <f t="shared" si="21"/>
        <v>1.5873015873015872E-8</v>
      </c>
      <c r="M21" s="2" t="s">
        <v>29</v>
      </c>
      <c r="N21">
        <v>90</v>
      </c>
      <c r="O21">
        <f t="shared" si="22"/>
        <v>0.09</v>
      </c>
      <c r="P21">
        <v>10.5</v>
      </c>
      <c r="Q21">
        <v>90</v>
      </c>
      <c r="R21">
        <v>0.9</v>
      </c>
      <c r="S21">
        <v>6.4997336000000003E-2</v>
      </c>
      <c r="T21">
        <f t="shared" si="23"/>
        <v>573.86147954400008</v>
      </c>
      <c r="U21">
        <f t="shared" si="24"/>
        <v>6.5602775713470445</v>
      </c>
      <c r="V21">
        <f t="shared" si="25"/>
        <v>5.1339814814814808</v>
      </c>
      <c r="W21">
        <f t="shared" si="26"/>
        <v>61.994623049229574</v>
      </c>
      <c r="X21">
        <v>0.95</v>
      </c>
      <c r="Y21" s="64">
        <f t="shared" si="27"/>
        <v>9.9519068427394823E-4</v>
      </c>
    </row>
    <row r="22" spans="1:25" x14ac:dyDescent="0.2">
      <c r="A22" s="62"/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78" t="s">
        <v>30</v>
      </c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65"/>
    </row>
    <row r="23" spans="1:25" x14ac:dyDescent="0.2">
      <c r="A23" s="62"/>
      <c r="B23" s="56"/>
      <c r="C23" s="56"/>
      <c r="D23" s="56"/>
      <c r="E23" s="56"/>
      <c r="F23" s="56"/>
      <c r="G23" s="56"/>
      <c r="H23" s="56"/>
      <c r="I23" s="56"/>
      <c r="J23" s="56"/>
      <c r="K23" s="56"/>
      <c r="L23" s="56"/>
      <c r="M23" s="78" t="s">
        <v>31</v>
      </c>
      <c r="N23" s="56"/>
      <c r="O23" s="56"/>
      <c r="P23" s="56"/>
      <c r="Q23" s="56"/>
      <c r="R23" s="56"/>
      <c r="S23" s="56"/>
      <c r="T23" s="56"/>
      <c r="U23" s="56"/>
      <c r="V23" s="56"/>
      <c r="W23" s="56"/>
      <c r="X23" s="56"/>
      <c r="Y23" s="65"/>
    </row>
    <row r="24" spans="1:25" x14ac:dyDescent="0.2">
      <c r="A24" s="62"/>
      <c r="B24" s="56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78" t="s">
        <v>32</v>
      </c>
      <c r="N24" s="56"/>
      <c r="O24" s="56"/>
      <c r="P24" s="56"/>
      <c r="Q24" s="56"/>
      <c r="R24" s="56"/>
      <c r="S24" s="56"/>
      <c r="T24" s="56"/>
      <c r="U24" s="56"/>
      <c r="V24" s="56"/>
      <c r="W24" s="56"/>
      <c r="X24" s="56"/>
      <c r="Y24" s="65"/>
    </row>
    <row r="25" spans="1:25" s="1" customFormat="1" ht="17" thickBot="1" x14ac:dyDescent="0.25">
      <c r="A25" s="66"/>
      <c r="B25" s="67">
        <v>1000</v>
      </c>
      <c r="C25" s="67">
        <v>2650</v>
      </c>
      <c r="D25" s="67">
        <v>9.81</v>
      </c>
      <c r="E25" s="67">
        <v>4.1000000000000002E-2</v>
      </c>
      <c r="F25" s="67">
        <v>0.01</v>
      </c>
      <c r="G25" s="67">
        <v>23.74</v>
      </c>
      <c r="H25" s="67">
        <v>31.15</v>
      </c>
      <c r="I25" s="67">
        <v>31150</v>
      </c>
      <c r="J25" s="67">
        <f t="shared" si="12"/>
        <v>323440833.33333331</v>
      </c>
      <c r="K25" s="67">
        <v>0.5</v>
      </c>
      <c r="L25" s="67">
        <f t="shared" si="21"/>
        <v>1.5873015873015872E-8</v>
      </c>
      <c r="M25" s="68" t="s">
        <v>48</v>
      </c>
      <c r="N25" s="67">
        <f>(N18*(81/93))+(N20*(7/93))+(N21*(5/93))</f>
        <v>121.13978494623656</v>
      </c>
      <c r="O25" s="67">
        <f>N25/1000</f>
        <v>0.12113978494623656</v>
      </c>
      <c r="P25" s="67">
        <v>10.5</v>
      </c>
      <c r="Q25" s="67">
        <v>90</v>
      </c>
      <c r="R25" s="67">
        <v>0.9</v>
      </c>
      <c r="S25" s="67">
        <v>6.4997336000000003E-2</v>
      </c>
      <c r="T25" s="67">
        <f>T18</f>
        <v>573.86147954400008</v>
      </c>
      <c r="U25" s="67">
        <f>(U18*(81/93))+(U20*(7/93))+(U21*(5/93))</f>
        <v>6.2633835594567948</v>
      </c>
      <c r="V25" s="67">
        <f>V18</f>
        <v>5.1339814814814808</v>
      </c>
      <c r="W25" s="67">
        <f t="shared" si="26"/>
        <v>59.188974636866718</v>
      </c>
      <c r="X25" s="67">
        <v>0.95</v>
      </c>
      <c r="Y25" s="69">
        <f>E25*F25*W25*(S25^(7/6))*X25</f>
        <v>9.5015201759612573E-4</v>
      </c>
    </row>
    <row r="26" spans="1:25" ht="22" thickTop="1" x14ac:dyDescent="0.25">
      <c r="A26" s="77" t="s">
        <v>22</v>
      </c>
      <c r="B26" s="70">
        <v>1000</v>
      </c>
      <c r="C26" s="70">
        <v>2650</v>
      </c>
      <c r="D26" s="70">
        <v>9.81</v>
      </c>
      <c r="E26" s="70">
        <v>4.1000000000000002E-2</v>
      </c>
      <c r="F26" s="70">
        <v>0.01</v>
      </c>
      <c r="G26" s="70">
        <v>23.74</v>
      </c>
      <c r="H26" s="70">
        <f>G26 + 10.19</f>
        <v>33.93</v>
      </c>
      <c r="I26" s="70">
        <f t="shared" si="11"/>
        <v>33930</v>
      </c>
      <c r="J26" s="70">
        <f t="shared" si="12"/>
        <v>383748300</v>
      </c>
      <c r="K26" s="70">
        <v>0.5</v>
      </c>
      <c r="L26" s="70">
        <f t="shared" si="21"/>
        <v>1.5873015873015872E-8</v>
      </c>
      <c r="M26" s="71" t="s">
        <v>26</v>
      </c>
      <c r="N26" s="70">
        <v>90</v>
      </c>
      <c r="O26" s="70">
        <f>N26/1000</f>
        <v>0.09</v>
      </c>
      <c r="P26" s="70">
        <v>13</v>
      </c>
      <c r="Q26" s="70">
        <v>106</v>
      </c>
      <c r="R26" s="70">
        <f>Q26/100</f>
        <v>1.06</v>
      </c>
      <c r="S26" s="70">
        <v>0.10047434199999999</v>
      </c>
      <c r="T26" s="70">
        <f>B26*D26*R26*S26</f>
        <v>1044.7924927212</v>
      </c>
      <c r="U26" s="70">
        <f t="shared" ref="U26:U29" si="28">5.9 * (SQRT(D26))*(((R26^(2/3))*(S26^(1/2)))/(O26^(1/6)))</f>
        <v>9.0965684661838999</v>
      </c>
      <c r="V26" s="70">
        <f>J26*L26</f>
        <v>6.0912428571428565</v>
      </c>
      <c r="W26" s="70">
        <f>P26*R26*U26</f>
        <v>125.35071346401415</v>
      </c>
      <c r="X26" s="70">
        <v>1</v>
      </c>
      <c r="Y26" s="72">
        <f>E26*F26*W26*(S26^(7/6))*X26</f>
        <v>3.5208027875714906E-3</v>
      </c>
    </row>
    <row r="27" spans="1:25" x14ac:dyDescent="0.2">
      <c r="A27" s="38"/>
      <c r="B27">
        <v>1000</v>
      </c>
      <c r="C27">
        <v>2650</v>
      </c>
      <c r="D27">
        <v>9.81</v>
      </c>
      <c r="E27">
        <v>4.1000000000000002E-2</v>
      </c>
      <c r="F27">
        <v>0.01</v>
      </c>
      <c r="G27">
        <v>23.74</v>
      </c>
      <c r="H27">
        <f t="shared" ref="H27:H29" si="29">G27 + 10.19</f>
        <v>33.93</v>
      </c>
      <c r="I27">
        <f t="shared" si="11"/>
        <v>33930</v>
      </c>
      <c r="J27">
        <f t="shared" si="12"/>
        <v>383748300</v>
      </c>
      <c r="K27">
        <v>0.5</v>
      </c>
      <c r="L27">
        <f t="shared" si="21"/>
        <v>1.5873015873015872E-8</v>
      </c>
      <c r="M27" s="2" t="s">
        <v>27</v>
      </c>
      <c r="N27">
        <v>112.5</v>
      </c>
      <c r="O27">
        <f t="shared" ref="O27:O29" si="30">N27/1000</f>
        <v>0.1125</v>
      </c>
      <c r="P27">
        <v>13</v>
      </c>
      <c r="Q27">
        <v>106</v>
      </c>
      <c r="R27">
        <f t="shared" ref="R27:R29" si="31">Q27/100</f>
        <v>1.06</v>
      </c>
      <c r="S27">
        <v>0.10047434199999999</v>
      </c>
      <c r="T27">
        <f t="shared" ref="T27:T29" si="32">B27*D27*R27*S27</f>
        <v>1044.7924927212</v>
      </c>
      <c r="U27">
        <f t="shared" si="28"/>
        <v>8.7644753473504622</v>
      </c>
      <c r="V27">
        <f t="shared" ref="V27:V29" si="33">J27*L27</f>
        <v>6.0912428571428565</v>
      </c>
      <c r="W27">
        <f t="shared" ref="W27:W29" si="34">P27*R27*U27</f>
        <v>120.77447028648938</v>
      </c>
      <c r="X27">
        <v>1</v>
      </c>
      <c r="Y27" s="73">
        <f t="shared" ref="Y27:Y29" si="35">E27*F27*W27*(S27^(7/6))*X27</f>
        <v>3.3922670234678449E-3</v>
      </c>
    </row>
    <row r="28" spans="1:25" x14ac:dyDescent="0.2">
      <c r="A28" s="38"/>
      <c r="B28">
        <v>1000</v>
      </c>
      <c r="C28">
        <v>2650</v>
      </c>
      <c r="D28">
        <v>9.81</v>
      </c>
      <c r="E28">
        <v>4.1000000000000002E-2</v>
      </c>
      <c r="F28">
        <v>0.01</v>
      </c>
      <c r="G28">
        <v>23.74</v>
      </c>
      <c r="H28">
        <f t="shared" si="29"/>
        <v>33.93</v>
      </c>
      <c r="I28">
        <f t="shared" si="11"/>
        <v>33930</v>
      </c>
      <c r="J28">
        <f t="shared" si="12"/>
        <v>383748300</v>
      </c>
      <c r="K28">
        <v>0.5</v>
      </c>
      <c r="L28">
        <f t="shared" si="21"/>
        <v>1.5873015873015872E-8</v>
      </c>
      <c r="M28" s="2" t="s">
        <v>28</v>
      </c>
      <c r="N28">
        <v>67.5</v>
      </c>
      <c r="O28">
        <f t="shared" si="30"/>
        <v>6.7500000000000004E-2</v>
      </c>
      <c r="P28">
        <v>13</v>
      </c>
      <c r="Q28">
        <v>106</v>
      </c>
      <c r="R28">
        <f t="shared" si="31"/>
        <v>1.06</v>
      </c>
      <c r="S28">
        <v>0.10047434199999999</v>
      </c>
      <c r="T28">
        <f t="shared" si="32"/>
        <v>1044.7924927212</v>
      </c>
      <c r="U28">
        <f t="shared" si="28"/>
        <v>9.5433470033198855</v>
      </c>
      <c r="V28">
        <f t="shared" si="33"/>
        <v>6.0912428571428565</v>
      </c>
      <c r="W28">
        <f t="shared" si="34"/>
        <v>131.50732170574804</v>
      </c>
      <c r="X28">
        <v>1</v>
      </c>
      <c r="Y28" s="73">
        <f t="shared" si="35"/>
        <v>3.6937272397781799E-3</v>
      </c>
    </row>
    <row r="29" spans="1:25" x14ac:dyDescent="0.2">
      <c r="A29" s="38"/>
      <c r="B29">
        <v>1000</v>
      </c>
      <c r="C29">
        <v>2650</v>
      </c>
      <c r="D29">
        <v>9.81</v>
      </c>
      <c r="E29">
        <v>4.1000000000000002E-2</v>
      </c>
      <c r="F29">
        <v>0.01</v>
      </c>
      <c r="G29">
        <v>23.74</v>
      </c>
      <c r="H29">
        <f t="shared" si="29"/>
        <v>33.93</v>
      </c>
      <c r="I29">
        <f t="shared" si="11"/>
        <v>33930</v>
      </c>
      <c r="J29">
        <f t="shared" si="12"/>
        <v>383748300</v>
      </c>
      <c r="K29">
        <v>0.5</v>
      </c>
      <c r="L29">
        <f t="shared" si="21"/>
        <v>1.5873015873015872E-8</v>
      </c>
      <c r="M29" s="2" t="s">
        <v>29</v>
      </c>
      <c r="N29">
        <v>45</v>
      </c>
      <c r="O29">
        <f t="shared" si="30"/>
        <v>4.4999999999999998E-2</v>
      </c>
      <c r="P29">
        <v>13</v>
      </c>
      <c r="Q29">
        <v>106</v>
      </c>
      <c r="R29">
        <f t="shared" si="31"/>
        <v>1.06</v>
      </c>
      <c r="S29">
        <v>0.10047434199999999</v>
      </c>
      <c r="T29">
        <f t="shared" si="32"/>
        <v>1044.7924927212</v>
      </c>
      <c r="U29">
        <f t="shared" si="28"/>
        <v>10.210552873139232</v>
      </c>
      <c r="V29">
        <f t="shared" si="33"/>
        <v>6.0912428571428565</v>
      </c>
      <c r="W29">
        <f t="shared" si="34"/>
        <v>140.70141859185864</v>
      </c>
      <c r="X29">
        <v>1</v>
      </c>
      <c r="Y29" s="73">
        <f t="shared" si="35"/>
        <v>3.9519675086308464E-3</v>
      </c>
    </row>
    <row r="30" spans="1:25" x14ac:dyDescent="0.2">
      <c r="A30" s="74"/>
      <c r="B30" s="56"/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78" t="s">
        <v>30</v>
      </c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75"/>
    </row>
    <row r="31" spans="1:25" x14ac:dyDescent="0.2">
      <c r="A31" s="74"/>
      <c r="B31" s="56"/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78" t="s">
        <v>31</v>
      </c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75"/>
    </row>
    <row r="32" spans="1:25" x14ac:dyDescent="0.2">
      <c r="A32" s="74"/>
      <c r="B32" s="56"/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78" t="s">
        <v>32</v>
      </c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75"/>
    </row>
    <row r="33" spans="1:25" ht="17" thickBot="1" x14ac:dyDescent="0.25">
      <c r="A33" s="79"/>
      <c r="B33" s="80">
        <v>1000</v>
      </c>
      <c r="C33" s="80">
        <v>2650</v>
      </c>
      <c r="D33" s="80">
        <v>9.81</v>
      </c>
      <c r="E33" s="80">
        <v>4.1000000000000002E-2</v>
      </c>
      <c r="F33" s="80">
        <v>0.01</v>
      </c>
      <c r="G33" s="80">
        <v>23.74</v>
      </c>
      <c r="H33" s="80">
        <v>33.93</v>
      </c>
      <c r="I33" s="80">
        <v>33930</v>
      </c>
      <c r="J33" s="80">
        <f t="shared" si="12"/>
        <v>383748300</v>
      </c>
      <c r="K33" s="80">
        <v>0.5</v>
      </c>
      <c r="L33" s="80">
        <f t="shared" ref="L33" si="36">K33/31500000</f>
        <v>1.5873015873015872E-8</v>
      </c>
      <c r="M33" s="81" t="s">
        <v>48</v>
      </c>
      <c r="N33" s="80">
        <f>(N26*(80/89))+(N27*(2/89))+(N28*(4/89))+(N29*(3/89))</f>
        <v>87.977528089887628</v>
      </c>
      <c r="O33" s="80">
        <f>N33/1000</f>
        <v>8.7977528089887624E-2</v>
      </c>
      <c r="P33" s="80">
        <v>13</v>
      </c>
      <c r="Q33" s="80">
        <v>106</v>
      </c>
      <c r="R33" s="80">
        <v>1.06</v>
      </c>
      <c r="S33" s="80">
        <v>0.10047434199999999</v>
      </c>
      <c r="T33" s="80">
        <f>T26</f>
        <v>1044.7924927212</v>
      </c>
      <c r="U33" s="80">
        <f>(U26*(80/89))+(U27*(2/89))+(U28*(4/89))+(U29*(3/89))</f>
        <v>9.1467356699113509</v>
      </c>
      <c r="V33" s="80">
        <f>V26</f>
        <v>6.0912428571428565</v>
      </c>
      <c r="W33" s="80">
        <f>P33*R33*U33</f>
        <v>126.04201753137842</v>
      </c>
      <c r="X33" s="80">
        <v>1</v>
      </c>
      <c r="Y33" s="82">
        <f>E33*F33*W33*(S33^(7/6))*X33</f>
        <v>3.5402198712096659E-3</v>
      </c>
    </row>
    <row r="34" spans="1:25" ht="17" thickTop="1" x14ac:dyDescent="0.2">
      <c r="A34" s="83" t="s">
        <v>21</v>
      </c>
      <c r="B34" s="84"/>
      <c r="C34" s="84"/>
      <c r="D34" s="84"/>
      <c r="E34" s="84"/>
      <c r="F34" s="84"/>
      <c r="G34" s="84">
        <v>23.74</v>
      </c>
      <c r="H34" s="84">
        <f>G34+ 11.09</f>
        <v>34.83</v>
      </c>
      <c r="I34" s="84">
        <f t="shared" si="11"/>
        <v>34830</v>
      </c>
      <c r="J34" s="84">
        <f t="shared" si="12"/>
        <v>404376300</v>
      </c>
      <c r="K34" s="84">
        <v>0.5</v>
      </c>
      <c r="L34" s="84">
        <f>K34/31500000</f>
        <v>1.5873015873015872E-8</v>
      </c>
      <c r="M34" s="85" t="s">
        <v>26</v>
      </c>
      <c r="N34" s="84"/>
      <c r="O34" s="84"/>
      <c r="P34" s="84"/>
      <c r="Q34" s="110"/>
      <c r="R34" s="110"/>
      <c r="S34" s="84"/>
      <c r="T34" s="84"/>
      <c r="U34" s="84"/>
      <c r="V34" s="84"/>
      <c r="W34" s="84"/>
      <c r="X34" s="84"/>
      <c r="Y34" s="86"/>
    </row>
    <row r="35" spans="1:25" x14ac:dyDescent="0.2">
      <c r="A35" s="87"/>
      <c r="G35">
        <v>23.74</v>
      </c>
      <c r="M35" s="2" t="s">
        <v>27</v>
      </c>
      <c r="Q35" s="46"/>
      <c r="R35" s="46"/>
      <c r="Y35" s="88"/>
    </row>
    <row r="36" spans="1:25" x14ac:dyDescent="0.2">
      <c r="A36" s="87"/>
      <c r="G36">
        <v>23.74</v>
      </c>
      <c r="M36" s="2" t="s">
        <v>28</v>
      </c>
      <c r="Q36" s="46"/>
      <c r="R36" s="46"/>
      <c r="Y36" s="88"/>
    </row>
    <row r="37" spans="1:25" x14ac:dyDescent="0.2">
      <c r="A37" s="87"/>
      <c r="G37">
        <v>23.74</v>
      </c>
      <c r="M37" s="2" t="s">
        <v>29</v>
      </c>
      <c r="Q37" s="46"/>
      <c r="R37" s="46"/>
      <c r="Y37" s="88"/>
    </row>
    <row r="38" spans="1:25" x14ac:dyDescent="0.2">
      <c r="A38" s="87"/>
      <c r="G38">
        <v>23.74</v>
      </c>
      <c r="M38" s="2" t="s">
        <v>30</v>
      </c>
      <c r="Q38" s="46"/>
      <c r="R38" s="46"/>
      <c r="Y38" s="88"/>
    </row>
    <row r="39" spans="1:25" x14ac:dyDescent="0.2">
      <c r="A39" s="87"/>
      <c r="G39">
        <v>23.74</v>
      </c>
      <c r="M39" s="2" t="s">
        <v>31</v>
      </c>
      <c r="Q39" s="46"/>
      <c r="R39" s="46"/>
      <c r="Y39" s="88"/>
    </row>
    <row r="40" spans="1:25" x14ac:dyDescent="0.2">
      <c r="A40" s="87"/>
      <c r="G40">
        <v>23.74</v>
      </c>
      <c r="M40" s="2" t="s">
        <v>32</v>
      </c>
      <c r="Q40" s="46"/>
      <c r="R40" s="46"/>
      <c r="Y40" s="88"/>
    </row>
    <row r="41" spans="1:25" s="1" customFormat="1" ht="17" thickBot="1" x14ac:dyDescent="0.25">
      <c r="A41" s="90"/>
      <c r="B41" s="91"/>
      <c r="C41" s="91"/>
      <c r="D41" s="91"/>
      <c r="E41" s="91"/>
      <c r="F41" s="91"/>
      <c r="G41" s="91"/>
      <c r="H41" s="91"/>
      <c r="I41" s="91"/>
      <c r="J41" s="91"/>
      <c r="K41" s="91"/>
      <c r="L41" s="91"/>
      <c r="M41" s="92"/>
      <c r="N41" s="91"/>
      <c r="O41" s="91"/>
      <c r="P41" s="91"/>
      <c r="Q41" s="91"/>
      <c r="R41" s="91"/>
      <c r="S41" s="91"/>
      <c r="T41" s="91"/>
      <c r="U41" s="91"/>
      <c r="V41" s="91"/>
      <c r="W41" s="91"/>
      <c r="X41" s="91"/>
      <c r="Y41" s="93"/>
    </row>
    <row r="42" spans="1:25" ht="17" thickTop="1" x14ac:dyDescent="0.2">
      <c r="A42" s="94" t="s">
        <v>20</v>
      </c>
      <c r="B42" s="95"/>
      <c r="C42" s="95"/>
      <c r="D42" s="95"/>
      <c r="E42" s="95"/>
      <c r="F42" s="95"/>
      <c r="G42" s="95">
        <v>23.74</v>
      </c>
      <c r="H42" s="95">
        <f>A171 + 13.73</f>
        <v>13.73</v>
      </c>
      <c r="I42" s="95">
        <f t="shared" si="11"/>
        <v>13730</v>
      </c>
      <c r="J42" s="95">
        <f t="shared" si="12"/>
        <v>62837633.333333328</v>
      </c>
      <c r="K42" s="95"/>
      <c r="L42" s="95"/>
      <c r="M42" s="96" t="s">
        <v>26</v>
      </c>
      <c r="N42" s="95"/>
      <c r="O42" s="95"/>
      <c r="P42" s="95"/>
      <c r="Q42" s="111"/>
      <c r="R42" s="111"/>
      <c r="S42" s="95"/>
      <c r="T42" s="95"/>
      <c r="U42" s="95"/>
      <c r="V42" s="95"/>
      <c r="W42" s="95"/>
      <c r="X42" s="95"/>
      <c r="Y42" s="97"/>
    </row>
    <row r="43" spans="1:25" x14ac:dyDescent="0.2">
      <c r="A43" s="98"/>
      <c r="G43">
        <v>23.74</v>
      </c>
      <c r="M43" s="2" t="s">
        <v>27</v>
      </c>
      <c r="Q43" s="46"/>
      <c r="R43" s="46"/>
      <c r="Y43" s="99"/>
    </row>
    <row r="44" spans="1:25" x14ac:dyDescent="0.2">
      <c r="A44" s="98"/>
      <c r="G44">
        <v>23.74</v>
      </c>
      <c r="M44" s="2" t="s">
        <v>28</v>
      </c>
      <c r="Q44" s="46"/>
      <c r="R44" s="46"/>
      <c r="Y44" s="99"/>
    </row>
    <row r="45" spans="1:25" x14ac:dyDescent="0.2">
      <c r="A45" s="98"/>
      <c r="G45">
        <v>23.74</v>
      </c>
      <c r="M45" s="2" t="s">
        <v>29</v>
      </c>
      <c r="Q45" s="46"/>
      <c r="R45" s="46"/>
      <c r="Y45" s="99"/>
    </row>
    <row r="46" spans="1:25" x14ac:dyDescent="0.2">
      <c r="A46" s="98"/>
      <c r="G46">
        <v>23.74</v>
      </c>
      <c r="M46" s="2" t="s">
        <v>30</v>
      </c>
      <c r="Q46" s="46"/>
      <c r="R46" s="46"/>
      <c r="Y46" s="99"/>
    </row>
    <row r="47" spans="1:25" x14ac:dyDescent="0.2">
      <c r="A47" s="98"/>
      <c r="G47">
        <v>23.74</v>
      </c>
      <c r="M47" s="2" t="s">
        <v>31</v>
      </c>
      <c r="Q47" s="46"/>
      <c r="R47" s="46"/>
      <c r="Y47" s="99"/>
    </row>
    <row r="48" spans="1:25" x14ac:dyDescent="0.2">
      <c r="A48" s="98"/>
      <c r="G48">
        <v>23.74</v>
      </c>
      <c r="M48" s="2" t="s">
        <v>32</v>
      </c>
      <c r="Q48" s="46"/>
      <c r="R48" s="46"/>
      <c r="Y48" s="99"/>
    </row>
    <row r="49" spans="1:25" ht="17" thickBot="1" x14ac:dyDescent="0.25">
      <c r="A49" s="100"/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2"/>
      <c r="N49" s="101"/>
      <c r="O49" s="101"/>
      <c r="P49" s="101"/>
      <c r="Q49" s="101"/>
      <c r="R49" s="101"/>
      <c r="S49" s="101"/>
      <c r="T49" s="101"/>
      <c r="U49" s="101"/>
      <c r="V49" s="101"/>
      <c r="W49" s="101"/>
      <c r="X49" s="101"/>
      <c r="Y49" s="103"/>
    </row>
    <row r="50" spans="1:25" ht="17" thickTop="1" x14ac:dyDescent="0.2">
      <c r="A50" s="104" t="s">
        <v>19</v>
      </c>
      <c r="B50" s="105"/>
      <c r="C50" s="105"/>
      <c r="D50" s="105"/>
      <c r="E50" s="105"/>
      <c r="F50" s="105"/>
      <c r="G50" s="105">
        <v>23.74</v>
      </c>
      <c r="H50" s="105">
        <f>A171 + 15.25</f>
        <v>15.25</v>
      </c>
      <c r="I50" s="105">
        <f t="shared" si="11"/>
        <v>15250</v>
      </c>
      <c r="J50" s="105">
        <f t="shared" si="12"/>
        <v>77520833.333333328</v>
      </c>
      <c r="K50" s="105"/>
      <c r="L50" s="105"/>
      <c r="M50" s="106" t="s">
        <v>26</v>
      </c>
      <c r="N50" s="105"/>
      <c r="O50" s="105"/>
      <c r="P50" s="105"/>
      <c r="Q50" s="112"/>
      <c r="R50" s="112"/>
      <c r="S50" s="105"/>
      <c r="T50" s="105"/>
      <c r="U50" s="105"/>
      <c r="V50" s="105"/>
      <c r="W50" s="105"/>
      <c r="X50" s="105"/>
      <c r="Y50" s="107"/>
    </row>
    <row r="51" spans="1:25" x14ac:dyDescent="0.2">
      <c r="A51" s="108"/>
      <c r="G51">
        <v>23.74</v>
      </c>
      <c r="M51" s="2" t="s">
        <v>27</v>
      </c>
      <c r="Q51" s="46"/>
      <c r="R51" s="46"/>
      <c r="Y51" s="109"/>
    </row>
    <row r="52" spans="1:25" x14ac:dyDescent="0.2">
      <c r="A52" s="108"/>
      <c r="G52">
        <v>23.74</v>
      </c>
      <c r="M52" s="2" t="s">
        <v>28</v>
      </c>
      <c r="Q52" s="46"/>
      <c r="R52" s="46"/>
      <c r="Y52" s="109"/>
    </row>
    <row r="53" spans="1:25" x14ac:dyDescent="0.2">
      <c r="A53" s="108"/>
      <c r="G53">
        <v>23.74</v>
      </c>
      <c r="M53" s="2" t="s">
        <v>29</v>
      </c>
      <c r="Q53" s="46"/>
      <c r="R53" s="46"/>
      <c r="Y53" s="109"/>
    </row>
    <row r="54" spans="1:25" x14ac:dyDescent="0.2">
      <c r="A54" s="108"/>
      <c r="G54">
        <v>23.74</v>
      </c>
      <c r="M54" s="2" t="s">
        <v>30</v>
      </c>
      <c r="Q54" s="46"/>
      <c r="R54" s="46"/>
      <c r="Y54" s="109"/>
    </row>
    <row r="55" spans="1:25" x14ac:dyDescent="0.2">
      <c r="A55" s="108"/>
      <c r="G55">
        <v>23.74</v>
      </c>
      <c r="M55" s="2" t="s">
        <v>31</v>
      </c>
      <c r="Q55" s="46"/>
      <c r="R55" s="46"/>
      <c r="Y55" s="109"/>
    </row>
    <row r="56" spans="1:25" x14ac:dyDescent="0.2">
      <c r="A56" s="108"/>
      <c r="G56">
        <v>23.74</v>
      </c>
      <c r="M56" s="2" t="s">
        <v>32</v>
      </c>
      <c r="Q56" s="46"/>
      <c r="R56" s="46"/>
      <c r="Y56" s="109"/>
    </row>
    <row r="57" spans="1:25" ht="17" thickBot="1" x14ac:dyDescent="0.25">
      <c r="A57" s="113"/>
      <c r="B57" s="114"/>
      <c r="C57" s="114"/>
      <c r="D57" s="114"/>
      <c r="E57" s="114"/>
      <c r="F57" s="114"/>
      <c r="G57" s="114"/>
      <c r="H57" s="114"/>
      <c r="I57" s="114"/>
      <c r="J57" s="114"/>
      <c r="K57" s="114"/>
      <c r="L57" s="114"/>
      <c r="M57" s="115"/>
      <c r="N57" s="114"/>
      <c r="O57" s="114"/>
      <c r="P57" s="114"/>
      <c r="Q57" s="114"/>
      <c r="R57" s="114"/>
      <c r="S57" s="114"/>
      <c r="T57" s="114"/>
      <c r="U57" s="131"/>
      <c r="V57" s="114"/>
      <c r="W57" s="114"/>
      <c r="X57" s="114"/>
      <c r="Y57" s="116"/>
    </row>
    <row r="58" spans="1:25" ht="22" thickTop="1" x14ac:dyDescent="0.25">
      <c r="A58" s="121" t="s">
        <v>18</v>
      </c>
      <c r="B58" s="117">
        <v>1000</v>
      </c>
      <c r="C58" s="117">
        <v>2650</v>
      </c>
      <c r="D58" s="117">
        <v>9.81</v>
      </c>
      <c r="E58" s="117">
        <v>4.1000000000000002E-2</v>
      </c>
      <c r="F58" s="117">
        <v>0.01</v>
      </c>
      <c r="G58" s="117">
        <v>23.74</v>
      </c>
      <c r="H58" s="117">
        <f>G58+ 17.18</f>
        <v>40.92</v>
      </c>
      <c r="I58" s="117">
        <f t="shared" si="11"/>
        <v>40920</v>
      </c>
      <c r="J58" s="117">
        <f t="shared" si="12"/>
        <v>558148800</v>
      </c>
      <c r="K58" s="117">
        <v>0.5</v>
      </c>
      <c r="L58" s="117">
        <f>K58/31500000</f>
        <v>1.5873015873015872E-8</v>
      </c>
      <c r="M58" s="118" t="s">
        <v>26</v>
      </c>
      <c r="N58" s="117">
        <v>90</v>
      </c>
      <c r="O58" s="117">
        <f>N58/1000</f>
        <v>0.09</v>
      </c>
      <c r="P58" s="117">
        <v>13.5</v>
      </c>
      <c r="Q58" s="117">
        <v>108</v>
      </c>
      <c r="R58" s="117">
        <f>Q58/100</f>
        <v>1.08</v>
      </c>
      <c r="S58" s="117">
        <v>3.6646815999999999E-2</v>
      </c>
      <c r="T58" s="117">
        <f>B58*D58*R58*S58</f>
        <v>388.26568615680003</v>
      </c>
      <c r="U58">
        <f t="shared" ref="U58" si="37">5.9 * (SQRT(D58))*(((R58^(2/3))*(S58^(1/2)))/(O58^(1/6)))</f>
        <v>5.562628517128533</v>
      </c>
      <c r="V58" s="117">
        <f>J58*L58</f>
        <v>8.8595047619047609</v>
      </c>
      <c r="W58" s="117">
        <f>P58*R58*U58</f>
        <v>81.10312377973402</v>
      </c>
      <c r="X58" s="117">
        <v>1</v>
      </c>
      <c r="Y58" s="132">
        <f>E58*F58*W58*(S58^(7/6))*X58</f>
        <v>7.0231249348044354E-4</v>
      </c>
    </row>
    <row r="59" spans="1:25" x14ac:dyDescent="0.2">
      <c r="A59" s="129"/>
      <c r="B59" s="46"/>
      <c r="C59" s="46"/>
      <c r="D59" s="46"/>
      <c r="E59" s="46"/>
      <c r="F59" s="46"/>
      <c r="G59" s="46"/>
      <c r="H59" s="46"/>
      <c r="I59" s="46"/>
      <c r="J59" s="46"/>
      <c r="K59" s="46"/>
      <c r="L59" s="46"/>
      <c r="M59" s="78" t="s">
        <v>27</v>
      </c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133"/>
    </row>
    <row r="60" spans="1:25" x14ac:dyDescent="0.2">
      <c r="A60" s="119"/>
      <c r="B60">
        <v>1000</v>
      </c>
      <c r="C60">
        <v>2650</v>
      </c>
      <c r="D60">
        <v>9.81</v>
      </c>
      <c r="E60">
        <v>4.1000000000000002E-2</v>
      </c>
      <c r="F60">
        <v>0.01</v>
      </c>
      <c r="G60">
        <v>23.74</v>
      </c>
      <c r="H60">
        <f>G60+17.18</f>
        <v>40.92</v>
      </c>
      <c r="I60">
        <f>H60*1000</f>
        <v>40920</v>
      </c>
      <c r="J60">
        <f>(1/3)*I60^2</f>
        <v>558148800</v>
      </c>
      <c r="K60">
        <v>0.5</v>
      </c>
      <c r="L60">
        <f>K60/31500000</f>
        <v>1.5873015873015872E-8</v>
      </c>
      <c r="M60" s="2" t="s">
        <v>28</v>
      </c>
      <c r="N60">
        <v>64</v>
      </c>
      <c r="O60">
        <f>N60/1000</f>
        <v>6.4000000000000001E-2</v>
      </c>
      <c r="P60">
        <v>13.5</v>
      </c>
      <c r="Q60">
        <v>108</v>
      </c>
      <c r="R60">
        <f>Q60/100</f>
        <v>1.08</v>
      </c>
      <c r="S60">
        <v>3.6646815999999999E-2</v>
      </c>
      <c r="T60">
        <f>B60*D60*R60*S60</f>
        <v>388.26568615680003</v>
      </c>
      <c r="U60">
        <f t="shared" ref="U60:U61" si="38">5.9 * (SQRT(D60))*(((R60^(2/3))*(S60^(1/2)))/(O60^(1/6)))</f>
        <v>5.8878555563559827</v>
      </c>
      <c r="V60">
        <f>J60*L60</f>
        <v>8.8595047619047609</v>
      </c>
      <c r="W60">
        <f>P60*R60*U60</f>
        <v>85.844934011670233</v>
      </c>
      <c r="X60">
        <v>1</v>
      </c>
      <c r="Y60" s="134">
        <f>E60*F60*W60*(S60^(7/6))*X60</f>
        <v>7.4337419878105183E-4</v>
      </c>
    </row>
    <row r="61" spans="1:25" x14ac:dyDescent="0.2">
      <c r="A61" s="119"/>
      <c r="B61">
        <v>1000</v>
      </c>
      <c r="C61">
        <v>2650</v>
      </c>
      <c r="D61">
        <v>9.81</v>
      </c>
      <c r="E61">
        <v>4.1000000000000002E-2</v>
      </c>
      <c r="F61">
        <v>0.01</v>
      </c>
      <c r="G61">
        <v>23.74</v>
      </c>
      <c r="H61">
        <f>G61+17.18</f>
        <v>40.92</v>
      </c>
      <c r="I61">
        <f t="shared" ref="I61" si="39">H61*1000</f>
        <v>40920</v>
      </c>
      <c r="J61">
        <f>(1/3)*I61^2</f>
        <v>558148800</v>
      </c>
      <c r="K61">
        <v>0.5</v>
      </c>
      <c r="L61">
        <f>K61/31500000</f>
        <v>1.5873015873015872E-8</v>
      </c>
      <c r="M61" s="2" t="s">
        <v>29</v>
      </c>
      <c r="N61">
        <v>109</v>
      </c>
      <c r="O61">
        <f>N61/1000</f>
        <v>0.109</v>
      </c>
      <c r="P61">
        <v>13.5</v>
      </c>
      <c r="Q61">
        <v>108</v>
      </c>
      <c r="R61">
        <f>Q61/100</f>
        <v>1.08</v>
      </c>
      <c r="S61">
        <v>3.6646815999999999E-2</v>
      </c>
      <c r="T61">
        <f>B61*D61*R61*S61</f>
        <v>388.26568615680003</v>
      </c>
      <c r="U61">
        <f t="shared" si="38"/>
        <v>5.3878569912513701</v>
      </c>
      <c r="V61">
        <f>J61*L61</f>
        <v>8.8595047619047609</v>
      </c>
      <c r="W61">
        <f>P61*R61*U61</f>
        <v>78.554954932444986</v>
      </c>
      <c r="X61">
        <v>1</v>
      </c>
      <c r="Y61" s="134">
        <f>E61*F61*W61*(S61^(7/6))*X61</f>
        <v>6.8024662556382537E-4</v>
      </c>
    </row>
    <row r="62" spans="1:25" x14ac:dyDescent="0.2">
      <c r="A62" s="129"/>
      <c r="B62" s="46"/>
      <c r="C62" s="46"/>
      <c r="D62" s="46"/>
      <c r="E62" s="46"/>
      <c r="F62" s="46"/>
      <c r="G62" s="46"/>
      <c r="H62" s="46"/>
      <c r="I62" s="46"/>
      <c r="J62" s="46"/>
      <c r="K62" s="46"/>
      <c r="L62" s="46"/>
      <c r="M62" s="78" t="s">
        <v>30</v>
      </c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46"/>
      <c r="Y62" s="130"/>
    </row>
    <row r="63" spans="1:25" x14ac:dyDescent="0.2">
      <c r="A63" s="129"/>
      <c r="B63" s="46"/>
      <c r="C63" s="46"/>
      <c r="D63" s="46"/>
      <c r="E63" s="46"/>
      <c r="F63" s="46"/>
      <c r="G63" s="46"/>
      <c r="H63" s="46"/>
      <c r="I63" s="46"/>
      <c r="J63" s="46"/>
      <c r="K63" s="46"/>
      <c r="L63" s="46"/>
      <c r="M63" s="78" t="s">
        <v>31</v>
      </c>
      <c r="N63" s="46"/>
      <c r="O63" s="46"/>
      <c r="P63" s="46"/>
      <c r="Q63" s="46"/>
      <c r="R63" s="46"/>
      <c r="S63" s="46"/>
      <c r="T63" s="46"/>
      <c r="U63" s="46"/>
      <c r="V63" s="46"/>
      <c r="W63" s="46"/>
      <c r="X63" s="46"/>
      <c r="Y63" s="130"/>
    </row>
    <row r="64" spans="1:25" x14ac:dyDescent="0.2">
      <c r="A64" s="129"/>
      <c r="B64" s="46"/>
      <c r="C64" s="46"/>
      <c r="D64" s="46"/>
      <c r="E64" s="46"/>
      <c r="F64" s="46"/>
      <c r="G64" s="46"/>
      <c r="H64" s="46"/>
      <c r="I64" s="46"/>
      <c r="J64" s="46"/>
      <c r="K64" s="46"/>
      <c r="L64" s="46"/>
      <c r="M64" s="78" t="s">
        <v>32</v>
      </c>
      <c r="N64" s="46"/>
      <c r="O64" s="46"/>
      <c r="P64" s="46"/>
      <c r="Q64" s="46"/>
      <c r="R64" s="46"/>
      <c r="S64" s="46"/>
      <c r="T64" s="46"/>
      <c r="U64" s="46"/>
      <c r="V64" s="46"/>
      <c r="W64" s="46"/>
      <c r="X64" s="46"/>
      <c r="Y64" s="130"/>
    </row>
    <row r="65" spans="1:25" s="1" customFormat="1" ht="17" thickBot="1" x14ac:dyDescent="0.25">
      <c r="A65" s="135"/>
      <c r="B65" s="136">
        <v>1000</v>
      </c>
      <c r="C65" s="136">
        <v>2650</v>
      </c>
      <c r="D65" s="136">
        <v>9.81</v>
      </c>
      <c r="E65" s="136">
        <v>4.1000000000000002E-2</v>
      </c>
      <c r="F65" s="136">
        <v>0.01</v>
      </c>
      <c r="G65" s="136">
        <v>23.74</v>
      </c>
      <c r="H65" s="136">
        <f>H58</f>
        <v>40.92</v>
      </c>
      <c r="I65" s="136">
        <f>I58</f>
        <v>40920</v>
      </c>
      <c r="J65" s="136">
        <f>J58</f>
        <v>558148800</v>
      </c>
      <c r="K65" s="136">
        <f>K58</f>
        <v>0.5</v>
      </c>
      <c r="L65" s="136">
        <f>L58</f>
        <v>1.5873015873015872E-8</v>
      </c>
      <c r="M65" s="136" t="s">
        <v>48</v>
      </c>
      <c r="N65" s="136">
        <f>(N58*(82/89))+(N60*(3/89))+(N61*(4/89))</f>
        <v>89.977528089887656</v>
      </c>
      <c r="O65" s="136">
        <f>N65/1000</f>
        <v>8.9977528089887654E-2</v>
      </c>
      <c r="P65" s="136">
        <v>13.5</v>
      </c>
      <c r="Q65" s="136">
        <v>108</v>
      </c>
      <c r="R65" s="136">
        <v>1.08</v>
      </c>
      <c r="S65" s="136">
        <f>S58</f>
        <v>3.6646815999999999E-2</v>
      </c>
      <c r="T65" s="136">
        <f>T58</f>
        <v>388.26568615680003</v>
      </c>
      <c r="U65" s="136">
        <f>(U58*(82/89))+(U60*(3/89))+(U61*(4/89))</f>
        <v>5.5657363262765527</v>
      </c>
      <c r="V65" s="136">
        <f>V58</f>
        <v>8.8595047619047609</v>
      </c>
      <c r="W65" s="136">
        <f>P65*R65*U65</f>
        <v>81.148435637112144</v>
      </c>
      <c r="X65" s="136">
        <v>1</v>
      </c>
      <c r="Y65" s="137">
        <f>E65*F65*W65*(S65^(7/6))*X65</f>
        <v>7.0270487150555984E-4</v>
      </c>
    </row>
    <row r="66" spans="1:25" ht="22" thickTop="1" x14ac:dyDescent="0.25">
      <c r="A66" s="166" t="s">
        <v>17</v>
      </c>
      <c r="B66" s="138">
        <v>1000</v>
      </c>
      <c r="C66" s="138">
        <v>2650</v>
      </c>
      <c r="D66" s="138">
        <v>9.81</v>
      </c>
      <c r="E66" s="138">
        <v>4.1000000000000002E-2</v>
      </c>
      <c r="F66" s="138">
        <v>0.01</v>
      </c>
      <c r="G66" s="138">
        <v>23.74</v>
      </c>
      <c r="H66" s="138">
        <f>G66+ 18.84</f>
        <v>42.58</v>
      </c>
      <c r="I66" s="138">
        <f t="shared" si="11"/>
        <v>42580</v>
      </c>
      <c r="J66" s="138">
        <f t="shared" si="12"/>
        <v>604352133.33333325</v>
      </c>
      <c r="K66" s="138">
        <v>0.5</v>
      </c>
      <c r="L66" s="138">
        <f>K66/31500000</f>
        <v>1.5873015873015872E-8</v>
      </c>
      <c r="M66" s="139" t="s">
        <v>26</v>
      </c>
      <c r="N66" s="138">
        <v>90</v>
      </c>
      <c r="O66" s="138">
        <f>N66/1000</f>
        <v>0.09</v>
      </c>
      <c r="P66" s="138">
        <v>23</v>
      </c>
      <c r="Q66" s="138">
        <v>87</v>
      </c>
      <c r="R66" s="138">
        <f>Q66/100</f>
        <v>0.87</v>
      </c>
      <c r="S66" s="138">
        <v>2.5903203999999999E-2</v>
      </c>
      <c r="T66" s="138">
        <f>B66*D66*R66*S66</f>
        <v>221.07607517880001</v>
      </c>
      <c r="U66" s="138">
        <f t="shared" ref="U66:U69" si="40">5.9 * (SQRT(D66))*(((R66^(2/3))*(S66^(1/2)))/(O66^(1/6)))</f>
        <v>4.0488871755982592</v>
      </c>
      <c r="V66" s="138">
        <f>J66*L66</f>
        <v>9.592891005291003</v>
      </c>
      <c r="W66" s="138">
        <f>P66*R66*U66</f>
        <v>81.01823238372117</v>
      </c>
      <c r="X66" s="138">
        <v>1</v>
      </c>
      <c r="Y66" s="151">
        <f>E66*F66*W66*(S66^(7/6))*X66</f>
        <v>4.6803574300362304E-4</v>
      </c>
    </row>
    <row r="67" spans="1:25" x14ac:dyDescent="0.2">
      <c r="A67" s="140"/>
      <c r="B67">
        <v>1000</v>
      </c>
      <c r="C67">
        <v>2650</v>
      </c>
      <c r="D67">
        <v>9.81</v>
      </c>
      <c r="E67">
        <v>4.1000000000000002E-2</v>
      </c>
      <c r="F67">
        <v>0.01</v>
      </c>
      <c r="G67">
        <v>23.74</v>
      </c>
      <c r="H67">
        <f>G67+18.84</f>
        <v>42.58</v>
      </c>
      <c r="I67">
        <f>H67*1000</f>
        <v>42580</v>
      </c>
      <c r="J67">
        <f>(1/3)*I67^2</f>
        <v>604352133.33333325</v>
      </c>
      <c r="K67">
        <v>0.5</v>
      </c>
      <c r="L67">
        <f>K67/31500000</f>
        <v>1.5873015873015872E-8</v>
      </c>
      <c r="M67" s="2" t="s">
        <v>27</v>
      </c>
      <c r="N67">
        <v>64</v>
      </c>
      <c r="O67">
        <f>N67/1000</f>
        <v>6.4000000000000001E-2</v>
      </c>
      <c r="P67">
        <v>23</v>
      </c>
      <c r="Q67">
        <v>87</v>
      </c>
      <c r="R67">
        <f>Q67/100</f>
        <v>0.87</v>
      </c>
      <c r="S67">
        <v>2.5903203999999999E-2</v>
      </c>
      <c r="T67">
        <f>B67*D67*R67*S67</f>
        <v>221.07607517880001</v>
      </c>
      <c r="U67">
        <f t="shared" si="40"/>
        <v>4.2856111603531426</v>
      </c>
      <c r="V67">
        <f>J67*L67</f>
        <v>9.592891005291003</v>
      </c>
      <c r="W67">
        <f>P67*R67*U67</f>
        <v>85.75507931866639</v>
      </c>
      <c r="X67">
        <v>1</v>
      </c>
      <c r="Y67" s="142">
        <f>E67*F67*W67*(S67^(7/6))*X67</f>
        <v>4.9540012271745372E-4</v>
      </c>
    </row>
    <row r="68" spans="1:25" x14ac:dyDescent="0.2">
      <c r="A68" s="140"/>
      <c r="B68">
        <v>1000</v>
      </c>
      <c r="C68">
        <v>2650</v>
      </c>
      <c r="D68">
        <v>9.81</v>
      </c>
      <c r="E68">
        <v>4.1000000000000002E-2</v>
      </c>
      <c r="F68">
        <v>0.01</v>
      </c>
      <c r="G68">
        <v>23.74</v>
      </c>
      <c r="H68">
        <f>G68+18.84</f>
        <v>42.58</v>
      </c>
      <c r="I68">
        <f t="shared" ref="I68:I69" si="41">H68*1000</f>
        <v>42580</v>
      </c>
      <c r="J68">
        <f t="shared" ref="J68:J69" si="42">(1/3)*I68^2</f>
        <v>604352133.33333325</v>
      </c>
      <c r="K68">
        <v>0.5</v>
      </c>
      <c r="L68">
        <f t="shared" ref="L68:L69" si="43">K68/31500000</f>
        <v>1.5873015873015872E-8</v>
      </c>
      <c r="M68" s="2" t="s">
        <v>28</v>
      </c>
      <c r="N68">
        <v>90</v>
      </c>
      <c r="O68">
        <f t="shared" ref="O68:O69" si="44">N68/1000</f>
        <v>0.09</v>
      </c>
      <c r="P68">
        <v>23</v>
      </c>
      <c r="Q68">
        <v>87</v>
      </c>
      <c r="R68">
        <f t="shared" ref="R68:R69" si="45">Q68/100</f>
        <v>0.87</v>
      </c>
      <c r="S68">
        <v>2.5903203999999999E-2</v>
      </c>
      <c r="T68">
        <f t="shared" ref="T68:T69" si="46">B68*D68*R68*S68</f>
        <v>221.07607517880001</v>
      </c>
      <c r="U68">
        <f t="shared" si="40"/>
        <v>4.0488871755982592</v>
      </c>
      <c r="V68">
        <f t="shared" ref="V68:V69" si="47">J68*L68</f>
        <v>9.592891005291003</v>
      </c>
      <c r="W68">
        <f t="shared" ref="W68:W69" si="48">P68*R68*U68</f>
        <v>81.01823238372117</v>
      </c>
      <c r="X68">
        <v>1</v>
      </c>
      <c r="Y68" s="142">
        <f t="shared" ref="Y68:Y69" si="49">E68*F68*W68*(S68^(7/6))*X68</f>
        <v>4.6803574300362304E-4</v>
      </c>
    </row>
    <row r="69" spans="1:25" x14ac:dyDescent="0.2">
      <c r="A69" s="140"/>
      <c r="B69">
        <v>1000</v>
      </c>
      <c r="C69">
        <v>2650</v>
      </c>
      <c r="D69">
        <v>9.81</v>
      </c>
      <c r="E69">
        <v>4.1000000000000002E-2</v>
      </c>
      <c r="F69">
        <v>0.01</v>
      </c>
      <c r="G69">
        <v>23.74</v>
      </c>
      <c r="H69">
        <f>G69+18.84</f>
        <v>42.58</v>
      </c>
      <c r="I69">
        <f t="shared" si="41"/>
        <v>42580</v>
      </c>
      <c r="J69">
        <f t="shared" si="42"/>
        <v>604352133.33333325</v>
      </c>
      <c r="K69">
        <v>0.5</v>
      </c>
      <c r="L69">
        <f t="shared" si="43"/>
        <v>1.5873015873015872E-8</v>
      </c>
      <c r="M69" s="2" t="s">
        <v>29</v>
      </c>
      <c r="N69">
        <v>54.5</v>
      </c>
      <c r="O69">
        <f t="shared" si="44"/>
        <v>5.45E-2</v>
      </c>
      <c r="P69">
        <v>23</v>
      </c>
      <c r="Q69">
        <v>87</v>
      </c>
      <c r="R69">
        <f t="shared" si="45"/>
        <v>0.87</v>
      </c>
      <c r="S69">
        <v>2.5903203999999999E-2</v>
      </c>
      <c r="T69">
        <f t="shared" si="46"/>
        <v>221.07607517880001</v>
      </c>
      <c r="U69">
        <f t="shared" si="40"/>
        <v>4.4019321374299754</v>
      </c>
      <c r="V69">
        <f t="shared" si="47"/>
        <v>9.592891005291003</v>
      </c>
      <c r="W69">
        <f t="shared" si="48"/>
        <v>88.082662069973807</v>
      </c>
      <c r="X69">
        <v>1</v>
      </c>
      <c r="Y69" s="142">
        <f t="shared" si="49"/>
        <v>5.0884637907677493E-4</v>
      </c>
    </row>
    <row r="70" spans="1:25" x14ac:dyDescent="0.2">
      <c r="A70" s="147"/>
      <c r="B70" s="46"/>
      <c r="C70" s="46"/>
      <c r="D70" s="46"/>
      <c r="E70" s="46"/>
      <c r="F70" s="46"/>
      <c r="G70" s="46"/>
      <c r="H70" s="46"/>
      <c r="I70" s="46"/>
      <c r="J70" s="46"/>
      <c r="K70" s="46"/>
      <c r="L70" s="46"/>
      <c r="M70" s="78" t="s">
        <v>30</v>
      </c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148"/>
    </row>
    <row r="71" spans="1:25" x14ac:dyDescent="0.2">
      <c r="A71" s="147"/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78" t="s">
        <v>31</v>
      </c>
      <c r="N71" s="46"/>
      <c r="O71" s="46"/>
      <c r="P71" s="46"/>
      <c r="Q71" s="46"/>
      <c r="R71" s="46"/>
      <c r="S71" s="46"/>
      <c r="T71" s="46"/>
      <c r="U71" s="46"/>
      <c r="V71" s="46"/>
      <c r="W71" s="46"/>
      <c r="X71" s="46"/>
      <c r="Y71" s="148"/>
    </row>
    <row r="72" spans="1:25" x14ac:dyDescent="0.2">
      <c r="A72" s="147"/>
      <c r="B72" s="46"/>
      <c r="C72" s="46"/>
      <c r="D72" s="46"/>
      <c r="E72" s="46"/>
      <c r="F72" s="46"/>
      <c r="G72" s="46"/>
      <c r="H72" s="46"/>
      <c r="I72" s="46"/>
      <c r="J72" s="46"/>
      <c r="K72" s="46"/>
      <c r="L72" s="46"/>
      <c r="M72" s="78" t="s">
        <v>32</v>
      </c>
      <c r="N72" s="46"/>
      <c r="O72" s="46"/>
      <c r="P72" s="46"/>
      <c r="Q72" s="46"/>
      <c r="R72" s="46"/>
      <c r="S72" s="46"/>
      <c r="T72" s="46"/>
      <c r="U72" s="46"/>
      <c r="V72" s="46"/>
      <c r="W72" s="46"/>
      <c r="X72" s="46"/>
      <c r="Y72" s="148"/>
    </row>
    <row r="73" spans="1:25" ht="17" thickBot="1" x14ac:dyDescent="0.25">
      <c r="A73" s="152"/>
      <c r="B73" s="153">
        <v>1000</v>
      </c>
      <c r="C73" s="153">
        <v>2650</v>
      </c>
      <c r="D73" s="153">
        <v>9.81</v>
      </c>
      <c r="E73" s="153">
        <v>4.1000000000000002E-2</v>
      </c>
      <c r="F73" s="153">
        <v>0.01</v>
      </c>
      <c r="G73" s="153">
        <v>23.74</v>
      </c>
      <c r="H73" s="153">
        <f>G73+18.84</f>
        <v>42.58</v>
      </c>
      <c r="I73" s="153">
        <f>H73*1000</f>
        <v>42580</v>
      </c>
      <c r="J73" s="153">
        <f>(1/3)*I73^2</f>
        <v>604352133.33333325</v>
      </c>
      <c r="K73" s="153">
        <v>0.5</v>
      </c>
      <c r="L73" s="153">
        <f>K73/31500000</f>
        <v>1.5873015873015872E-8</v>
      </c>
      <c r="M73" s="153" t="s">
        <v>48</v>
      </c>
      <c r="N73" s="153">
        <f>(N66*(53/85))+(N67*(5/85))+(N68*(11/85))+(N69*(16/85))</f>
        <v>81.788235294117641</v>
      </c>
      <c r="O73" s="153">
        <f>N73/1000</f>
        <v>8.1788235294117634E-2</v>
      </c>
      <c r="P73" s="153">
        <v>23</v>
      </c>
      <c r="Q73" s="153">
        <v>87</v>
      </c>
      <c r="R73" s="153">
        <v>0.87</v>
      </c>
      <c r="S73" s="153">
        <f>S66</f>
        <v>2.5903203999999999E-2</v>
      </c>
      <c r="T73" s="153">
        <f>T66</f>
        <v>221.07607517880001</v>
      </c>
      <c r="U73" s="153">
        <f>(U66*(53/85))+(U67*(5/85))+(U68*(11/85))+(U69*(16/85))</f>
        <v>4.1292676381051052</v>
      </c>
      <c r="V73" s="153">
        <f>V66</f>
        <v>9.592891005291003</v>
      </c>
      <c r="W73" s="153">
        <f>P73*R73*U73</f>
        <v>82.626645438483166</v>
      </c>
      <c r="X73" s="153">
        <v>1</v>
      </c>
      <c r="Y73" s="154">
        <f>E73*F73*W73*(S73^(7/6))*X73</f>
        <v>4.7732741448291234E-4</v>
      </c>
    </row>
    <row r="74" spans="1:25" ht="17" thickTop="1" x14ac:dyDescent="0.2">
      <c r="A74" s="333" t="s">
        <v>16</v>
      </c>
      <c r="B74" s="155"/>
      <c r="C74" s="155"/>
      <c r="D74" s="155"/>
      <c r="E74" s="155"/>
      <c r="F74" s="155"/>
      <c r="G74" s="155">
        <v>23.74</v>
      </c>
      <c r="H74" s="155">
        <f>A171 + 20.23</f>
        <v>20.23</v>
      </c>
      <c r="I74" s="155">
        <f t="shared" si="11"/>
        <v>20230</v>
      </c>
      <c r="J74" s="155">
        <f t="shared" si="12"/>
        <v>136417633.33333331</v>
      </c>
      <c r="K74" s="155"/>
      <c r="L74" s="155"/>
      <c r="M74" s="156" t="s">
        <v>26</v>
      </c>
      <c r="N74" s="155"/>
      <c r="O74" s="155"/>
      <c r="P74" s="155"/>
      <c r="Q74" s="155"/>
      <c r="R74" s="155"/>
      <c r="S74" s="155"/>
      <c r="T74" s="155"/>
      <c r="U74" s="155"/>
      <c r="V74" s="155"/>
      <c r="W74" s="155"/>
      <c r="X74" s="155"/>
      <c r="Y74" s="157"/>
    </row>
    <row r="75" spans="1:25" x14ac:dyDescent="0.2">
      <c r="A75" s="158"/>
      <c r="G75">
        <v>23.74</v>
      </c>
      <c r="M75" s="2" t="s">
        <v>27</v>
      </c>
      <c r="Y75" s="159"/>
    </row>
    <row r="76" spans="1:25" x14ac:dyDescent="0.2">
      <c r="A76" s="158"/>
      <c r="G76">
        <v>23.74</v>
      </c>
      <c r="M76" s="2" t="s">
        <v>28</v>
      </c>
      <c r="Y76" s="159"/>
    </row>
    <row r="77" spans="1:25" x14ac:dyDescent="0.2">
      <c r="A77" s="158"/>
      <c r="G77">
        <v>23.74</v>
      </c>
      <c r="M77" s="2" t="s">
        <v>29</v>
      </c>
      <c r="Y77" s="159"/>
    </row>
    <row r="78" spans="1:25" x14ac:dyDescent="0.2">
      <c r="A78" s="158"/>
      <c r="G78">
        <v>23.74</v>
      </c>
      <c r="M78" s="2" t="s">
        <v>30</v>
      </c>
      <c r="Y78" s="159"/>
    </row>
    <row r="79" spans="1:25" x14ac:dyDescent="0.2">
      <c r="A79" s="158"/>
      <c r="G79">
        <v>23.74</v>
      </c>
      <c r="M79" s="2" t="s">
        <v>31</v>
      </c>
      <c r="Y79" s="159"/>
    </row>
    <row r="80" spans="1:25" x14ac:dyDescent="0.2">
      <c r="A80" s="158"/>
      <c r="G80">
        <v>23.74</v>
      </c>
      <c r="M80" s="2" t="s">
        <v>32</v>
      </c>
      <c r="Y80" s="159"/>
    </row>
    <row r="81" spans="1:25" ht="17" thickBot="1" x14ac:dyDescent="0.25">
      <c r="A81" s="160"/>
      <c r="B81" s="161"/>
      <c r="C81" s="161"/>
      <c r="D81" s="161"/>
      <c r="E81" s="161"/>
      <c r="F81" s="161"/>
      <c r="G81" s="161"/>
      <c r="H81" s="161"/>
      <c r="I81" s="161"/>
      <c r="J81" s="161"/>
      <c r="K81" s="161"/>
      <c r="L81" s="161"/>
      <c r="M81" s="162"/>
      <c r="N81" s="161"/>
      <c r="O81" s="161"/>
      <c r="P81" s="161"/>
      <c r="Q81" s="161"/>
      <c r="R81" s="161"/>
      <c r="S81" s="161"/>
      <c r="T81" s="161"/>
      <c r="U81" s="161"/>
      <c r="V81" s="161"/>
      <c r="W81" s="161"/>
      <c r="X81" s="161"/>
      <c r="Y81" s="163"/>
    </row>
    <row r="82" spans="1:25" ht="17" thickTop="1" x14ac:dyDescent="0.2">
      <c r="A82" s="334" t="s">
        <v>15</v>
      </c>
      <c r="B82" s="50"/>
      <c r="C82" s="50"/>
      <c r="D82" s="50"/>
      <c r="E82" s="50"/>
      <c r="F82" s="50"/>
      <c r="G82" s="50">
        <v>23.74</v>
      </c>
      <c r="H82" s="50">
        <f>A171 + 22.29</f>
        <v>22.29</v>
      </c>
      <c r="I82" s="50">
        <f t="shared" si="11"/>
        <v>22290</v>
      </c>
      <c r="J82" s="50">
        <f t="shared" si="12"/>
        <v>165614700</v>
      </c>
      <c r="K82" s="50"/>
      <c r="L82" s="50"/>
      <c r="M82" s="164" t="s">
        <v>26</v>
      </c>
      <c r="N82" s="50"/>
      <c r="O82" s="50"/>
      <c r="P82" s="50"/>
      <c r="Q82" s="50"/>
      <c r="R82" s="50"/>
      <c r="S82" s="50"/>
      <c r="T82" s="50"/>
      <c r="U82" s="50"/>
      <c r="V82" s="50"/>
      <c r="W82" s="50"/>
      <c r="X82" s="50"/>
      <c r="Y82" s="165"/>
    </row>
    <row r="83" spans="1:25" x14ac:dyDescent="0.2">
      <c r="A83" s="6"/>
      <c r="G83">
        <v>23.74</v>
      </c>
      <c r="M83" s="2" t="s">
        <v>27</v>
      </c>
      <c r="Y83" s="4"/>
    </row>
    <row r="84" spans="1:25" x14ac:dyDescent="0.2">
      <c r="A84" s="6"/>
      <c r="G84">
        <v>23.74</v>
      </c>
      <c r="M84" s="2" t="s">
        <v>28</v>
      </c>
      <c r="Y84" s="4"/>
    </row>
    <row r="85" spans="1:25" x14ac:dyDescent="0.2">
      <c r="A85" s="6"/>
      <c r="G85">
        <v>23.74</v>
      </c>
      <c r="M85" s="2" t="s">
        <v>29</v>
      </c>
      <c r="Y85" s="4"/>
    </row>
    <row r="86" spans="1:25" x14ac:dyDescent="0.2">
      <c r="A86" s="6"/>
      <c r="G86">
        <v>23.74</v>
      </c>
      <c r="M86" s="2" t="s">
        <v>30</v>
      </c>
      <c r="Y86" s="4"/>
    </row>
    <row r="87" spans="1:25" x14ac:dyDescent="0.2">
      <c r="A87" s="6"/>
      <c r="G87">
        <v>23.74</v>
      </c>
      <c r="M87" s="2" t="s">
        <v>31</v>
      </c>
      <c r="Y87" s="4"/>
    </row>
    <row r="88" spans="1:25" x14ac:dyDescent="0.2">
      <c r="A88" s="6"/>
      <c r="G88">
        <v>23.74</v>
      </c>
      <c r="M88" s="2" t="s">
        <v>32</v>
      </c>
      <c r="Y88" s="4"/>
    </row>
    <row r="89" spans="1:25" ht="17" thickBot="1" x14ac:dyDescent="0.25">
      <c r="A89" s="168"/>
      <c r="B89" s="169"/>
      <c r="C89" s="169"/>
      <c r="D89" s="169"/>
      <c r="E89" s="169"/>
      <c r="F89" s="169"/>
      <c r="G89" s="169"/>
      <c r="H89" s="169"/>
      <c r="I89" s="169"/>
      <c r="J89" s="169"/>
      <c r="K89" s="169"/>
      <c r="L89" s="169"/>
      <c r="M89" s="170"/>
      <c r="N89" s="169"/>
      <c r="O89" s="169"/>
      <c r="P89" s="169"/>
      <c r="Q89" s="169"/>
      <c r="R89" s="169"/>
      <c r="S89" s="169"/>
      <c r="T89" s="169"/>
      <c r="U89" s="169"/>
      <c r="V89" s="169"/>
      <c r="W89" s="169"/>
      <c r="X89" s="169"/>
      <c r="Y89" s="171"/>
    </row>
    <row r="90" spans="1:25" ht="22" thickTop="1" x14ac:dyDescent="0.25">
      <c r="A90" s="54" t="s">
        <v>14</v>
      </c>
      <c r="B90" s="30">
        <v>1000</v>
      </c>
      <c r="C90" s="30">
        <v>2650</v>
      </c>
      <c r="D90" s="30">
        <v>9.81</v>
      </c>
      <c r="E90" s="30">
        <v>4.1000000000000002E-2</v>
      </c>
      <c r="F90" s="30">
        <v>0.01</v>
      </c>
      <c r="G90" s="30">
        <v>23.74</v>
      </c>
      <c r="H90" s="30">
        <f>G90 + 23.35</f>
        <v>47.09</v>
      </c>
      <c r="I90" s="30">
        <f t="shared" si="11"/>
        <v>47090</v>
      </c>
      <c r="J90" s="30">
        <f t="shared" si="12"/>
        <v>739156033.33333325</v>
      </c>
      <c r="K90" s="30">
        <v>0.5</v>
      </c>
      <c r="L90" s="30">
        <f>K90/31500000</f>
        <v>1.5873015873015872E-8</v>
      </c>
      <c r="M90" s="172" t="s">
        <v>26</v>
      </c>
      <c r="N90" s="30">
        <v>27.3</v>
      </c>
      <c r="O90" s="30">
        <f>N90/1000</f>
        <v>2.7300000000000001E-2</v>
      </c>
      <c r="P90" s="30">
        <v>20</v>
      </c>
      <c r="Q90" s="30">
        <v>127</v>
      </c>
      <c r="R90" s="30">
        <f>Q90/100</f>
        <v>1.27</v>
      </c>
      <c r="S90" s="30">
        <v>3.6296299999999997E-2</v>
      </c>
      <c r="T90" s="30">
        <f>B90*D90*R90*S90</f>
        <v>452.20471280999999</v>
      </c>
      <c r="U90" s="30">
        <f t="shared" ref="U90:U93" si="50">5.9 * (SQRT(D90))*(((R90^(2/3))*(S90^(1/2)))/(O90^(1/6)))</f>
        <v>7.5241896352784252</v>
      </c>
      <c r="V90" s="30">
        <f>J90*L90</f>
        <v>11.732635449735447</v>
      </c>
      <c r="W90" s="30">
        <f>P90*R90*U90</f>
        <v>191.114416736072</v>
      </c>
      <c r="X90" s="30">
        <v>1</v>
      </c>
      <c r="Y90" s="34">
        <f>E90*F90*W90*(S90^(7/6))*X90</f>
        <v>1.636502681340448E-3</v>
      </c>
    </row>
    <row r="91" spans="1:25" x14ac:dyDescent="0.2">
      <c r="A91" s="13"/>
      <c r="B91">
        <v>1000</v>
      </c>
      <c r="C91">
        <v>2650</v>
      </c>
      <c r="D91">
        <v>9.81</v>
      </c>
      <c r="E91">
        <v>4.1000000000000002E-2</v>
      </c>
      <c r="F91">
        <v>0.01</v>
      </c>
      <c r="G91">
        <v>23.74</v>
      </c>
      <c r="H91">
        <f>G91+23.35</f>
        <v>47.09</v>
      </c>
      <c r="I91">
        <f>H91*1000</f>
        <v>47090</v>
      </c>
      <c r="J91">
        <f>(1/3)*I91^2</f>
        <v>739156033.33333325</v>
      </c>
      <c r="K91">
        <v>0.5</v>
      </c>
      <c r="L91">
        <f>K91/31500000</f>
        <v>1.5873015873015872E-8</v>
      </c>
      <c r="M91" s="2" t="s">
        <v>27</v>
      </c>
      <c r="N91">
        <v>180</v>
      </c>
      <c r="O91">
        <f>N91/1000</f>
        <v>0.18</v>
      </c>
      <c r="P91">
        <v>20</v>
      </c>
      <c r="Q91">
        <v>127</v>
      </c>
      <c r="R91">
        <f>Q91/100</f>
        <v>1.27</v>
      </c>
      <c r="S91">
        <v>3.6296299999999997E-2</v>
      </c>
      <c r="T91">
        <f>B91*D91*R91*S91</f>
        <v>452.20471280999999</v>
      </c>
      <c r="U91">
        <f t="shared" si="50"/>
        <v>5.4946675764753934</v>
      </c>
      <c r="V91">
        <f>J90*L90</f>
        <v>11.732635449735447</v>
      </c>
      <c r="W91">
        <f>P91*R91*U91</f>
        <v>139.56455644247498</v>
      </c>
      <c r="X91">
        <v>1</v>
      </c>
      <c r="Y91" s="14">
        <f>E91*F91*W91*(S91^(7/6))*X91</f>
        <v>1.1950839436337068E-3</v>
      </c>
    </row>
    <row r="92" spans="1:25" x14ac:dyDescent="0.2">
      <c r="A92" s="13"/>
      <c r="B92">
        <v>1000</v>
      </c>
      <c r="C92">
        <v>2650</v>
      </c>
      <c r="D92">
        <v>9.81</v>
      </c>
      <c r="E92">
        <v>4.1000000000000002E-2</v>
      </c>
      <c r="F92">
        <v>0.01</v>
      </c>
      <c r="G92">
        <v>23.74</v>
      </c>
      <c r="H92">
        <f t="shared" ref="H92:H93" si="51">G92+23.35</f>
        <v>47.09</v>
      </c>
      <c r="I92">
        <f t="shared" ref="I92:I93" si="52">H92*1000</f>
        <v>47090</v>
      </c>
      <c r="J92">
        <f t="shared" ref="J92:J93" si="53">(1/3)*I92^2</f>
        <v>739156033.33333325</v>
      </c>
      <c r="K92">
        <v>0.5</v>
      </c>
      <c r="L92">
        <f t="shared" ref="L92:L93" si="54">K92/31500000</f>
        <v>1.5873015873015872E-8</v>
      </c>
      <c r="M92" s="2" t="s">
        <v>28</v>
      </c>
      <c r="N92">
        <v>16.8</v>
      </c>
      <c r="O92">
        <f t="shared" ref="O92:O93" si="55">N92/1000</f>
        <v>1.6800000000000002E-2</v>
      </c>
      <c r="P92">
        <v>20</v>
      </c>
      <c r="Q92">
        <v>127</v>
      </c>
      <c r="R92">
        <f t="shared" ref="R92:R93" si="56">Q92/100</f>
        <v>1.27</v>
      </c>
      <c r="S92">
        <v>3.6296299999999997E-2</v>
      </c>
      <c r="T92">
        <f t="shared" ref="T92:T93" si="57">B92*D92*R92*S92</f>
        <v>452.20471280999999</v>
      </c>
      <c r="U92">
        <f t="shared" si="50"/>
        <v>8.1583429986836453</v>
      </c>
      <c r="V92">
        <f t="shared" ref="V92:V93" si="58">J91*L91</f>
        <v>11.732635449735447</v>
      </c>
      <c r="W92">
        <f t="shared" ref="W92:W93" si="59">P92*R92*U92</f>
        <v>207.22191216656458</v>
      </c>
      <c r="X92">
        <v>1</v>
      </c>
      <c r="Y92" s="14">
        <f t="shared" ref="Y92:Y93" si="60">E92*F92*W92*(S92^(7/6))*X92</f>
        <v>1.7744303160624432E-3</v>
      </c>
    </row>
    <row r="93" spans="1:25" x14ac:dyDescent="0.2">
      <c r="A93" s="13"/>
      <c r="B93">
        <v>1000</v>
      </c>
      <c r="C93">
        <v>2650</v>
      </c>
      <c r="D93">
        <v>9.81</v>
      </c>
      <c r="E93">
        <v>4.1000000000000002E-2</v>
      </c>
      <c r="F93">
        <v>0.01</v>
      </c>
      <c r="G93">
        <v>23.74</v>
      </c>
      <c r="H93">
        <f t="shared" si="51"/>
        <v>47.09</v>
      </c>
      <c r="I93">
        <f t="shared" si="52"/>
        <v>47090</v>
      </c>
      <c r="J93">
        <f t="shared" si="53"/>
        <v>739156033.33333325</v>
      </c>
      <c r="K93">
        <v>0.5</v>
      </c>
      <c r="L93">
        <f t="shared" si="54"/>
        <v>1.5873015873015872E-8</v>
      </c>
      <c r="M93" s="2" t="s">
        <v>29</v>
      </c>
      <c r="N93">
        <v>11</v>
      </c>
      <c r="O93">
        <f t="shared" si="55"/>
        <v>1.0999999999999999E-2</v>
      </c>
      <c r="P93">
        <v>20</v>
      </c>
      <c r="Q93">
        <v>127</v>
      </c>
      <c r="R93">
        <f t="shared" si="56"/>
        <v>1.27</v>
      </c>
      <c r="S93">
        <v>3.6296299999999997E-2</v>
      </c>
      <c r="T93">
        <f t="shared" si="57"/>
        <v>452.20471280999999</v>
      </c>
      <c r="U93">
        <f t="shared" si="50"/>
        <v>8.7549712923985936</v>
      </c>
      <c r="V93">
        <f t="shared" si="58"/>
        <v>11.732635449735447</v>
      </c>
      <c r="W93">
        <f t="shared" si="59"/>
        <v>222.37627082692427</v>
      </c>
      <c r="X93">
        <v>1</v>
      </c>
      <c r="Y93" s="14">
        <f t="shared" si="60"/>
        <v>1.9041962908393347E-3</v>
      </c>
    </row>
    <row r="94" spans="1:25" x14ac:dyDescent="0.2">
      <c r="A94" s="173"/>
      <c r="B94" s="46"/>
      <c r="C94" s="46"/>
      <c r="D94" s="46"/>
      <c r="E94" s="46"/>
      <c r="F94" s="46"/>
      <c r="G94" s="46"/>
      <c r="H94" s="46"/>
      <c r="I94" s="46"/>
      <c r="J94" s="46"/>
      <c r="K94" s="46"/>
      <c r="L94" s="46"/>
      <c r="M94" s="78" t="s">
        <v>30</v>
      </c>
      <c r="N94" s="46"/>
      <c r="O94" s="46"/>
      <c r="P94" s="46"/>
      <c r="Q94" s="46"/>
      <c r="R94" s="46"/>
      <c r="S94" s="46"/>
      <c r="T94" s="46"/>
      <c r="U94" s="46"/>
      <c r="V94" s="46"/>
      <c r="W94" s="46"/>
      <c r="X94" s="46"/>
      <c r="Y94" s="174"/>
    </row>
    <row r="95" spans="1:25" x14ac:dyDescent="0.2">
      <c r="A95" s="173"/>
      <c r="B95" s="46"/>
      <c r="C95" s="46"/>
      <c r="D95" s="46"/>
      <c r="E95" s="46"/>
      <c r="F95" s="46"/>
      <c r="G95" s="46"/>
      <c r="H95" s="46"/>
      <c r="I95" s="46"/>
      <c r="J95" s="46"/>
      <c r="K95" s="46"/>
      <c r="L95" s="46"/>
      <c r="M95" s="78" t="s">
        <v>31</v>
      </c>
      <c r="N95" s="46"/>
      <c r="O95" s="46"/>
      <c r="P95" s="46"/>
      <c r="Q95" s="46"/>
      <c r="R95" s="46"/>
      <c r="S95" s="46"/>
      <c r="T95" s="46"/>
      <c r="U95" s="46"/>
      <c r="V95" s="46"/>
      <c r="W95" s="46"/>
      <c r="X95" s="46"/>
      <c r="Y95" s="174"/>
    </row>
    <row r="96" spans="1:25" x14ac:dyDescent="0.2">
      <c r="A96" s="173"/>
      <c r="B96" s="46"/>
      <c r="C96" s="46"/>
      <c r="D96" s="46"/>
      <c r="E96" s="46"/>
      <c r="F96" s="46"/>
      <c r="G96" s="46"/>
      <c r="H96" s="46"/>
      <c r="I96" s="46"/>
      <c r="J96" s="46"/>
      <c r="K96" s="46"/>
      <c r="L96" s="46"/>
      <c r="M96" s="78" t="s">
        <v>32</v>
      </c>
      <c r="N96" s="46"/>
      <c r="O96" s="46"/>
      <c r="P96" s="46"/>
      <c r="Q96" s="46"/>
      <c r="R96" s="46"/>
      <c r="S96" s="46"/>
      <c r="T96" s="46"/>
      <c r="U96" s="46"/>
      <c r="V96" s="46"/>
      <c r="W96" s="46"/>
      <c r="X96" s="46"/>
      <c r="Y96" s="174"/>
    </row>
    <row r="97" spans="1:25" ht="17" thickBot="1" x14ac:dyDescent="0.25">
      <c r="A97" s="175"/>
      <c r="B97" s="176">
        <v>1000</v>
      </c>
      <c r="C97" s="176">
        <v>2650</v>
      </c>
      <c r="D97" s="176">
        <v>9.81</v>
      </c>
      <c r="E97" s="176">
        <v>4.1000000000000002E-2</v>
      </c>
      <c r="F97" s="176">
        <v>0.01</v>
      </c>
      <c r="G97" s="176">
        <v>23.74</v>
      </c>
      <c r="H97" s="176">
        <f>G97+23.35</f>
        <v>47.09</v>
      </c>
      <c r="I97" s="176">
        <f>H97*1000</f>
        <v>47090</v>
      </c>
      <c r="J97" s="176">
        <f>(1/3)*I97^2</f>
        <v>739156033.33333325</v>
      </c>
      <c r="K97" s="176">
        <v>0.5</v>
      </c>
      <c r="L97" s="176">
        <f>K97/31500000</f>
        <v>1.5873015873015872E-8</v>
      </c>
      <c r="M97" s="176" t="s">
        <v>48</v>
      </c>
      <c r="N97" s="176">
        <f>(N90*(52/58))+(N91*(1/58))+(N92*(2/58))+(N93*(3/58))</f>
        <v>28.727586206896554</v>
      </c>
      <c r="O97" s="176">
        <f>N97/1000</f>
        <v>2.8727586206896555E-2</v>
      </c>
      <c r="P97" s="176">
        <v>20</v>
      </c>
      <c r="Q97" s="176">
        <v>127</v>
      </c>
      <c r="R97" s="176">
        <v>1.27</v>
      </c>
      <c r="S97" s="176">
        <v>3.6396299999999999E-2</v>
      </c>
      <c r="T97" s="176">
        <f>T90</f>
        <v>452.20471280999999</v>
      </c>
      <c r="U97" s="176">
        <f>(U90*(52/58))+(U91*(1/58))+(U92*(2/58))+(U93*(3/58))</f>
        <v>7.574726353198562</v>
      </c>
      <c r="V97" s="176">
        <f>J97*L97</f>
        <v>11.732635449735447</v>
      </c>
      <c r="W97" s="176">
        <f>P97*R97*U97</f>
        <v>192.39804937124347</v>
      </c>
      <c r="X97" s="176">
        <v>1</v>
      </c>
      <c r="Y97" s="177">
        <f>E97*F97*W97*(S97^(7/6))*X97</f>
        <v>1.652791091888484E-3</v>
      </c>
    </row>
    <row r="98" spans="1:25" ht="22" thickTop="1" x14ac:dyDescent="0.25">
      <c r="A98" s="181" t="s">
        <v>13</v>
      </c>
      <c r="B98" s="178">
        <v>1000</v>
      </c>
      <c r="C98" s="178">
        <v>2650</v>
      </c>
      <c r="D98" s="178">
        <v>9.81</v>
      </c>
      <c r="E98" s="178">
        <v>4.1000000000000002E-2</v>
      </c>
      <c r="F98" s="178">
        <v>0.01</v>
      </c>
      <c r="G98" s="178">
        <v>23.74</v>
      </c>
      <c r="H98" s="178">
        <f>G98+ 23.88</f>
        <v>47.62</v>
      </c>
      <c r="I98" s="178">
        <f t="shared" si="11"/>
        <v>47620</v>
      </c>
      <c r="J98" s="178">
        <f t="shared" si="12"/>
        <v>755888133.33333325</v>
      </c>
      <c r="K98" s="178">
        <v>0.5</v>
      </c>
      <c r="L98" s="178">
        <f>K98/31500000</f>
        <v>1.5873015873015872E-8</v>
      </c>
      <c r="M98" s="179" t="s">
        <v>26</v>
      </c>
      <c r="N98" s="178">
        <v>64</v>
      </c>
      <c r="O98" s="178">
        <f>N98/1000</f>
        <v>6.4000000000000001E-2</v>
      </c>
      <c r="P98" s="178">
        <v>17.5</v>
      </c>
      <c r="Q98" s="178">
        <v>107</v>
      </c>
      <c r="R98" s="178">
        <f>Q98/100</f>
        <v>1.07</v>
      </c>
      <c r="S98" s="178">
        <v>1.7488076000000002E-2</v>
      </c>
      <c r="T98" s="178">
        <f>B98*D98*R98*S98</f>
        <v>183.56708734920002</v>
      </c>
      <c r="U98" s="178">
        <f t="shared" ref="U98:U101" si="61">5.9 * (SQRT(D98))*(((R98^(2/3))*(S98^(1/2)))/(O98^(1/6)))</f>
        <v>4.0421899762212128</v>
      </c>
      <c r="V98" s="178">
        <f>J98*L98</f>
        <v>11.998224338624336</v>
      </c>
      <c r="W98" s="178">
        <f>P98*R98*U98</f>
        <v>75.69000730474221</v>
      </c>
      <c r="X98" s="178">
        <v>0.98</v>
      </c>
      <c r="Y98" s="180">
        <f>E98*F98*W98*(S98^(7/6))*X98</f>
        <v>2.709656151696977E-4</v>
      </c>
    </row>
    <row r="99" spans="1:25" x14ac:dyDescent="0.2">
      <c r="A99" s="23"/>
      <c r="B99">
        <v>1000</v>
      </c>
      <c r="C99">
        <v>2650</v>
      </c>
      <c r="D99">
        <v>9.81</v>
      </c>
      <c r="E99">
        <v>4.1000000000000002E-2</v>
      </c>
      <c r="F99">
        <v>0.01</v>
      </c>
      <c r="G99">
        <v>23.74</v>
      </c>
      <c r="H99">
        <f>G99 + 23.88</f>
        <v>47.62</v>
      </c>
      <c r="I99">
        <f>H99*1000</f>
        <v>47620</v>
      </c>
      <c r="J99">
        <f>(1/3)*I99^2</f>
        <v>755888133.33333325</v>
      </c>
      <c r="K99">
        <v>0.5</v>
      </c>
      <c r="L99">
        <f>K99/31500000</f>
        <v>1.5873015873015872E-8</v>
      </c>
      <c r="M99" s="2" t="s">
        <v>27</v>
      </c>
      <c r="N99">
        <v>64</v>
      </c>
      <c r="O99">
        <f>N99/1000</f>
        <v>6.4000000000000001E-2</v>
      </c>
      <c r="P99">
        <v>17.5</v>
      </c>
      <c r="Q99">
        <v>107</v>
      </c>
      <c r="R99">
        <f>Q99/100</f>
        <v>1.07</v>
      </c>
      <c r="S99">
        <v>1.7488076000000002E-2</v>
      </c>
      <c r="T99">
        <f>B99*D99*R99*S99</f>
        <v>183.56708734920002</v>
      </c>
      <c r="U99">
        <f t="shared" si="61"/>
        <v>4.0421899762212128</v>
      </c>
      <c r="V99">
        <f>J99*L99</f>
        <v>11.998224338624336</v>
      </c>
      <c r="W99">
        <f>P99*R99*U99</f>
        <v>75.69000730474221</v>
      </c>
      <c r="X99">
        <v>0.98</v>
      </c>
      <c r="Y99" s="64">
        <f t="shared" ref="Y99:Y101" si="62">E99*F99*W99*(S99^(7/6))*X99</f>
        <v>2.709656151696977E-4</v>
      </c>
    </row>
    <row r="100" spans="1:25" x14ac:dyDescent="0.2">
      <c r="A100" s="23"/>
      <c r="B100">
        <v>1000</v>
      </c>
      <c r="C100">
        <v>2650</v>
      </c>
      <c r="D100">
        <v>9.81</v>
      </c>
      <c r="E100">
        <v>4.1000000000000002E-2</v>
      </c>
      <c r="F100">
        <v>0.01</v>
      </c>
      <c r="G100">
        <v>23.74</v>
      </c>
      <c r="H100">
        <f t="shared" ref="H100:H101" si="63">G100 + 23.88</f>
        <v>47.62</v>
      </c>
      <c r="I100">
        <f t="shared" ref="I100:I101" si="64">H100*1000</f>
        <v>47620</v>
      </c>
      <c r="J100">
        <f t="shared" ref="J100:J101" si="65">(1/3)*I100^2</f>
        <v>755888133.33333325</v>
      </c>
      <c r="K100">
        <v>0.5</v>
      </c>
      <c r="L100">
        <f>K100/31500000</f>
        <v>1.5873015873015872E-8</v>
      </c>
      <c r="M100" s="2" t="s">
        <v>28</v>
      </c>
      <c r="N100">
        <v>32</v>
      </c>
      <c r="O100">
        <f>N100/1000</f>
        <v>3.2000000000000001E-2</v>
      </c>
      <c r="P100">
        <v>17.5</v>
      </c>
      <c r="Q100">
        <v>107</v>
      </c>
      <c r="R100">
        <f t="shared" ref="R100:R101" si="66">Q100/100</f>
        <v>1.07</v>
      </c>
      <c r="S100">
        <v>1.7488076000000002E-2</v>
      </c>
      <c r="T100">
        <f t="shared" ref="T100:T101" si="67">B100*D100*R100*S100</f>
        <v>183.56708734920002</v>
      </c>
      <c r="U100">
        <f t="shared" si="61"/>
        <v>4.5372048403648773</v>
      </c>
      <c r="V100">
        <f t="shared" ref="V100:V101" si="68">J100*L100</f>
        <v>11.998224338624336</v>
      </c>
      <c r="W100">
        <f t="shared" ref="W100:W101" si="69">P100*R100*U100</f>
        <v>84.959160635832333</v>
      </c>
      <c r="X100">
        <v>0.98</v>
      </c>
      <c r="Y100" s="64">
        <f t="shared" si="62"/>
        <v>3.0414861942478817E-4</v>
      </c>
    </row>
    <row r="101" spans="1:25" x14ac:dyDescent="0.2">
      <c r="A101" s="23"/>
      <c r="B101">
        <v>1000</v>
      </c>
      <c r="C101">
        <v>2650</v>
      </c>
      <c r="D101">
        <v>9.81</v>
      </c>
      <c r="E101">
        <v>4.1000000000000002E-2</v>
      </c>
      <c r="F101">
        <v>0.01</v>
      </c>
      <c r="G101">
        <v>23.74</v>
      </c>
      <c r="H101">
        <f t="shared" si="63"/>
        <v>47.62</v>
      </c>
      <c r="I101">
        <f t="shared" si="64"/>
        <v>47620</v>
      </c>
      <c r="J101">
        <f t="shared" si="65"/>
        <v>755888133.33333325</v>
      </c>
      <c r="K101">
        <v>0.5</v>
      </c>
      <c r="L101">
        <f>K101/31500000</f>
        <v>1.5873015873015872E-8</v>
      </c>
      <c r="M101" s="2" t="s">
        <v>29</v>
      </c>
      <c r="N101">
        <v>22.6</v>
      </c>
      <c r="O101">
        <f>N101/1000</f>
        <v>2.2600000000000002E-2</v>
      </c>
      <c r="P101">
        <v>17.5</v>
      </c>
      <c r="Q101">
        <v>107</v>
      </c>
      <c r="R101">
        <f t="shared" si="66"/>
        <v>1.07</v>
      </c>
      <c r="S101">
        <v>1.7488076000000002E-2</v>
      </c>
      <c r="T101">
        <f t="shared" si="67"/>
        <v>183.56708734920002</v>
      </c>
      <c r="U101">
        <f t="shared" si="61"/>
        <v>4.8079725177451236</v>
      </c>
      <c r="V101">
        <f t="shared" si="68"/>
        <v>11.998224338624336</v>
      </c>
      <c r="W101">
        <f t="shared" si="69"/>
        <v>90.029285394777446</v>
      </c>
      <c r="X101">
        <v>0.98</v>
      </c>
      <c r="Y101" s="64">
        <f t="shared" si="62"/>
        <v>3.2229935719342627E-4</v>
      </c>
    </row>
    <row r="102" spans="1:25" x14ac:dyDescent="0.2">
      <c r="A102" s="182"/>
      <c r="B102" s="46"/>
      <c r="C102" s="46"/>
      <c r="D102" s="46"/>
      <c r="E102" s="46"/>
      <c r="F102" s="46"/>
      <c r="G102" s="46"/>
      <c r="H102" s="46"/>
      <c r="I102" s="46"/>
      <c r="J102" s="46"/>
      <c r="K102" s="46"/>
      <c r="L102" s="46"/>
      <c r="M102" s="78" t="s">
        <v>30</v>
      </c>
      <c r="N102" s="46"/>
      <c r="O102" s="46"/>
      <c r="P102" s="46"/>
      <c r="Q102" s="46"/>
      <c r="R102" s="46"/>
      <c r="S102" s="46"/>
      <c r="T102" s="46"/>
      <c r="U102" s="46"/>
      <c r="V102" s="46"/>
      <c r="W102" s="46"/>
      <c r="X102" s="46"/>
      <c r="Y102" s="183"/>
    </row>
    <row r="103" spans="1:25" x14ac:dyDescent="0.2">
      <c r="A103" s="182"/>
      <c r="B103" s="46"/>
      <c r="C103" s="46"/>
      <c r="D103" s="46"/>
      <c r="E103" s="46"/>
      <c r="F103" s="46"/>
      <c r="G103" s="46"/>
      <c r="H103" s="46"/>
      <c r="I103" s="46"/>
      <c r="J103" s="46"/>
      <c r="K103" s="46"/>
      <c r="L103" s="46"/>
      <c r="M103" s="78" t="s">
        <v>31</v>
      </c>
      <c r="N103" s="46"/>
      <c r="O103" s="46"/>
      <c r="P103" s="46"/>
      <c r="Q103" s="46"/>
      <c r="R103" s="46"/>
      <c r="S103" s="46"/>
      <c r="T103" s="46"/>
      <c r="U103" s="46"/>
      <c r="V103" s="46"/>
      <c r="W103" s="46"/>
      <c r="X103" s="46"/>
      <c r="Y103" s="183"/>
    </row>
    <row r="104" spans="1:25" x14ac:dyDescent="0.2">
      <c r="A104" s="182"/>
      <c r="B104" s="46"/>
      <c r="C104" s="46"/>
      <c r="D104" s="46"/>
      <c r="E104" s="46"/>
      <c r="F104" s="46"/>
      <c r="G104" s="46"/>
      <c r="H104" s="46"/>
      <c r="I104" s="46"/>
      <c r="J104" s="46"/>
      <c r="K104" s="46"/>
      <c r="L104" s="46"/>
      <c r="M104" s="78" t="s">
        <v>32</v>
      </c>
      <c r="N104" s="46"/>
      <c r="O104" s="46"/>
      <c r="P104" s="46"/>
      <c r="Q104" s="46"/>
      <c r="R104" s="46"/>
      <c r="S104" s="46"/>
      <c r="T104" s="46"/>
      <c r="U104" s="46"/>
      <c r="V104" s="46"/>
      <c r="W104" s="46"/>
      <c r="X104" s="46"/>
      <c r="Y104" s="183"/>
    </row>
    <row r="105" spans="1:25" s="1" customFormat="1" ht="17" thickBot="1" x14ac:dyDescent="0.25">
      <c r="A105" s="66"/>
      <c r="B105" s="67">
        <v>1000</v>
      </c>
      <c r="C105" s="67">
        <v>2650</v>
      </c>
      <c r="D105" s="67">
        <v>9.81</v>
      </c>
      <c r="E105" s="67">
        <v>4.1000000000000002E-2</v>
      </c>
      <c r="F105" s="67">
        <v>0.01</v>
      </c>
      <c r="G105" s="67">
        <v>23.74</v>
      </c>
      <c r="H105" s="67">
        <v>47.62</v>
      </c>
      <c r="I105" s="67">
        <v>47620</v>
      </c>
      <c r="J105" s="67">
        <f>J98</f>
        <v>755888133.33333325</v>
      </c>
      <c r="K105" s="67">
        <v>0.5</v>
      </c>
      <c r="L105" s="67">
        <f>L98</f>
        <v>1.5873015873015872E-8</v>
      </c>
      <c r="M105" s="67" t="s">
        <v>48</v>
      </c>
      <c r="N105" s="67">
        <f>(N98*(70/89))+(N99*(3/89))+(N100*(5/89))+(N101*(11/89))</f>
        <v>57.085393258426961</v>
      </c>
      <c r="O105" s="67">
        <f>N105/1000</f>
        <v>5.7085393258426959E-2</v>
      </c>
      <c r="P105" s="67">
        <v>17.5</v>
      </c>
      <c r="Q105" s="67">
        <v>107</v>
      </c>
      <c r="R105" s="67">
        <f>Q105/100</f>
        <v>1.07</v>
      </c>
      <c r="S105" s="67">
        <f>S98</f>
        <v>1.7488076000000002E-2</v>
      </c>
      <c r="T105" s="67">
        <f>T98</f>
        <v>183.56708734920002</v>
      </c>
      <c r="U105" s="67">
        <f>(U98*(70/89))+(U99*(3/89))+(U100*(5/89))+(U101*(11/89))</f>
        <v>4.1646470804625766</v>
      </c>
      <c r="V105" s="67">
        <f>V98</f>
        <v>11.998224338624336</v>
      </c>
      <c r="W105" s="67">
        <f>P105*R105*U105</f>
        <v>77.983016581661758</v>
      </c>
      <c r="X105" s="67">
        <v>0.98</v>
      </c>
      <c r="Y105" s="69">
        <f>E105*F105*W105*(S105^(7/6))*X105</f>
        <v>2.7917444869257944E-4</v>
      </c>
    </row>
    <row r="106" spans="1:25" ht="22" thickTop="1" x14ac:dyDescent="0.25">
      <c r="A106" s="77" t="s">
        <v>12</v>
      </c>
      <c r="B106" s="70">
        <v>1000</v>
      </c>
      <c r="C106" s="70">
        <v>2650</v>
      </c>
      <c r="D106" s="70">
        <v>9.81</v>
      </c>
      <c r="E106" s="70">
        <v>4.1000000000000002E-2</v>
      </c>
      <c r="F106" s="70">
        <v>0.01</v>
      </c>
      <c r="G106" s="70">
        <v>23.74</v>
      </c>
      <c r="H106" s="70">
        <f>G106 + 24.31</f>
        <v>48.05</v>
      </c>
      <c r="I106" s="70">
        <f t="shared" si="11"/>
        <v>48050</v>
      </c>
      <c r="J106" s="70">
        <f t="shared" si="12"/>
        <v>769600833.33333325</v>
      </c>
      <c r="K106" s="70">
        <v>0.5</v>
      </c>
      <c r="L106" s="70">
        <f>K106/31500000</f>
        <v>1.5873015873015872E-8</v>
      </c>
      <c r="M106" s="71" t="s">
        <v>26</v>
      </c>
      <c r="N106" s="70">
        <v>64</v>
      </c>
      <c r="O106" s="70">
        <f>N106/1000</f>
        <v>6.4000000000000001E-2</v>
      </c>
      <c r="P106" s="70">
        <v>18</v>
      </c>
      <c r="Q106" s="70">
        <v>89</v>
      </c>
      <c r="R106" s="70">
        <f>Q106/100</f>
        <v>0.89</v>
      </c>
      <c r="S106" s="70">
        <v>1.901542E-3</v>
      </c>
      <c r="T106" s="70">
        <f t="shared" ref="T106:T110" si="70">B106*D106*R106*S106</f>
        <v>16.602173047800001</v>
      </c>
      <c r="U106" s="70">
        <f t="shared" ref="U106:U110" si="71">5.9 * (SQRT(D106))*(((R106^(2/3))*(S106^(1/2)))/(O106^(1/6)))</f>
        <v>1.1788796888796336</v>
      </c>
      <c r="V106" s="70">
        <f>J106*L106</f>
        <v>12.215886243386242</v>
      </c>
      <c r="W106" s="70">
        <f>P106*R106*U106</f>
        <v>18.885652615851729</v>
      </c>
      <c r="X106" s="70">
        <v>1</v>
      </c>
      <c r="Y106" s="72">
        <f t="shared" ref="Y106:Y110" si="72">E106*F106*W106*(S106^(7/6))*X106</f>
        <v>5.1825014188997775E-6</v>
      </c>
    </row>
    <row r="107" spans="1:25" x14ac:dyDescent="0.2">
      <c r="A107" s="38"/>
      <c r="B107">
        <v>1000</v>
      </c>
      <c r="C107">
        <v>2650</v>
      </c>
      <c r="D107">
        <v>9.81</v>
      </c>
      <c r="E107">
        <v>4.1000000000000002E-2</v>
      </c>
      <c r="F107">
        <v>0.01</v>
      </c>
      <c r="G107">
        <v>23.74</v>
      </c>
      <c r="H107">
        <f t="shared" ref="H107:H110" si="73">G107 + 24.31</f>
        <v>48.05</v>
      </c>
      <c r="I107">
        <f t="shared" si="11"/>
        <v>48050</v>
      </c>
      <c r="J107">
        <f t="shared" si="12"/>
        <v>769600833.33333325</v>
      </c>
      <c r="K107">
        <v>0.5</v>
      </c>
      <c r="L107">
        <f t="shared" ref="L107:L110" si="74">K107/31500000</f>
        <v>1.5873015873015872E-8</v>
      </c>
      <c r="M107" s="2" t="s">
        <v>27</v>
      </c>
      <c r="N107">
        <v>128</v>
      </c>
      <c r="O107">
        <f t="shared" ref="O107:O110" si="75">N107/1000</f>
        <v>0.128</v>
      </c>
      <c r="P107">
        <v>18</v>
      </c>
      <c r="Q107">
        <v>89</v>
      </c>
      <c r="R107">
        <f t="shared" ref="R107:R109" si="76">Q107/100</f>
        <v>0.89</v>
      </c>
      <c r="S107">
        <v>1.901542E-3</v>
      </c>
      <c r="T107">
        <f t="shared" si="70"/>
        <v>16.602173047800001</v>
      </c>
      <c r="U107">
        <f t="shared" si="71"/>
        <v>1.0502624036645474</v>
      </c>
      <c r="V107">
        <f t="shared" ref="V107:V110" si="77">J107*L107</f>
        <v>12.215886243386242</v>
      </c>
      <c r="W107">
        <f t="shared" ref="W107:W110" si="78">P107*R107*U107</f>
        <v>16.825203706706048</v>
      </c>
      <c r="X107">
        <v>1</v>
      </c>
      <c r="Y107" s="73">
        <f t="shared" si="72"/>
        <v>4.6170838708583006E-6</v>
      </c>
    </row>
    <row r="108" spans="1:25" x14ac:dyDescent="0.2">
      <c r="A108" s="38"/>
      <c r="B108">
        <v>1000</v>
      </c>
      <c r="C108">
        <v>2650</v>
      </c>
      <c r="D108">
        <v>9.81</v>
      </c>
      <c r="E108">
        <v>4.1000000000000002E-2</v>
      </c>
      <c r="F108">
        <v>0.01</v>
      </c>
      <c r="G108">
        <v>23.74</v>
      </c>
      <c r="H108">
        <f t="shared" si="73"/>
        <v>48.05</v>
      </c>
      <c r="I108">
        <f t="shared" si="11"/>
        <v>48050</v>
      </c>
      <c r="J108">
        <f t="shared" si="12"/>
        <v>769600833.33333325</v>
      </c>
      <c r="K108">
        <v>0.5</v>
      </c>
      <c r="L108">
        <f t="shared" si="74"/>
        <v>1.5873015873015872E-8</v>
      </c>
      <c r="M108" s="2" t="s">
        <v>28</v>
      </c>
      <c r="N108">
        <v>61</v>
      </c>
      <c r="O108">
        <f t="shared" si="75"/>
        <v>6.0999999999999999E-2</v>
      </c>
      <c r="P108">
        <v>18</v>
      </c>
      <c r="Q108">
        <v>89</v>
      </c>
      <c r="R108">
        <f t="shared" si="76"/>
        <v>0.89</v>
      </c>
      <c r="S108">
        <v>1.901542E-3</v>
      </c>
      <c r="T108">
        <f t="shared" si="70"/>
        <v>16.602173047800001</v>
      </c>
      <c r="U108">
        <f t="shared" si="71"/>
        <v>1.1883503772758282</v>
      </c>
      <c r="V108">
        <f t="shared" si="77"/>
        <v>12.215886243386242</v>
      </c>
      <c r="W108">
        <f t="shared" si="78"/>
        <v>19.037373043958766</v>
      </c>
      <c r="X108">
        <v>1</v>
      </c>
      <c r="Y108" s="73">
        <f t="shared" si="72"/>
        <v>5.2241357404630595E-6</v>
      </c>
    </row>
    <row r="109" spans="1:25" x14ac:dyDescent="0.2">
      <c r="A109" s="38"/>
      <c r="B109">
        <v>1000</v>
      </c>
      <c r="C109">
        <v>2650</v>
      </c>
      <c r="D109">
        <v>9.81</v>
      </c>
      <c r="E109">
        <v>4.1000000000000002E-2</v>
      </c>
      <c r="F109">
        <v>0.01</v>
      </c>
      <c r="G109">
        <v>23.74</v>
      </c>
      <c r="H109">
        <f t="shared" si="73"/>
        <v>48.05</v>
      </c>
      <c r="I109">
        <f t="shared" si="11"/>
        <v>48050</v>
      </c>
      <c r="J109">
        <f t="shared" si="12"/>
        <v>769600833.33333325</v>
      </c>
      <c r="K109">
        <v>0.5</v>
      </c>
      <c r="L109">
        <f t="shared" si="74"/>
        <v>1.5873015873015872E-8</v>
      </c>
      <c r="M109" s="2" t="s">
        <v>29</v>
      </c>
      <c r="N109">
        <v>38.5</v>
      </c>
      <c r="O109">
        <f t="shared" si="75"/>
        <v>3.85E-2</v>
      </c>
      <c r="P109">
        <v>18</v>
      </c>
      <c r="Q109">
        <v>89</v>
      </c>
      <c r="R109">
        <f t="shared" si="76"/>
        <v>0.89</v>
      </c>
      <c r="S109">
        <v>1.901542E-3</v>
      </c>
      <c r="T109">
        <f t="shared" si="70"/>
        <v>16.602173047800001</v>
      </c>
      <c r="U109">
        <f t="shared" si="71"/>
        <v>1.2830867670965231</v>
      </c>
      <c r="V109">
        <f t="shared" si="77"/>
        <v>12.215886243386242</v>
      </c>
      <c r="W109">
        <f t="shared" si="78"/>
        <v>20.555050008886301</v>
      </c>
      <c r="X109">
        <v>1</v>
      </c>
      <c r="Y109" s="73">
        <f t="shared" si="72"/>
        <v>5.6406086675128048E-6</v>
      </c>
    </row>
    <row r="110" spans="1:25" x14ac:dyDescent="0.2">
      <c r="A110" s="38"/>
      <c r="B110">
        <v>1000</v>
      </c>
      <c r="C110">
        <v>2650</v>
      </c>
      <c r="D110">
        <v>9.81</v>
      </c>
      <c r="E110">
        <v>4.1000000000000002E-2</v>
      </c>
      <c r="F110">
        <v>0.01</v>
      </c>
      <c r="G110">
        <v>23.74</v>
      </c>
      <c r="H110">
        <f t="shared" si="73"/>
        <v>48.05</v>
      </c>
      <c r="I110">
        <f t="shared" si="11"/>
        <v>48050</v>
      </c>
      <c r="J110">
        <f t="shared" si="12"/>
        <v>769600833.33333325</v>
      </c>
      <c r="K110">
        <v>0.5</v>
      </c>
      <c r="L110">
        <f t="shared" si="74"/>
        <v>1.5873015873015872E-8</v>
      </c>
      <c r="M110" s="2" t="s">
        <v>30</v>
      </c>
      <c r="N110">
        <v>45</v>
      </c>
      <c r="O110">
        <f t="shared" si="75"/>
        <v>4.4999999999999998E-2</v>
      </c>
      <c r="P110">
        <v>18</v>
      </c>
      <c r="Q110">
        <v>89</v>
      </c>
      <c r="R110">
        <f>Q110/100</f>
        <v>0.89</v>
      </c>
      <c r="S110">
        <v>1.901542E-3</v>
      </c>
      <c r="T110">
        <f t="shared" si="70"/>
        <v>16.602173047800001</v>
      </c>
      <c r="U110">
        <f t="shared" si="71"/>
        <v>1.2501555749850308</v>
      </c>
      <c r="V110">
        <f t="shared" si="77"/>
        <v>12.215886243386242</v>
      </c>
      <c r="W110">
        <f t="shared" si="78"/>
        <v>20.027492311260193</v>
      </c>
      <c r="X110">
        <v>1</v>
      </c>
      <c r="Y110" s="73">
        <f t="shared" si="72"/>
        <v>5.4958390600170099E-6</v>
      </c>
    </row>
    <row r="111" spans="1:25" x14ac:dyDescent="0.2">
      <c r="A111" s="186"/>
      <c r="B111" s="46"/>
      <c r="C111" s="46"/>
      <c r="D111" s="46"/>
      <c r="E111" s="46"/>
      <c r="F111" s="46"/>
      <c r="G111" s="46"/>
      <c r="H111" s="46"/>
      <c r="I111" s="46"/>
      <c r="J111" s="46"/>
      <c r="K111" s="46"/>
      <c r="L111" s="46"/>
      <c r="M111" s="78" t="s">
        <v>31</v>
      </c>
      <c r="N111" s="46"/>
      <c r="O111" s="46"/>
      <c r="P111" s="46"/>
      <c r="Q111" s="46"/>
      <c r="R111" s="46"/>
      <c r="S111" s="46"/>
      <c r="T111" s="46"/>
      <c r="U111" s="46"/>
      <c r="V111" s="46"/>
      <c r="W111" s="46"/>
      <c r="X111" s="46"/>
      <c r="Y111" s="187"/>
    </row>
    <row r="112" spans="1:25" x14ac:dyDescent="0.2">
      <c r="A112" s="186"/>
      <c r="B112" s="46"/>
      <c r="C112" s="46"/>
      <c r="D112" s="46"/>
      <c r="E112" s="46"/>
      <c r="F112" s="46"/>
      <c r="G112" s="46"/>
      <c r="H112" s="46"/>
      <c r="I112" s="46"/>
      <c r="J112" s="46"/>
      <c r="K112" s="46"/>
      <c r="L112" s="46"/>
      <c r="M112" s="78" t="s">
        <v>32</v>
      </c>
      <c r="N112" s="46"/>
      <c r="O112" s="46"/>
      <c r="P112" s="46"/>
      <c r="Q112" s="46"/>
      <c r="R112" s="46"/>
      <c r="S112" s="46"/>
      <c r="T112" s="46"/>
      <c r="U112" s="46"/>
      <c r="V112" s="46"/>
      <c r="W112" s="46"/>
      <c r="X112" s="46"/>
      <c r="Y112" s="187"/>
    </row>
    <row r="113" spans="1:25" s="1" customFormat="1" ht="17" thickBot="1" x14ac:dyDescent="0.25">
      <c r="A113" s="206"/>
      <c r="B113" s="207">
        <v>1000</v>
      </c>
      <c r="C113" s="207">
        <v>2650</v>
      </c>
      <c r="D113" s="207">
        <v>9.81</v>
      </c>
      <c r="E113" s="207">
        <v>4.1000000000000002E-2</v>
      </c>
      <c r="F113" s="207">
        <v>0.01</v>
      </c>
      <c r="G113" s="207">
        <v>23.74</v>
      </c>
      <c r="H113" s="207">
        <v>48.05</v>
      </c>
      <c r="I113" s="207">
        <v>48050</v>
      </c>
      <c r="J113" s="207">
        <f>J106</f>
        <v>769600833.33333325</v>
      </c>
      <c r="K113" s="207">
        <v>0.5</v>
      </c>
      <c r="L113" s="207">
        <f>L106</f>
        <v>1.5873015873015872E-8</v>
      </c>
      <c r="M113" s="208" t="s">
        <v>48</v>
      </c>
      <c r="N113" s="207">
        <f>(N106*(70/86))+(N107*(5/86))+(N108*(4/86))+(N109*(4/86))+(N110*(3/86))</f>
        <v>65.732558139534888</v>
      </c>
      <c r="O113" s="207">
        <f>N113/1000</f>
        <v>6.5732558139534894E-2</v>
      </c>
      <c r="P113" s="207">
        <v>18</v>
      </c>
      <c r="Q113" s="207">
        <v>89</v>
      </c>
      <c r="R113" s="207">
        <v>0.89</v>
      </c>
      <c r="S113" s="207">
        <f>S106</f>
        <v>1.901542E-3</v>
      </c>
      <c r="T113" s="207">
        <f>T106</f>
        <v>16.602173047800001</v>
      </c>
      <c r="U113" s="207">
        <f>(U106*(70/86))+(U107*(5/86))+(U108*(4/86))+(U109*(4/86))+(U110*(3/86))</f>
        <v>1.1791756458411811</v>
      </c>
      <c r="V113" s="207">
        <f>V106</f>
        <v>12.215886243386242</v>
      </c>
      <c r="W113" s="207">
        <f>P113*R113*U113</f>
        <v>18.890393846375719</v>
      </c>
      <c r="X113" s="207">
        <v>1</v>
      </c>
      <c r="Y113" s="82">
        <f t="shared" ref="Y113:Y118" si="79">E113*F113*W113*(S113^(7/6))*X113</f>
        <v>5.1838024824329106E-6</v>
      </c>
    </row>
    <row r="114" spans="1:25" ht="22" thickTop="1" x14ac:dyDescent="0.25">
      <c r="A114" s="212" t="s">
        <v>11</v>
      </c>
      <c r="B114" s="84">
        <v>1000</v>
      </c>
      <c r="C114" s="84">
        <v>2650</v>
      </c>
      <c r="D114" s="84">
        <v>9.81</v>
      </c>
      <c r="E114" s="84">
        <v>4.1000000000000002E-2</v>
      </c>
      <c r="F114" s="84">
        <v>0.01</v>
      </c>
      <c r="G114" s="84">
        <v>23.74</v>
      </c>
      <c r="H114" s="84">
        <f>G114 + 24.81</f>
        <v>48.55</v>
      </c>
      <c r="I114" s="84">
        <f t="shared" si="11"/>
        <v>48550</v>
      </c>
      <c r="J114" s="84">
        <f t="shared" si="12"/>
        <v>785700833.33333325</v>
      </c>
      <c r="K114" s="84">
        <v>0.5</v>
      </c>
      <c r="L114" s="84">
        <f>K114/31500000</f>
        <v>1.5873015873015872E-8</v>
      </c>
      <c r="M114" s="85" t="s">
        <v>26</v>
      </c>
      <c r="N114" s="84">
        <v>64</v>
      </c>
      <c r="O114" s="84">
        <f>N114/1000</f>
        <v>6.4000000000000001E-2</v>
      </c>
      <c r="P114" s="84">
        <v>14</v>
      </c>
      <c r="Q114" s="84">
        <v>105</v>
      </c>
      <c r="R114" s="84">
        <f>Q114/100</f>
        <v>1.05</v>
      </c>
      <c r="S114" s="84">
        <v>1.3276064000000001E-2</v>
      </c>
      <c r="T114" s="84">
        <f>B114*D114*R114*S114</f>
        <v>136.750097232</v>
      </c>
      <c r="U114" s="84">
        <f t="shared" ref="U114:U118" si="80">5.9 * (SQRT(D114))*(((R114^(2/3))*(S114^(1/2)))/(O114^(1/6)))</f>
        <v>3.4779023795263195</v>
      </c>
      <c r="V114" s="84">
        <f>J114*L114</f>
        <v>12.471441798941797</v>
      </c>
      <c r="W114" s="84">
        <f>P114*R114*U114</f>
        <v>51.125164979036903</v>
      </c>
      <c r="X114" s="84">
        <v>1</v>
      </c>
      <c r="Y114" s="213">
        <f t="shared" si="79"/>
        <v>1.3541480211560171E-4</v>
      </c>
    </row>
    <row r="115" spans="1:25" x14ac:dyDescent="0.2">
      <c r="A115" s="87"/>
      <c r="B115" s="209">
        <v>1000</v>
      </c>
      <c r="C115" s="209">
        <v>2650</v>
      </c>
      <c r="D115" s="209">
        <v>9.81</v>
      </c>
      <c r="E115" s="220">
        <v>4.1000000000000002E-2</v>
      </c>
      <c r="F115" s="220">
        <v>0.01</v>
      </c>
      <c r="G115" s="209">
        <v>23.74</v>
      </c>
      <c r="H115" s="209">
        <f t="shared" ref="H115:H118" si="81">G115 + 24.81</f>
        <v>48.55</v>
      </c>
      <c r="I115" s="220">
        <v>48550</v>
      </c>
      <c r="J115" s="209">
        <f t="shared" si="12"/>
        <v>785700833.33333325</v>
      </c>
      <c r="K115" s="220">
        <v>0.5</v>
      </c>
      <c r="L115" s="209">
        <f>K115/31500000</f>
        <v>1.5873015873015872E-8</v>
      </c>
      <c r="M115" s="210" t="s">
        <v>27</v>
      </c>
      <c r="N115" s="209">
        <v>90</v>
      </c>
      <c r="O115" s="209">
        <f t="shared" ref="O115:O118" si="82">N115/1000</f>
        <v>0.09</v>
      </c>
      <c r="P115" s="209">
        <v>14</v>
      </c>
      <c r="Q115" s="209">
        <v>105</v>
      </c>
      <c r="R115" s="209">
        <f t="shared" ref="R115:R118" si="83">Q115/100</f>
        <v>1.05</v>
      </c>
      <c r="S115" s="209">
        <v>1.3276064000000001E-2</v>
      </c>
      <c r="T115" s="209">
        <f t="shared" ref="T115:T118" si="84">B115*D115*R115*S115</f>
        <v>136.750097232</v>
      </c>
      <c r="U115">
        <f t="shared" si="80"/>
        <v>3.2857937445931125</v>
      </c>
      <c r="V115" s="209">
        <f t="shared" ref="V115:V118" si="85">J115*L115</f>
        <v>12.471441798941797</v>
      </c>
      <c r="W115" s="209">
        <f t="shared" ref="W115:W118" si="86">P115*R115*U115</f>
        <v>48.301168045518757</v>
      </c>
      <c r="X115" s="209">
        <v>1</v>
      </c>
      <c r="Y115" s="214">
        <f t="shared" si="79"/>
        <v>1.2793490476790164E-4</v>
      </c>
    </row>
    <row r="116" spans="1:25" x14ac:dyDescent="0.2">
      <c r="A116" s="87"/>
      <c r="B116" s="209">
        <v>1000</v>
      </c>
      <c r="C116" s="209">
        <v>2650</v>
      </c>
      <c r="D116" s="209">
        <v>9.81</v>
      </c>
      <c r="E116" s="220">
        <v>4.1000000000000002E-2</v>
      </c>
      <c r="F116" s="220">
        <v>0.01</v>
      </c>
      <c r="G116" s="209">
        <v>23.74</v>
      </c>
      <c r="H116" s="209">
        <f t="shared" si="81"/>
        <v>48.55</v>
      </c>
      <c r="I116" s="220">
        <v>48550</v>
      </c>
      <c r="J116" s="209">
        <f t="shared" si="12"/>
        <v>785700833.33333325</v>
      </c>
      <c r="K116" s="220">
        <v>0.5</v>
      </c>
      <c r="L116" s="209">
        <f t="shared" ref="L115:L118" si="87">K116/31500000</f>
        <v>1.5873015873015872E-8</v>
      </c>
      <c r="M116" s="210" t="s">
        <v>28</v>
      </c>
      <c r="N116" s="209">
        <v>64</v>
      </c>
      <c r="O116" s="209">
        <f t="shared" si="82"/>
        <v>6.4000000000000001E-2</v>
      </c>
      <c r="P116" s="209">
        <v>14</v>
      </c>
      <c r="Q116" s="209">
        <v>105</v>
      </c>
      <c r="R116" s="209">
        <f t="shared" si="83"/>
        <v>1.05</v>
      </c>
      <c r="S116" s="209">
        <v>1.3276064000000001E-2</v>
      </c>
      <c r="T116" s="209">
        <f t="shared" si="84"/>
        <v>136.750097232</v>
      </c>
      <c r="U116">
        <f t="shared" si="80"/>
        <v>3.4779023795263195</v>
      </c>
      <c r="V116" s="209">
        <f t="shared" si="85"/>
        <v>12.471441798941797</v>
      </c>
      <c r="W116" s="209">
        <f t="shared" si="86"/>
        <v>51.125164979036903</v>
      </c>
      <c r="X116" s="209">
        <v>1</v>
      </c>
      <c r="Y116" s="214">
        <f t="shared" si="79"/>
        <v>1.3541480211560171E-4</v>
      </c>
    </row>
    <row r="117" spans="1:25" x14ac:dyDescent="0.2">
      <c r="A117" s="87"/>
      <c r="B117" s="220">
        <v>1000</v>
      </c>
      <c r="C117" s="220">
        <v>2650</v>
      </c>
      <c r="D117" s="220">
        <v>9.81</v>
      </c>
      <c r="E117" s="220">
        <v>4.1000000000000002E-2</v>
      </c>
      <c r="F117" s="220">
        <v>0.01</v>
      </c>
      <c r="G117" s="209">
        <v>23.74</v>
      </c>
      <c r="H117" s="209">
        <f t="shared" si="81"/>
        <v>48.55</v>
      </c>
      <c r="I117" s="220">
        <v>48550</v>
      </c>
      <c r="J117" s="209">
        <f t="shared" si="12"/>
        <v>785700833.33333325</v>
      </c>
      <c r="K117" s="220">
        <v>0.5</v>
      </c>
      <c r="L117" s="209">
        <f t="shared" si="87"/>
        <v>1.5873015873015872E-8</v>
      </c>
      <c r="M117" s="210" t="s">
        <v>29</v>
      </c>
      <c r="N117" s="220">
        <v>90</v>
      </c>
      <c r="O117" s="209">
        <f t="shared" si="82"/>
        <v>0.09</v>
      </c>
      <c r="P117" s="220">
        <v>14</v>
      </c>
      <c r="Q117" s="220">
        <v>105</v>
      </c>
      <c r="R117" s="209">
        <f t="shared" si="83"/>
        <v>1.05</v>
      </c>
      <c r="S117" s="209">
        <v>1.3276064000000001E-2</v>
      </c>
      <c r="T117" s="209">
        <f t="shared" si="84"/>
        <v>136.750097232</v>
      </c>
      <c r="U117">
        <f t="shared" si="80"/>
        <v>3.2857937445931125</v>
      </c>
      <c r="V117" s="209">
        <f t="shared" si="85"/>
        <v>12.471441798941797</v>
      </c>
      <c r="W117" s="209">
        <f t="shared" si="86"/>
        <v>48.301168045518757</v>
      </c>
      <c r="X117" s="220">
        <v>1</v>
      </c>
      <c r="Y117" s="214">
        <f t="shared" si="79"/>
        <v>1.2793490476790164E-4</v>
      </c>
    </row>
    <row r="118" spans="1:25" x14ac:dyDescent="0.2">
      <c r="A118" s="224"/>
      <c r="B118" s="220">
        <v>1000</v>
      </c>
      <c r="C118" s="220">
        <v>2650</v>
      </c>
      <c r="D118" s="220">
        <v>9.81</v>
      </c>
      <c r="E118" s="220">
        <v>4.1000000000000002E-2</v>
      </c>
      <c r="F118" s="220">
        <v>0.01</v>
      </c>
      <c r="G118" s="209">
        <v>23.74</v>
      </c>
      <c r="H118" s="209">
        <f t="shared" si="81"/>
        <v>48.55</v>
      </c>
      <c r="I118" s="220">
        <v>48550</v>
      </c>
      <c r="J118" s="209">
        <f t="shared" si="12"/>
        <v>785700833.33333325</v>
      </c>
      <c r="K118" s="220">
        <v>0.5</v>
      </c>
      <c r="L118" s="209">
        <f t="shared" si="87"/>
        <v>1.5873015873015872E-8</v>
      </c>
      <c r="M118" s="225" t="s">
        <v>30</v>
      </c>
      <c r="N118" s="220">
        <v>300</v>
      </c>
      <c r="O118" s="209">
        <f t="shared" si="82"/>
        <v>0.3</v>
      </c>
      <c r="P118" s="220">
        <v>14</v>
      </c>
      <c r="Q118" s="220">
        <v>105</v>
      </c>
      <c r="R118" s="209">
        <f t="shared" si="83"/>
        <v>1.05</v>
      </c>
      <c r="S118" s="209">
        <v>1.3276064000000001E-2</v>
      </c>
      <c r="T118" s="209">
        <f t="shared" si="84"/>
        <v>136.750097232</v>
      </c>
      <c r="U118">
        <f t="shared" si="80"/>
        <v>2.6883997165094899</v>
      </c>
      <c r="V118" s="209">
        <f t="shared" si="85"/>
        <v>12.471441798941797</v>
      </c>
      <c r="W118" s="209">
        <f t="shared" si="86"/>
        <v>39.519475832689508</v>
      </c>
      <c r="X118" s="220">
        <v>1</v>
      </c>
      <c r="Y118" s="214">
        <f t="shared" si="79"/>
        <v>1.0467490915267001E-4</v>
      </c>
    </row>
    <row r="119" spans="1:25" x14ac:dyDescent="0.2">
      <c r="A119" s="216"/>
      <c r="B119" s="217"/>
      <c r="C119" s="217"/>
      <c r="D119" s="217"/>
      <c r="E119" s="217"/>
      <c r="F119" s="217"/>
      <c r="G119" s="217"/>
      <c r="H119" s="217"/>
      <c r="I119" s="217"/>
      <c r="J119" s="217"/>
      <c r="K119" s="217"/>
      <c r="L119" s="217"/>
      <c r="M119" s="218" t="s">
        <v>31</v>
      </c>
      <c r="N119" s="217"/>
      <c r="O119" s="217"/>
      <c r="P119" s="217"/>
      <c r="Q119" s="217"/>
      <c r="R119" s="217"/>
      <c r="S119" s="217"/>
      <c r="T119" s="217"/>
      <c r="U119" s="217"/>
      <c r="V119" s="217"/>
      <c r="W119" s="217"/>
      <c r="X119" s="217"/>
      <c r="Y119" s="219"/>
    </row>
    <row r="120" spans="1:25" x14ac:dyDescent="0.2">
      <c r="A120" s="216"/>
      <c r="B120" s="217"/>
      <c r="C120" s="217"/>
      <c r="D120" s="217"/>
      <c r="E120" s="217"/>
      <c r="F120" s="217"/>
      <c r="G120" s="217"/>
      <c r="H120" s="217"/>
      <c r="I120" s="217"/>
      <c r="J120" s="217"/>
      <c r="K120" s="217"/>
      <c r="L120" s="217"/>
      <c r="M120" s="218" t="s">
        <v>32</v>
      </c>
      <c r="N120" s="217"/>
      <c r="O120" s="217"/>
      <c r="P120" s="217"/>
      <c r="Q120" s="217"/>
      <c r="R120" s="217"/>
      <c r="S120" s="217"/>
      <c r="T120" s="217"/>
      <c r="U120" s="217"/>
      <c r="V120" s="217"/>
      <c r="W120" s="217"/>
      <c r="X120" s="217"/>
      <c r="Y120" s="219"/>
    </row>
    <row r="121" spans="1:25" s="1" customFormat="1" ht="17" thickBot="1" x14ac:dyDescent="0.25">
      <c r="A121" s="90"/>
      <c r="B121" s="233">
        <v>1000</v>
      </c>
      <c r="C121" s="233">
        <v>2650</v>
      </c>
      <c r="D121" s="233">
        <v>9.81</v>
      </c>
      <c r="E121" s="233">
        <v>4.1000000000000002E-2</v>
      </c>
      <c r="F121" s="233">
        <v>0.01</v>
      </c>
      <c r="G121" s="233">
        <v>23.74</v>
      </c>
      <c r="H121" s="233">
        <v>48.55</v>
      </c>
      <c r="I121" s="233">
        <f>I114</f>
        <v>48550</v>
      </c>
      <c r="J121" s="233">
        <f>J114</f>
        <v>785700833.33333325</v>
      </c>
      <c r="K121" s="233">
        <v>0.5</v>
      </c>
      <c r="L121" s="233">
        <f>L114</f>
        <v>1.5873015873015872E-8</v>
      </c>
      <c r="M121" s="236" t="s">
        <v>48</v>
      </c>
      <c r="N121" s="233">
        <f>(N114*(54/87))+(N115*(24/87))+(N116*(5/87))+(N117*(3/87))+(N118*(1/87))</f>
        <v>74.781609195402297</v>
      </c>
      <c r="O121" s="233">
        <f>N121/1000</f>
        <v>7.478160919540229E-2</v>
      </c>
      <c r="P121" s="233">
        <v>14</v>
      </c>
      <c r="Q121" s="233">
        <v>105</v>
      </c>
      <c r="R121" s="233">
        <v>1.05</v>
      </c>
      <c r="S121" s="233">
        <f>S114</f>
        <v>1.3276064000000001E-2</v>
      </c>
      <c r="T121" s="233">
        <f>T114</f>
        <v>136.750097232</v>
      </c>
      <c r="U121" s="233">
        <f>(U114*(54/87))+(U115*(24/87))+(U116*(5/87))+(U117*(3/87))+(U118*(1/87))</f>
        <v>3.409207715087085</v>
      </c>
      <c r="V121" s="233">
        <f>V114</f>
        <v>12.471441798941797</v>
      </c>
      <c r="W121" s="233">
        <f>P121*R121*U121</f>
        <v>50.115353411780156</v>
      </c>
      <c r="X121" s="233">
        <v>1</v>
      </c>
      <c r="Y121" s="93">
        <f t="shared" ref="Y121:Y126" si="88">E121*F121*W121*(S121^(7/6))*X121</f>
        <v>1.3274012255984501E-4</v>
      </c>
    </row>
    <row r="122" spans="1:25" ht="22" thickTop="1" x14ac:dyDescent="0.25">
      <c r="A122" s="237" t="s">
        <v>10</v>
      </c>
      <c r="B122" s="95">
        <v>1000</v>
      </c>
      <c r="C122" s="95">
        <v>2650</v>
      </c>
      <c r="D122" s="95">
        <v>9.81</v>
      </c>
      <c r="E122" s="95">
        <v>4.1000000000000002E-2</v>
      </c>
      <c r="F122" s="95">
        <v>0.01</v>
      </c>
      <c r="G122" s="95">
        <v>23.74</v>
      </c>
      <c r="H122" s="95">
        <f>G122 + 25.52</f>
        <v>49.26</v>
      </c>
      <c r="I122" s="95">
        <f t="shared" si="11"/>
        <v>49260</v>
      </c>
      <c r="J122" s="95">
        <f t="shared" si="12"/>
        <v>808849200</v>
      </c>
      <c r="K122" s="95">
        <v>0.5</v>
      </c>
      <c r="L122" s="95">
        <f>K122/31500000</f>
        <v>1.5873015873015872E-8</v>
      </c>
      <c r="M122" s="96" t="s">
        <v>26</v>
      </c>
      <c r="N122" s="95">
        <v>64</v>
      </c>
      <c r="O122" s="95">
        <f>N122/1000</f>
        <v>6.4000000000000001E-2</v>
      </c>
      <c r="P122" s="95">
        <v>9.1999999999999993</v>
      </c>
      <c r="Q122" s="95">
        <v>88</v>
      </c>
      <c r="R122" s="95">
        <f>Q122/100</f>
        <v>0.88</v>
      </c>
      <c r="S122" s="95">
        <v>1.0796219999999999E-3</v>
      </c>
      <c r="T122" s="95">
        <f>B122*D122*R122*S122</f>
        <v>9.3201608015999984</v>
      </c>
      <c r="U122" s="95">
        <f t="shared" ref="U122:U126" si="89">5.9 * (SQRT(D122))*(((R122^(2/3))*(S122^(1/2)))/(O122^(1/6)))</f>
        <v>0.88161877562848934</v>
      </c>
      <c r="V122" s="95">
        <f>J122*L122</f>
        <v>12.83887619047619</v>
      </c>
      <c r="W122" s="95">
        <f>P122*R122*U122</f>
        <v>7.1375856074882496</v>
      </c>
      <c r="X122" s="95">
        <v>1</v>
      </c>
      <c r="Y122" s="238">
        <f t="shared" si="88"/>
        <v>1.0119340286814448E-6</v>
      </c>
    </row>
    <row r="123" spans="1:25" x14ac:dyDescent="0.2">
      <c r="A123" s="98"/>
      <c r="B123" s="209">
        <v>1000</v>
      </c>
      <c r="C123" s="209">
        <v>2650</v>
      </c>
      <c r="D123" s="209">
        <v>9.81</v>
      </c>
      <c r="E123" s="209">
        <v>4.1000000000000002E-2</v>
      </c>
      <c r="F123" s="209">
        <v>0.01</v>
      </c>
      <c r="G123" s="209">
        <v>23.74</v>
      </c>
      <c r="H123" s="209">
        <f t="shared" ref="H123:H126" si="90">G123 + 25.52</f>
        <v>49.26</v>
      </c>
      <c r="I123" s="209">
        <f t="shared" si="11"/>
        <v>49260</v>
      </c>
      <c r="J123" s="209">
        <f t="shared" si="12"/>
        <v>808849200</v>
      </c>
      <c r="K123" s="209">
        <v>0.5</v>
      </c>
      <c r="L123" s="209">
        <f t="shared" ref="L123:L126" si="91">K123/31500000</f>
        <v>1.5873015873015872E-8</v>
      </c>
      <c r="M123" s="210" t="s">
        <v>27</v>
      </c>
      <c r="N123" s="209">
        <v>109</v>
      </c>
      <c r="O123" s="209">
        <f t="shared" ref="O123:O126" si="92">N123/1000</f>
        <v>0.109</v>
      </c>
      <c r="P123" s="209">
        <v>9.1999999999999993</v>
      </c>
      <c r="Q123" s="209">
        <v>88</v>
      </c>
      <c r="R123" s="209">
        <f t="shared" ref="R123:R126" si="93">Q123/100</f>
        <v>0.88</v>
      </c>
      <c r="S123" s="209">
        <v>1.0796219999999999E-3</v>
      </c>
      <c r="T123" s="209">
        <f t="shared" ref="T123:T126" si="94">B123*D123*R123*S123</f>
        <v>9.3201608015999984</v>
      </c>
      <c r="U123" s="209">
        <f t="shared" si="89"/>
        <v>0.80675142900894203</v>
      </c>
      <c r="V123" s="209">
        <f t="shared" ref="V123:V126" si="95">J123*L123</f>
        <v>12.83887619047619</v>
      </c>
      <c r="W123" s="209">
        <f t="shared" ref="W123:W126" si="96">P123*R123*U123</f>
        <v>6.5314595692563948</v>
      </c>
      <c r="X123" s="209">
        <v>1</v>
      </c>
      <c r="Y123" s="239">
        <f t="shared" si="88"/>
        <v>9.2600026935627606E-7</v>
      </c>
    </row>
    <row r="124" spans="1:25" x14ac:dyDescent="0.2">
      <c r="A124" s="98"/>
      <c r="B124" s="209">
        <v>1000</v>
      </c>
      <c r="C124" s="209">
        <v>2650</v>
      </c>
      <c r="D124" s="209">
        <v>9.81</v>
      </c>
      <c r="E124" s="209">
        <v>4.1000000000000002E-2</v>
      </c>
      <c r="F124" s="209">
        <v>0.01</v>
      </c>
      <c r="G124" s="209">
        <v>23.74</v>
      </c>
      <c r="H124" s="209">
        <f t="shared" si="90"/>
        <v>49.26</v>
      </c>
      <c r="I124" s="209">
        <f t="shared" si="11"/>
        <v>49260</v>
      </c>
      <c r="J124" s="209">
        <f t="shared" si="12"/>
        <v>808849200</v>
      </c>
      <c r="K124" s="209">
        <v>0.5</v>
      </c>
      <c r="L124" s="209">
        <f t="shared" si="91"/>
        <v>1.5873015873015872E-8</v>
      </c>
      <c r="M124" s="210" t="s">
        <v>28</v>
      </c>
      <c r="N124" s="209">
        <v>90</v>
      </c>
      <c r="O124" s="209">
        <f t="shared" si="92"/>
        <v>0.09</v>
      </c>
      <c r="P124" s="209">
        <v>9.1999999999999993</v>
      </c>
      <c r="Q124" s="209">
        <v>88</v>
      </c>
      <c r="R124" s="209">
        <f t="shared" si="93"/>
        <v>0.88</v>
      </c>
      <c r="S124" s="209">
        <v>1.0796219999999999E-3</v>
      </c>
      <c r="T124" s="209">
        <f t="shared" si="94"/>
        <v>9.3201608015999984</v>
      </c>
      <c r="U124" s="209">
        <f t="shared" si="89"/>
        <v>0.83292086492389328</v>
      </c>
      <c r="V124" s="209">
        <f t="shared" si="95"/>
        <v>12.83887619047619</v>
      </c>
      <c r="W124" s="209">
        <f t="shared" si="96"/>
        <v>6.7433273224238404</v>
      </c>
      <c r="X124" s="209">
        <v>1</v>
      </c>
      <c r="Y124" s="239">
        <f t="shared" si="88"/>
        <v>9.5603790404124425E-7</v>
      </c>
    </row>
    <row r="125" spans="1:25" x14ac:dyDescent="0.2">
      <c r="A125" s="98"/>
      <c r="B125" s="209">
        <v>1000</v>
      </c>
      <c r="C125" s="209">
        <v>2650</v>
      </c>
      <c r="D125" s="209">
        <v>9.81</v>
      </c>
      <c r="E125" s="209">
        <v>4.1000000000000002E-2</v>
      </c>
      <c r="F125" s="209">
        <v>0.01</v>
      </c>
      <c r="G125" s="209">
        <v>23.74</v>
      </c>
      <c r="H125" s="209">
        <f t="shared" si="90"/>
        <v>49.26</v>
      </c>
      <c r="I125" s="209">
        <f t="shared" si="11"/>
        <v>49260</v>
      </c>
      <c r="J125" s="209">
        <f t="shared" si="12"/>
        <v>808849200</v>
      </c>
      <c r="K125" s="220">
        <v>0.5</v>
      </c>
      <c r="L125" s="209">
        <f t="shared" si="91"/>
        <v>1.5873015873015872E-8</v>
      </c>
      <c r="M125" s="210" t="s">
        <v>29</v>
      </c>
      <c r="N125" s="220">
        <v>32</v>
      </c>
      <c r="O125" s="209">
        <f t="shared" si="92"/>
        <v>3.2000000000000001E-2</v>
      </c>
      <c r="P125" s="209">
        <v>9.1999999999999993</v>
      </c>
      <c r="Q125" s="209">
        <v>88</v>
      </c>
      <c r="R125" s="209">
        <f t="shared" si="93"/>
        <v>0.88</v>
      </c>
      <c r="S125" s="209">
        <v>1.0796219999999999E-3</v>
      </c>
      <c r="T125" s="209">
        <f t="shared" si="94"/>
        <v>9.3201608015999984</v>
      </c>
      <c r="U125" s="209">
        <f t="shared" si="89"/>
        <v>0.98958361671995554</v>
      </c>
      <c r="V125" s="209">
        <f t="shared" si="95"/>
        <v>12.83887619047619</v>
      </c>
      <c r="W125" s="209">
        <f t="shared" si="96"/>
        <v>8.0116689609647604</v>
      </c>
      <c r="X125" s="220">
        <v>1</v>
      </c>
      <c r="Y125" s="239">
        <f t="shared" si="88"/>
        <v>1.1358575425877305E-6</v>
      </c>
    </row>
    <row r="126" spans="1:25" x14ac:dyDescent="0.2">
      <c r="A126" s="98"/>
      <c r="B126" s="209">
        <v>1000</v>
      </c>
      <c r="C126" s="209">
        <v>2650</v>
      </c>
      <c r="D126" s="209">
        <v>9.81</v>
      </c>
      <c r="E126" s="209">
        <v>4.1000000000000002E-2</v>
      </c>
      <c r="F126" s="209">
        <v>0.01</v>
      </c>
      <c r="G126" s="209">
        <v>23.74</v>
      </c>
      <c r="H126" s="209">
        <f t="shared" si="90"/>
        <v>49.26</v>
      </c>
      <c r="I126" s="209">
        <f t="shared" si="11"/>
        <v>49260</v>
      </c>
      <c r="J126" s="209">
        <f t="shared" si="12"/>
        <v>808849200</v>
      </c>
      <c r="K126" s="220">
        <v>0.5</v>
      </c>
      <c r="L126" s="209">
        <f t="shared" si="91"/>
        <v>1.5873015873015872E-8</v>
      </c>
      <c r="M126" s="210" t="s">
        <v>30</v>
      </c>
      <c r="N126" s="220">
        <v>180</v>
      </c>
      <c r="O126" s="209">
        <f t="shared" si="92"/>
        <v>0.18</v>
      </c>
      <c r="P126" s="209">
        <v>9.1999999999999993</v>
      </c>
      <c r="Q126" s="209">
        <v>88</v>
      </c>
      <c r="R126" s="209">
        <f t="shared" si="93"/>
        <v>0.88</v>
      </c>
      <c r="S126" s="209">
        <v>1.0796219999999999E-3</v>
      </c>
      <c r="T126" s="209">
        <f t="shared" si="94"/>
        <v>9.3201608015999984</v>
      </c>
      <c r="U126" s="209">
        <f t="shared" si="89"/>
        <v>0.74204813087303922</v>
      </c>
      <c r="V126" s="209">
        <f t="shared" si="95"/>
        <v>12.83887619047619</v>
      </c>
      <c r="W126" s="209">
        <f t="shared" si="96"/>
        <v>6.0076216675481255</v>
      </c>
      <c r="X126" s="220">
        <v>1</v>
      </c>
      <c r="Y126" s="239">
        <f t="shared" si="88"/>
        <v>8.5173294320392117E-7</v>
      </c>
    </row>
    <row r="127" spans="1:25" x14ac:dyDescent="0.2">
      <c r="A127" s="241"/>
      <c r="B127" s="217"/>
      <c r="C127" s="217"/>
      <c r="D127" s="217"/>
      <c r="E127" s="217"/>
      <c r="F127" s="217"/>
      <c r="G127" s="217"/>
      <c r="H127" s="217"/>
      <c r="I127" s="217"/>
      <c r="J127" s="217"/>
      <c r="K127" s="217"/>
      <c r="L127" s="217"/>
      <c r="M127" s="218" t="s">
        <v>31</v>
      </c>
      <c r="N127" s="217"/>
      <c r="O127" s="217"/>
      <c r="P127" s="217"/>
      <c r="Q127" s="217"/>
      <c r="R127" s="217"/>
      <c r="S127" s="217"/>
      <c r="T127" s="217"/>
      <c r="U127" s="217"/>
      <c r="V127" s="217"/>
      <c r="W127" s="217"/>
      <c r="X127" s="217"/>
      <c r="Y127" s="242"/>
    </row>
    <row r="128" spans="1:25" x14ac:dyDescent="0.2">
      <c r="A128" s="241"/>
      <c r="B128" s="217"/>
      <c r="C128" s="217"/>
      <c r="D128" s="217"/>
      <c r="E128" s="217"/>
      <c r="F128" s="217"/>
      <c r="G128" s="217"/>
      <c r="H128" s="217"/>
      <c r="I128" s="217"/>
      <c r="J128" s="217"/>
      <c r="K128" s="217"/>
      <c r="L128" s="217"/>
      <c r="M128" s="218" t="s">
        <v>32</v>
      </c>
      <c r="N128" s="217"/>
      <c r="O128" s="217"/>
      <c r="P128" s="217"/>
      <c r="Q128" s="217"/>
      <c r="R128" s="217"/>
      <c r="S128" s="217"/>
      <c r="T128" s="217"/>
      <c r="U128" s="217"/>
      <c r="V128" s="217"/>
      <c r="W128" s="217"/>
      <c r="X128" s="217"/>
      <c r="Y128" s="242"/>
    </row>
    <row r="129" spans="1:25" s="1" customFormat="1" ht="17" thickBot="1" x14ac:dyDescent="0.25">
      <c r="A129" s="253"/>
      <c r="B129" s="250">
        <v>1000</v>
      </c>
      <c r="C129" s="250">
        <v>2650</v>
      </c>
      <c r="D129" s="250">
        <v>9.81</v>
      </c>
      <c r="E129" s="250">
        <v>4.1000000000000002E-2</v>
      </c>
      <c r="F129" s="250">
        <v>0.01</v>
      </c>
      <c r="G129" s="250">
        <v>23.74</v>
      </c>
      <c r="H129" s="250">
        <v>49.26</v>
      </c>
      <c r="I129" s="250">
        <v>49260</v>
      </c>
      <c r="J129" s="250">
        <f>J122</f>
        <v>808849200</v>
      </c>
      <c r="K129" s="250">
        <v>0.5</v>
      </c>
      <c r="L129" s="250">
        <f>L122</f>
        <v>1.5873015873015872E-8</v>
      </c>
      <c r="M129" s="254" t="s">
        <v>48</v>
      </c>
      <c r="N129" s="250">
        <f>(N122*(54/85))+(N123*(20/85))+(N124*(1/85))+(N125*(7/85))+(N126*(3/85))</f>
        <v>76.352941176470608</v>
      </c>
      <c r="O129" s="250">
        <f>N129/1000</f>
        <v>7.635294117647061E-2</v>
      </c>
      <c r="P129" s="250">
        <v>9.1999999999999993</v>
      </c>
      <c r="Q129" s="250">
        <v>88</v>
      </c>
      <c r="R129" s="250">
        <v>0.88</v>
      </c>
      <c r="S129" s="250">
        <f>S122</f>
        <v>1.0796219999999999E-3</v>
      </c>
      <c r="T129" s="250">
        <f>T122</f>
        <v>9.3201608015999984</v>
      </c>
      <c r="U129" s="250">
        <f>(U122*(54/85))+(U123*(20/85))+(U124*(1/85))+(U125*(7/85))+(U126*(3/85))</f>
        <v>0.8673952122199996</v>
      </c>
      <c r="V129" s="250">
        <f>V122</f>
        <v>12.83887619047619</v>
      </c>
      <c r="W129" s="250">
        <f>P129*R129*U129</f>
        <v>7.0224316381331171</v>
      </c>
      <c r="X129" s="250">
        <v>1</v>
      </c>
      <c r="Y129" s="103">
        <f t="shared" ref="Y129:Y142" si="97">E129*F129*W129*(S129^(7/6))*X129</f>
        <v>9.9560802903165495E-7</v>
      </c>
    </row>
    <row r="130" spans="1:25" ht="22" thickTop="1" x14ac:dyDescent="0.25">
      <c r="A130" s="255" t="s">
        <v>9</v>
      </c>
      <c r="B130" s="105">
        <v>1000</v>
      </c>
      <c r="C130" s="105">
        <v>2650</v>
      </c>
      <c r="D130" s="105">
        <v>9.81</v>
      </c>
      <c r="E130" s="105">
        <v>4.1000000000000002E-2</v>
      </c>
      <c r="F130" s="105">
        <v>0.01</v>
      </c>
      <c r="G130" s="105">
        <v>23.74</v>
      </c>
      <c r="H130" s="105">
        <f>G130 + 26.02</f>
        <v>49.76</v>
      </c>
      <c r="I130" s="105">
        <f t="shared" si="11"/>
        <v>49760</v>
      </c>
      <c r="J130" s="105">
        <f t="shared" si="12"/>
        <v>825352533.33333325</v>
      </c>
      <c r="K130" s="105">
        <v>0.5</v>
      </c>
      <c r="L130" s="105">
        <f>K130/31500000</f>
        <v>1.5873015873015872E-8</v>
      </c>
      <c r="M130" s="106" t="s">
        <v>26</v>
      </c>
      <c r="N130" s="105">
        <v>45</v>
      </c>
      <c r="O130" s="105">
        <f>N130/1000</f>
        <v>4.4999999999999998E-2</v>
      </c>
      <c r="P130" s="105">
        <v>14.5</v>
      </c>
      <c r="Q130" s="105">
        <v>101</v>
      </c>
      <c r="R130" s="105">
        <f>Q130/100</f>
        <v>1.01</v>
      </c>
      <c r="S130" s="105">
        <v>1.0378510000000001E-2</v>
      </c>
      <c r="T130" s="105">
        <f>B130*D130*R130*S130</f>
        <v>102.83131493100001</v>
      </c>
      <c r="U130" s="105">
        <f t="shared" ref="U130:U135" si="98">5.9 * (SQRT(D130))*(((R130^(2/3))*(S130^(1/2)))/(O130^(1/6)))</f>
        <v>3.1776021179409537</v>
      </c>
      <c r="V130" s="105">
        <f>J130*L130</f>
        <v>13.100833862433861</v>
      </c>
      <c r="W130" s="105">
        <f>P130*R130*U130</f>
        <v>46.535983017245265</v>
      </c>
      <c r="X130" s="105">
        <v>1</v>
      </c>
      <c r="Y130" s="256">
        <f t="shared" si="97"/>
        <v>9.2483358331550469E-5</v>
      </c>
    </row>
    <row r="131" spans="1:25" x14ac:dyDescent="0.2">
      <c r="A131" s="108"/>
      <c r="B131" s="209">
        <v>1000</v>
      </c>
      <c r="C131" s="209">
        <v>2650</v>
      </c>
      <c r="D131" s="209">
        <v>9.81</v>
      </c>
      <c r="E131" s="209">
        <v>4.1000000000000002E-2</v>
      </c>
      <c r="F131" s="209">
        <v>0.01</v>
      </c>
      <c r="G131" s="209">
        <v>23.74</v>
      </c>
      <c r="H131" s="209">
        <f t="shared" ref="H131:H135" si="99">G131 + 26.02</f>
        <v>49.76</v>
      </c>
      <c r="I131" s="209">
        <f t="shared" si="11"/>
        <v>49760</v>
      </c>
      <c r="J131" s="209">
        <f t="shared" si="12"/>
        <v>825352533.33333325</v>
      </c>
      <c r="K131" s="209">
        <v>0.5</v>
      </c>
      <c r="L131" s="209">
        <f t="shared" ref="L131:L135" si="100">K131/31500000</f>
        <v>1.5873015873015872E-8</v>
      </c>
      <c r="M131" s="210" t="s">
        <v>27</v>
      </c>
      <c r="N131" s="209">
        <v>128</v>
      </c>
      <c r="O131" s="209">
        <f t="shared" ref="O131:O135" si="101">N131/1000</f>
        <v>0.128</v>
      </c>
      <c r="P131" s="209">
        <v>14.5</v>
      </c>
      <c r="Q131" s="209">
        <v>101</v>
      </c>
      <c r="R131" s="209">
        <f t="shared" ref="R131:R135" si="102">Q131/100</f>
        <v>1.01</v>
      </c>
      <c r="S131" s="209">
        <v>1.0378510000000001E-2</v>
      </c>
      <c r="T131" s="209">
        <f t="shared" ref="T131:T135" si="103">B131*D131*R131*S131</f>
        <v>102.83131493100001</v>
      </c>
      <c r="U131" s="209">
        <f t="shared" si="98"/>
        <v>2.6695205821228956</v>
      </c>
      <c r="V131" s="209">
        <f t="shared" ref="V131:V135" si="104">J131*L131</f>
        <v>13.100833862433861</v>
      </c>
      <c r="W131" s="209">
        <f t="shared" ref="W131:W135" si="105">P131*R131*U131</f>
        <v>39.095128925189805</v>
      </c>
      <c r="X131" s="209">
        <v>1</v>
      </c>
      <c r="Y131" s="257">
        <f t="shared" si="97"/>
        <v>7.7695765362184526E-5</v>
      </c>
    </row>
    <row r="132" spans="1:25" x14ac:dyDescent="0.2">
      <c r="A132" s="108"/>
      <c r="B132" s="209">
        <v>1000</v>
      </c>
      <c r="C132" s="209">
        <v>2650</v>
      </c>
      <c r="D132" s="209">
        <v>9.81</v>
      </c>
      <c r="E132" s="209">
        <v>4.1000000000000002E-2</v>
      </c>
      <c r="F132" s="209">
        <v>0.01</v>
      </c>
      <c r="G132" s="209">
        <v>23.74</v>
      </c>
      <c r="H132" s="209">
        <f t="shared" si="99"/>
        <v>49.76</v>
      </c>
      <c r="I132" s="209">
        <f t="shared" si="11"/>
        <v>49760</v>
      </c>
      <c r="J132" s="209">
        <f t="shared" si="12"/>
        <v>825352533.33333325</v>
      </c>
      <c r="K132" s="209">
        <v>0.5</v>
      </c>
      <c r="L132" s="209">
        <f t="shared" si="100"/>
        <v>1.5873015873015872E-8</v>
      </c>
      <c r="M132" s="210" t="s">
        <v>28</v>
      </c>
      <c r="N132" s="209">
        <v>64</v>
      </c>
      <c r="O132" s="209">
        <f t="shared" si="101"/>
        <v>6.4000000000000001E-2</v>
      </c>
      <c r="P132" s="209">
        <v>14.5</v>
      </c>
      <c r="Q132" s="209">
        <v>101</v>
      </c>
      <c r="R132" s="209">
        <f t="shared" si="102"/>
        <v>1.01</v>
      </c>
      <c r="S132" s="209">
        <v>1.0378510000000001E-2</v>
      </c>
      <c r="T132" s="209">
        <f t="shared" si="103"/>
        <v>102.83131493100001</v>
      </c>
      <c r="U132" s="209">
        <f t="shared" si="98"/>
        <v>2.9964355406136951</v>
      </c>
      <c r="V132" s="209">
        <f t="shared" si="104"/>
        <v>13.100833862433861</v>
      </c>
      <c r="W132" s="209">
        <f t="shared" si="105"/>
        <v>43.882798492287563</v>
      </c>
      <c r="X132" s="209">
        <v>1</v>
      </c>
      <c r="Y132" s="257">
        <f t="shared" si="97"/>
        <v>8.7210547933402088E-5</v>
      </c>
    </row>
    <row r="133" spans="1:25" x14ac:dyDescent="0.2">
      <c r="A133" s="108"/>
      <c r="B133" s="209">
        <v>1000</v>
      </c>
      <c r="C133" s="209">
        <v>2650</v>
      </c>
      <c r="D133" s="209">
        <v>9.81</v>
      </c>
      <c r="E133" s="209">
        <v>4.1000000000000002E-2</v>
      </c>
      <c r="F133" s="209">
        <v>0.01</v>
      </c>
      <c r="G133" s="209">
        <v>23.74</v>
      </c>
      <c r="H133" s="209">
        <f t="shared" si="99"/>
        <v>49.76</v>
      </c>
      <c r="I133" s="209">
        <f t="shared" si="11"/>
        <v>49760</v>
      </c>
      <c r="J133" s="209">
        <f t="shared" si="12"/>
        <v>825352533.33333325</v>
      </c>
      <c r="K133" s="209">
        <v>0.5</v>
      </c>
      <c r="L133" s="209">
        <f t="shared" si="100"/>
        <v>1.5873015873015872E-8</v>
      </c>
      <c r="M133" s="210" t="s">
        <v>29</v>
      </c>
      <c r="N133" s="220">
        <v>64</v>
      </c>
      <c r="O133" s="209">
        <f t="shared" si="101"/>
        <v>6.4000000000000001E-2</v>
      </c>
      <c r="P133" s="209">
        <v>14.5</v>
      </c>
      <c r="Q133" s="209">
        <v>101</v>
      </c>
      <c r="R133" s="209">
        <f t="shared" si="102"/>
        <v>1.01</v>
      </c>
      <c r="S133" s="209">
        <v>1.0378510000000001E-2</v>
      </c>
      <c r="T133" s="209">
        <f t="shared" si="103"/>
        <v>102.83131493100001</v>
      </c>
      <c r="U133" s="209">
        <f t="shared" si="98"/>
        <v>2.9964355406136951</v>
      </c>
      <c r="V133" s="209">
        <f t="shared" si="104"/>
        <v>13.100833862433861</v>
      </c>
      <c r="W133" s="209">
        <f t="shared" si="105"/>
        <v>43.882798492287563</v>
      </c>
      <c r="X133" s="220">
        <v>1</v>
      </c>
      <c r="Y133" s="257">
        <f t="shared" si="97"/>
        <v>8.7210547933402088E-5</v>
      </c>
    </row>
    <row r="134" spans="1:25" x14ac:dyDescent="0.2">
      <c r="A134" s="108"/>
      <c r="B134" s="209">
        <v>1000</v>
      </c>
      <c r="C134" s="209">
        <v>2650</v>
      </c>
      <c r="D134" s="209">
        <v>9.81</v>
      </c>
      <c r="E134" s="209">
        <v>4.1000000000000002E-2</v>
      </c>
      <c r="F134" s="209">
        <v>0.01</v>
      </c>
      <c r="G134" s="209">
        <v>23.74</v>
      </c>
      <c r="H134" s="209">
        <f t="shared" si="99"/>
        <v>49.76</v>
      </c>
      <c r="I134" s="209">
        <f t="shared" si="11"/>
        <v>49760</v>
      </c>
      <c r="J134" s="209">
        <f t="shared" si="12"/>
        <v>825352533.33333325</v>
      </c>
      <c r="K134" s="209">
        <v>0.5</v>
      </c>
      <c r="L134" s="209">
        <f t="shared" si="100"/>
        <v>1.5873015873015872E-8</v>
      </c>
      <c r="M134" s="210" t="s">
        <v>30</v>
      </c>
      <c r="N134" s="220">
        <v>195.5</v>
      </c>
      <c r="O134" s="209">
        <f t="shared" si="101"/>
        <v>0.19550000000000001</v>
      </c>
      <c r="P134" s="209">
        <v>14.5</v>
      </c>
      <c r="Q134" s="209">
        <v>101</v>
      </c>
      <c r="R134" s="209">
        <f t="shared" si="102"/>
        <v>1.01</v>
      </c>
      <c r="S134" s="209">
        <v>1.0378510000000001E-2</v>
      </c>
      <c r="T134" s="209">
        <f t="shared" si="103"/>
        <v>102.83131493100001</v>
      </c>
      <c r="U134" s="209">
        <f t="shared" si="98"/>
        <v>2.4875804878410968</v>
      </c>
      <c r="V134" s="209">
        <f t="shared" si="104"/>
        <v>13.100833862433861</v>
      </c>
      <c r="W134" s="209">
        <f t="shared" si="105"/>
        <v>36.430616244432862</v>
      </c>
      <c r="X134" s="220">
        <v>1</v>
      </c>
      <c r="Y134" s="257">
        <f t="shared" si="97"/>
        <v>7.240044193596433E-5</v>
      </c>
    </row>
    <row r="135" spans="1:25" x14ac:dyDescent="0.2">
      <c r="A135" s="108"/>
      <c r="B135" s="209">
        <v>1000</v>
      </c>
      <c r="C135" s="209">
        <v>2650</v>
      </c>
      <c r="D135" s="209">
        <v>9.81</v>
      </c>
      <c r="E135" s="209">
        <v>4.1000000000000002E-2</v>
      </c>
      <c r="F135" s="209">
        <v>0.01</v>
      </c>
      <c r="G135" s="209">
        <v>23.74</v>
      </c>
      <c r="H135" s="209">
        <f t="shared" si="99"/>
        <v>49.76</v>
      </c>
      <c r="I135" s="209">
        <f t="shared" si="11"/>
        <v>49760</v>
      </c>
      <c r="J135" s="209">
        <f t="shared" si="12"/>
        <v>825352533.33333325</v>
      </c>
      <c r="K135" s="209">
        <v>0.5</v>
      </c>
      <c r="L135" s="209">
        <f t="shared" si="100"/>
        <v>1.5873015873015872E-8</v>
      </c>
      <c r="M135" s="210" t="s">
        <v>31</v>
      </c>
      <c r="N135" s="220">
        <v>45</v>
      </c>
      <c r="O135" s="209">
        <f t="shared" si="101"/>
        <v>4.4999999999999998E-2</v>
      </c>
      <c r="P135" s="209">
        <v>14.5</v>
      </c>
      <c r="Q135" s="209">
        <v>101</v>
      </c>
      <c r="R135" s="209">
        <f t="shared" si="102"/>
        <v>1.01</v>
      </c>
      <c r="S135" s="209">
        <v>1.0378510000000001E-2</v>
      </c>
      <c r="T135" s="209">
        <f t="shared" si="103"/>
        <v>102.83131493100001</v>
      </c>
      <c r="U135" s="209">
        <f t="shared" si="98"/>
        <v>3.1776021179409537</v>
      </c>
      <c r="V135" s="209">
        <f t="shared" si="104"/>
        <v>13.100833862433861</v>
      </c>
      <c r="W135" s="209">
        <f t="shared" si="105"/>
        <v>46.535983017245265</v>
      </c>
      <c r="X135" s="220">
        <v>1</v>
      </c>
      <c r="Y135" s="257">
        <f t="shared" si="97"/>
        <v>9.2483358331550469E-5</v>
      </c>
    </row>
    <row r="136" spans="1:25" x14ac:dyDescent="0.2">
      <c r="A136" s="259"/>
      <c r="B136" s="217"/>
      <c r="C136" s="217"/>
      <c r="D136" s="217"/>
      <c r="E136" s="217"/>
      <c r="F136" s="217"/>
      <c r="G136" s="217"/>
      <c r="H136" s="217"/>
      <c r="I136" s="217"/>
      <c r="J136" s="217"/>
      <c r="K136" s="217"/>
      <c r="L136" s="217"/>
      <c r="M136" s="218" t="s">
        <v>32</v>
      </c>
      <c r="N136" s="217"/>
      <c r="O136" s="217"/>
      <c r="P136" s="217"/>
      <c r="Q136" s="217"/>
      <c r="R136" s="217"/>
      <c r="S136" s="217"/>
      <c r="T136" s="217"/>
      <c r="U136" s="217"/>
      <c r="V136" s="217"/>
      <c r="W136" s="217"/>
      <c r="X136" s="217"/>
      <c r="Y136" s="260"/>
    </row>
    <row r="137" spans="1:25" s="1" customFormat="1" ht="17" thickBot="1" x14ac:dyDescent="0.25">
      <c r="A137" s="272"/>
      <c r="B137" s="269">
        <v>1000</v>
      </c>
      <c r="C137" s="269">
        <v>2650</v>
      </c>
      <c r="D137" s="269">
        <v>9.81</v>
      </c>
      <c r="E137" s="269">
        <v>4.1000000000000002E-2</v>
      </c>
      <c r="F137" s="269">
        <v>0.01</v>
      </c>
      <c r="G137" s="269">
        <v>23.74</v>
      </c>
      <c r="H137" s="269">
        <v>49.76</v>
      </c>
      <c r="I137" s="269">
        <v>49760</v>
      </c>
      <c r="J137" s="269">
        <f>J130</f>
        <v>825352533.33333325</v>
      </c>
      <c r="K137" s="269">
        <v>0.5</v>
      </c>
      <c r="L137" s="269">
        <f>L130</f>
        <v>1.5873015873015872E-8</v>
      </c>
      <c r="M137" s="273" t="s">
        <v>48</v>
      </c>
      <c r="N137" s="269">
        <f>(N130*(50/83))+(N131*(14/83))+(N132*(7/83))+(N133*(7/83))+(N134*(4/83))+(N135*(1/83))</f>
        <v>69.4578313253012</v>
      </c>
      <c r="O137" s="269">
        <f>N137/1000</f>
        <v>6.94578313253012E-2</v>
      </c>
      <c r="P137" s="269">
        <v>14.5</v>
      </c>
      <c r="Q137" s="269">
        <v>101</v>
      </c>
      <c r="R137" s="269">
        <v>1.01</v>
      </c>
      <c r="S137" s="269">
        <f>S130</f>
        <v>1.0378510000000001E-2</v>
      </c>
      <c r="T137" s="269">
        <f>T130</f>
        <v>102.83131493100001</v>
      </c>
      <c r="U137" s="269">
        <f>(U130*(50/83))+(U131*(14/83))+(U132*(7/83))+(U133*(7/83))+(U134*(4/83))+(U135*(1/83))</f>
        <v>3.0280893455983766</v>
      </c>
      <c r="V137" s="269">
        <f>V130</f>
        <v>13.100833862433861</v>
      </c>
      <c r="W137" s="269">
        <f>P137*R137*U137</f>
        <v>44.346368466288226</v>
      </c>
      <c r="X137" s="269">
        <v>1</v>
      </c>
      <c r="Y137" s="116">
        <f t="shared" si="97"/>
        <v>8.8131824443266789E-5</v>
      </c>
    </row>
    <row r="138" spans="1:25" ht="22" thickTop="1" x14ac:dyDescent="0.25">
      <c r="A138" s="121" t="s">
        <v>8</v>
      </c>
      <c r="B138" s="117">
        <v>1000</v>
      </c>
      <c r="C138" s="117">
        <v>2650</v>
      </c>
      <c r="D138" s="117">
        <v>9.81</v>
      </c>
      <c r="E138" s="117">
        <v>4.1000000000000002E-2</v>
      </c>
      <c r="F138" s="117">
        <v>0.01</v>
      </c>
      <c r="G138" s="117">
        <v>23.74</v>
      </c>
      <c r="H138" s="117">
        <f>G138 + 26.58</f>
        <v>50.319999999999993</v>
      </c>
      <c r="I138" s="117">
        <f t="shared" si="11"/>
        <v>50319.999999999993</v>
      </c>
      <c r="J138" s="117">
        <f t="shared" si="12"/>
        <v>844034133.33333302</v>
      </c>
      <c r="K138" s="117">
        <v>0.5</v>
      </c>
      <c r="L138" s="117">
        <f>K138/31500000</f>
        <v>1.5873015873015872E-8</v>
      </c>
      <c r="M138" s="118" t="s">
        <v>26</v>
      </c>
      <c r="N138" s="117">
        <v>64</v>
      </c>
      <c r="O138" s="117">
        <f>N138/1000</f>
        <v>6.4000000000000001E-2</v>
      </c>
      <c r="P138" s="117">
        <v>14.5</v>
      </c>
      <c r="Q138" s="117">
        <v>87</v>
      </c>
      <c r="R138" s="117">
        <f>Q138/100</f>
        <v>0.87</v>
      </c>
      <c r="S138" s="117">
        <v>1.308074E-2</v>
      </c>
      <c r="T138" s="117">
        <f>B138*D138*R138*S138</f>
        <v>111.64019167800001</v>
      </c>
      <c r="U138" s="117">
        <f t="shared" ref="U138:U142" si="106">5.9 * (SQRT(D138))*(((R138^(2/3))*(S138^(1/2)))/(O138^(1/6)))</f>
        <v>3.0454549400464419</v>
      </c>
      <c r="V138" s="117">
        <f>J138*L138</f>
        <v>13.39736719576719</v>
      </c>
      <c r="W138" s="117">
        <f>P138*R138*U138</f>
        <v>38.418414068685863</v>
      </c>
      <c r="X138" s="117">
        <v>1</v>
      </c>
      <c r="Y138" s="132">
        <f t="shared" si="97"/>
        <v>1.000140441696281E-4</v>
      </c>
    </row>
    <row r="139" spans="1:25" x14ac:dyDescent="0.2">
      <c r="A139" s="119"/>
      <c r="B139" s="209">
        <v>1000</v>
      </c>
      <c r="C139" s="209">
        <v>2650</v>
      </c>
      <c r="D139" s="209">
        <v>9.81</v>
      </c>
      <c r="E139" s="209">
        <v>4.1000000000000002E-2</v>
      </c>
      <c r="F139" s="209">
        <v>0.01</v>
      </c>
      <c r="G139" s="209">
        <v>23.74</v>
      </c>
      <c r="H139" s="209">
        <f t="shared" ref="H139:H142" si="107">G139 + 26.58</f>
        <v>50.319999999999993</v>
      </c>
      <c r="I139" s="209">
        <f t="shared" si="11"/>
        <v>50319.999999999993</v>
      </c>
      <c r="J139" s="209">
        <f t="shared" si="12"/>
        <v>844034133.33333302</v>
      </c>
      <c r="K139" s="209">
        <v>0.5</v>
      </c>
      <c r="L139" s="209">
        <f t="shared" ref="L139:L142" si="108">K139/31500000</f>
        <v>1.5873015873015872E-8</v>
      </c>
      <c r="M139" s="210" t="s">
        <v>27</v>
      </c>
      <c r="N139" s="220">
        <v>54.5</v>
      </c>
      <c r="O139" s="209">
        <f t="shared" ref="O139:O142" si="109">N139/1000</f>
        <v>5.45E-2</v>
      </c>
      <c r="P139" s="209">
        <v>14.5</v>
      </c>
      <c r="Q139" s="209">
        <v>87</v>
      </c>
      <c r="R139" s="209">
        <f t="shared" ref="R139:R142" si="110">Q139/100</f>
        <v>0.87</v>
      </c>
      <c r="S139" s="209">
        <v>1.308074E-2</v>
      </c>
      <c r="T139" s="209">
        <f t="shared" ref="T139:T142" si="111">B139*D139*R139*S139</f>
        <v>111.64019167800001</v>
      </c>
      <c r="U139" s="209">
        <f t="shared" si="106"/>
        <v>3.128115331065322</v>
      </c>
      <c r="V139" s="209">
        <f t="shared" ref="V139:V142" si="112">J139*L139</f>
        <v>13.39736719576719</v>
      </c>
      <c r="W139" s="209">
        <f>P139*R139*U139</f>
        <v>39.461174901389036</v>
      </c>
      <c r="X139" s="220">
        <v>1</v>
      </c>
      <c r="Y139" s="134">
        <f t="shared" si="97"/>
        <v>1.0272864680246656E-4</v>
      </c>
    </row>
    <row r="140" spans="1:25" x14ac:dyDescent="0.2">
      <c r="A140" s="119"/>
      <c r="B140" s="209">
        <v>1000</v>
      </c>
      <c r="C140" s="209">
        <v>2650</v>
      </c>
      <c r="D140" s="209">
        <v>9.81</v>
      </c>
      <c r="E140" s="209">
        <v>4.1000000000000002E-2</v>
      </c>
      <c r="F140" s="209">
        <v>0.01</v>
      </c>
      <c r="G140" s="209">
        <v>23.74</v>
      </c>
      <c r="H140" s="209">
        <f t="shared" si="107"/>
        <v>50.319999999999993</v>
      </c>
      <c r="I140" s="209">
        <f t="shared" si="11"/>
        <v>50319.999999999993</v>
      </c>
      <c r="J140" s="209">
        <f t="shared" si="12"/>
        <v>844034133.33333302</v>
      </c>
      <c r="K140" s="209">
        <v>0.5</v>
      </c>
      <c r="L140" s="209">
        <f t="shared" si="108"/>
        <v>1.5873015873015872E-8</v>
      </c>
      <c r="M140" s="210" t="s">
        <v>28</v>
      </c>
      <c r="N140" s="209">
        <v>64</v>
      </c>
      <c r="O140" s="209">
        <f t="shared" si="109"/>
        <v>6.4000000000000001E-2</v>
      </c>
      <c r="P140" s="209">
        <v>14.5</v>
      </c>
      <c r="Q140" s="209">
        <v>87</v>
      </c>
      <c r="R140" s="209">
        <f t="shared" si="110"/>
        <v>0.87</v>
      </c>
      <c r="S140" s="209">
        <v>1.308074E-2</v>
      </c>
      <c r="T140" s="209">
        <f t="shared" si="111"/>
        <v>111.64019167800001</v>
      </c>
      <c r="U140" s="209">
        <f t="shared" si="106"/>
        <v>3.0454549400464419</v>
      </c>
      <c r="V140" s="209">
        <f t="shared" si="112"/>
        <v>13.39736719576719</v>
      </c>
      <c r="W140" s="209">
        <f>P140*R140*U140</f>
        <v>38.418414068685863</v>
      </c>
      <c r="X140" s="220">
        <v>1</v>
      </c>
      <c r="Y140" s="134">
        <f t="shared" si="97"/>
        <v>1.000140441696281E-4</v>
      </c>
    </row>
    <row r="141" spans="1:25" x14ac:dyDescent="0.2">
      <c r="A141" s="119"/>
      <c r="B141" s="209">
        <v>1000</v>
      </c>
      <c r="C141" s="209">
        <v>2650</v>
      </c>
      <c r="D141" s="209">
        <v>9.81</v>
      </c>
      <c r="E141" s="209">
        <v>4.1000000000000002E-2</v>
      </c>
      <c r="F141" s="209">
        <v>0.01</v>
      </c>
      <c r="G141" s="209">
        <v>23.74</v>
      </c>
      <c r="H141" s="209">
        <f t="shared" si="107"/>
        <v>50.319999999999993</v>
      </c>
      <c r="I141" s="209">
        <f t="shared" si="11"/>
        <v>50319.999999999993</v>
      </c>
      <c r="J141" s="209">
        <f t="shared" si="12"/>
        <v>844034133.33333302</v>
      </c>
      <c r="K141" s="209">
        <v>0.5</v>
      </c>
      <c r="L141" s="209">
        <f t="shared" si="108"/>
        <v>1.5873015873015872E-8</v>
      </c>
      <c r="M141" s="210" t="s">
        <v>29</v>
      </c>
      <c r="N141" s="209">
        <v>64</v>
      </c>
      <c r="O141" s="209">
        <f t="shared" si="109"/>
        <v>6.4000000000000001E-2</v>
      </c>
      <c r="P141" s="209">
        <v>14.5</v>
      </c>
      <c r="Q141" s="209">
        <v>87</v>
      </c>
      <c r="R141" s="209">
        <f t="shared" si="110"/>
        <v>0.87</v>
      </c>
      <c r="S141" s="209">
        <v>1.308074E-2</v>
      </c>
      <c r="T141" s="209">
        <f t="shared" si="111"/>
        <v>111.64019167800001</v>
      </c>
      <c r="U141" s="209">
        <f t="shared" si="106"/>
        <v>3.0454549400464419</v>
      </c>
      <c r="V141" s="209">
        <f t="shared" si="112"/>
        <v>13.39736719576719</v>
      </c>
      <c r="W141" s="209">
        <f>P141*R141*U141</f>
        <v>38.418414068685863</v>
      </c>
      <c r="X141" s="220">
        <v>1</v>
      </c>
      <c r="Y141" s="134">
        <f t="shared" si="97"/>
        <v>1.000140441696281E-4</v>
      </c>
    </row>
    <row r="142" spans="1:25" x14ac:dyDescent="0.2">
      <c r="A142" s="119"/>
      <c r="B142" s="209">
        <v>1000</v>
      </c>
      <c r="C142" s="209">
        <v>2650</v>
      </c>
      <c r="D142" s="209">
        <v>9.81</v>
      </c>
      <c r="E142" s="209">
        <v>4.1000000000000002E-2</v>
      </c>
      <c r="F142" s="209">
        <v>0.01</v>
      </c>
      <c r="G142" s="209">
        <v>23.74</v>
      </c>
      <c r="H142" s="209">
        <f t="shared" si="107"/>
        <v>50.319999999999993</v>
      </c>
      <c r="I142" s="209">
        <f t="shared" si="11"/>
        <v>50319.999999999993</v>
      </c>
      <c r="J142" s="209">
        <f t="shared" si="12"/>
        <v>844034133.33333302</v>
      </c>
      <c r="K142" s="209">
        <v>0.5</v>
      </c>
      <c r="L142" s="209">
        <f t="shared" si="108"/>
        <v>1.5873015873015872E-8</v>
      </c>
      <c r="M142" s="210" t="s">
        <v>30</v>
      </c>
      <c r="N142" s="220">
        <v>128</v>
      </c>
      <c r="O142" s="209">
        <f t="shared" si="109"/>
        <v>0.128</v>
      </c>
      <c r="P142" s="209">
        <v>14.5</v>
      </c>
      <c r="Q142" s="209">
        <v>87</v>
      </c>
      <c r="R142" s="209">
        <f t="shared" si="110"/>
        <v>0.87</v>
      </c>
      <c r="S142" s="209">
        <v>1.308074E-2</v>
      </c>
      <c r="T142" s="209">
        <f t="shared" si="111"/>
        <v>111.64019167800001</v>
      </c>
      <c r="U142" s="209">
        <f t="shared" si="106"/>
        <v>2.7131919022415385</v>
      </c>
      <c r="V142" s="209">
        <f t="shared" si="112"/>
        <v>13.39736719576719</v>
      </c>
      <c r="W142" s="209">
        <f>P142*R142*U142</f>
        <v>34.226915846777011</v>
      </c>
      <c r="X142" s="220">
        <v>1</v>
      </c>
      <c r="Y142" s="134">
        <f t="shared" si="97"/>
        <v>8.9102383746752936E-5</v>
      </c>
    </row>
    <row r="143" spans="1:25" x14ac:dyDescent="0.2">
      <c r="A143" s="129"/>
      <c r="B143" s="217"/>
      <c r="C143" s="217"/>
      <c r="D143" s="217"/>
      <c r="E143" s="217"/>
      <c r="F143" s="217"/>
      <c r="G143" s="217"/>
      <c r="H143" s="217"/>
      <c r="I143" s="217"/>
      <c r="J143" s="217"/>
      <c r="K143" s="217"/>
      <c r="L143" s="217"/>
      <c r="M143" s="218" t="s">
        <v>31</v>
      </c>
      <c r="N143" s="217"/>
      <c r="O143" s="217"/>
      <c r="P143" s="217"/>
      <c r="Q143" s="217"/>
      <c r="R143" s="217"/>
      <c r="S143" s="217"/>
      <c r="T143" s="217"/>
      <c r="U143" s="217"/>
      <c r="V143" s="217"/>
      <c r="W143" s="217"/>
      <c r="X143" s="217"/>
      <c r="Y143" s="133"/>
    </row>
    <row r="144" spans="1:25" x14ac:dyDescent="0.2">
      <c r="A144" s="129"/>
      <c r="B144" s="217"/>
      <c r="C144" s="217"/>
      <c r="D144" s="217"/>
      <c r="E144" s="217"/>
      <c r="F144" s="217"/>
      <c r="G144" s="217"/>
      <c r="H144" s="217"/>
      <c r="I144" s="217"/>
      <c r="J144" s="217"/>
      <c r="K144" s="217"/>
      <c r="L144" s="217"/>
      <c r="M144" s="218" t="s">
        <v>32</v>
      </c>
      <c r="N144" s="217"/>
      <c r="O144" s="217"/>
      <c r="P144" s="217"/>
      <c r="Q144" s="217"/>
      <c r="R144" s="217"/>
      <c r="S144" s="217"/>
      <c r="T144" s="217"/>
      <c r="U144" s="217"/>
      <c r="V144" s="217"/>
      <c r="W144" s="217"/>
      <c r="X144" s="217"/>
      <c r="Y144" s="133"/>
    </row>
    <row r="145" spans="1:25" s="274" customFormat="1" ht="17" thickBot="1" x14ac:dyDescent="0.25">
      <c r="A145" s="284"/>
      <c r="B145" s="283">
        <v>1000</v>
      </c>
      <c r="C145" s="283">
        <v>2650</v>
      </c>
      <c r="D145" s="283">
        <v>9.81</v>
      </c>
      <c r="E145" s="283">
        <v>4.1000000000000002E-2</v>
      </c>
      <c r="F145" s="283">
        <v>0.01</v>
      </c>
      <c r="G145" s="283">
        <v>23.74</v>
      </c>
      <c r="H145" s="283">
        <v>50.32</v>
      </c>
      <c r="I145" s="283">
        <v>50320</v>
      </c>
      <c r="J145" s="283">
        <f>J138</f>
        <v>844034133.33333302</v>
      </c>
      <c r="K145" s="283">
        <v>0.5</v>
      </c>
      <c r="L145" s="283">
        <f>L138</f>
        <v>1.5873015873015872E-8</v>
      </c>
      <c r="M145" s="283" t="s">
        <v>48</v>
      </c>
      <c r="N145" s="283">
        <f>(N138*(50/84))+(N139*(16/84))+(N140*(7/84))+(N141*(6/84))+(N142*(5/84))</f>
        <v>66</v>
      </c>
      <c r="O145" s="283">
        <f>N145/1000</f>
        <v>6.6000000000000003E-2</v>
      </c>
      <c r="P145" s="283">
        <v>14.5</v>
      </c>
      <c r="Q145" s="283">
        <v>87</v>
      </c>
      <c r="R145" s="283">
        <v>0.87</v>
      </c>
      <c r="S145" s="283">
        <f>S138</f>
        <v>1.308074E-2</v>
      </c>
      <c r="T145" s="283">
        <f>T138</f>
        <v>111.64019167800001</v>
      </c>
      <c r="U145" s="283">
        <f>(U138*(50/84))+(U139*(16/84))+(U140*(7/84))+(U141*(6/84))+(U142*(5/84))</f>
        <v>3.041422214656889</v>
      </c>
      <c r="V145" s="283">
        <f>V138</f>
        <v>13.39736719576719</v>
      </c>
      <c r="W145" s="283">
        <f>P145*R145*U145</f>
        <v>38.367541237896653</v>
      </c>
      <c r="X145" s="283">
        <v>1</v>
      </c>
      <c r="Y145" s="137">
        <f t="shared" ref="Y145:Y150" si="113">E145*F145*W145*(S145^(7/6))*X145</f>
        <v>9.9881607741188091E-5</v>
      </c>
    </row>
    <row r="146" spans="1:25" ht="22" thickTop="1" x14ac:dyDescent="0.25">
      <c r="A146" s="166" t="s">
        <v>7</v>
      </c>
      <c r="B146" s="138">
        <v>1000</v>
      </c>
      <c r="C146" s="138">
        <v>2650</v>
      </c>
      <c r="D146" s="138">
        <v>9.81</v>
      </c>
      <c r="E146" s="138">
        <v>4.1000000000000002E-2</v>
      </c>
      <c r="F146" s="138">
        <v>0.01</v>
      </c>
      <c r="G146" s="138">
        <v>23.74</v>
      </c>
      <c r="H146" s="138">
        <f>G146 + 27.82</f>
        <v>51.56</v>
      </c>
      <c r="I146" s="138">
        <f t="shared" si="11"/>
        <v>51560</v>
      </c>
      <c r="J146" s="138">
        <f t="shared" si="12"/>
        <v>886144533.33333325</v>
      </c>
      <c r="K146" s="138">
        <v>0.5</v>
      </c>
      <c r="L146" s="138">
        <f>K146/31500000</f>
        <v>1.5873015873015872E-8</v>
      </c>
      <c r="M146" s="139" t="s">
        <v>26</v>
      </c>
      <c r="N146" s="138">
        <v>45</v>
      </c>
      <c r="O146" s="138">
        <f>N146/1000</f>
        <v>4.4999999999999998E-2</v>
      </c>
      <c r="P146" s="138">
        <v>16.5</v>
      </c>
      <c r="Q146" s="138">
        <v>35</v>
      </c>
      <c r="R146" s="138">
        <f>Q146/100</f>
        <v>0.35</v>
      </c>
      <c r="S146" s="138">
        <v>7.3452259999999998E-3</v>
      </c>
      <c r="T146" s="138">
        <f>B146*D146*R146*S146</f>
        <v>25.219833471000001</v>
      </c>
      <c r="U146" s="138">
        <f t="shared" ref="U146:U150" si="114">5.9 * (SQRT(D146))*(((R146^(2/3))*(S146^(1/2)))/(O146^(1/6)))</f>
        <v>1.31886104478084</v>
      </c>
      <c r="V146" s="138">
        <f>J146*L146</f>
        <v>14.065786243386242</v>
      </c>
      <c r="W146" s="138">
        <f>P146*R146*U146</f>
        <v>7.6164225336093505</v>
      </c>
      <c r="X146" s="138">
        <v>1</v>
      </c>
      <c r="Y146" s="151">
        <f t="shared" si="113"/>
        <v>1.011286576522207E-5</v>
      </c>
    </row>
    <row r="147" spans="1:25" x14ac:dyDescent="0.2">
      <c r="A147" s="140"/>
      <c r="B147" s="209">
        <v>1000</v>
      </c>
      <c r="C147" s="209">
        <v>2650</v>
      </c>
      <c r="D147" s="209">
        <v>9.81</v>
      </c>
      <c r="E147" s="220">
        <v>4.1000000000000002E-2</v>
      </c>
      <c r="F147" s="220">
        <v>0.01</v>
      </c>
      <c r="G147" s="209">
        <v>23.74</v>
      </c>
      <c r="H147" s="209">
        <f t="shared" ref="H147:H150" si="115">G147 + 27.82</f>
        <v>51.56</v>
      </c>
      <c r="I147" s="209">
        <f t="shared" si="11"/>
        <v>51560</v>
      </c>
      <c r="J147" s="209">
        <f t="shared" si="12"/>
        <v>886144533.33333325</v>
      </c>
      <c r="K147" s="209">
        <v>0.5</v>
      </c>
      <c r="L147" s="209">
        <f t="shared" ref="L147:L150" si="116">K147/31500000</f>
        <v>1.5873015873015872E-8</v>
      </c>
      <c r="M147" s="210" t="s">
        <v>27</v>
      </c>
      <c r="N147" s="209">
        <v>128</v>
      </c>
      <c r="O147" s="209">
        <f t="shared" ref="O147:O150" si="117">N147/1000</f>
        <v>0.128</v>
      </c>
      <c r="P147" s="209">
        <v>16.5</v>
      </c>
      <c r="Q147" s="209">
        <v>35</v>
      </c>
      <c r="R147" s="209">
        <f t="shared" ref="R147:R150" si="118">Q147/100</f>
        <v>0.35</v>
      </c>
      <c r="S147" s="209">
        <v>7.3452259999999998E-3</v>
      </c>
      <c r="T147" s="209">
        <f t="shared" ref="T147:T150" si="119">B147*D147*R147*S147</f>
        <v>25.219833471000001</v>
      </c>
      <c r="U147" s="209">
        <f t="shared" si="114"/>
        <v>1.1079822373368586</v>
      </c>
      <c r="V147" s="209">
        <f t="shared" ref="V147:V150" si="120">J147*L147</f>
        <v>14.065786243386242</v>
      </c>
      <c r="W147" s="209">
        <f t="shared" ref="W147:W150" si="121">P147*R147*U147</f>
        <v>6.3985974206203577</v>
      </c>
      <c r="X147" s="209">
        <v>1</v>
      </c>
      <c r="Y147" s="142">
        <f t="shared" si="113"/>
        <v>8.4958727689921472E-6</v>
      </c>
    </row>
    <row r="148" spans="1:25" x14ac:dyDescent="0.2">
      <c r="A148" s="140"/>
      <c r="B148" s="209">
        <v>1000</v>
      </c>
      <c r="C148" s="209">
        <v>2650</v>
      </c>
      <c r="D148" s="209">
        <v>9.81</v>
      </c>
      <c r="E148" s="220">
        <v>4.1000000000000002E-2</v>
      </c>
      <c r="F148" s="220">
        <v>0.01</v>
      </c>
      <c r="G148" s="209">
        <v>23.74</v>
      </c>
      <c r="H148" s="209">
        <f t="shared" si="115"/>
        <v>51.56</v>
      </c>
      <c r="I148" s="209">
        <f t="shared" si="11"/>
        <v>51560</v>
      </c>
      <c r="J148" s="209">
        <f t="shared" si="12"/>
        <v>886144533.33333325</v>
      </c>
      <c r="K148" s="209">
        <v>0.5</v>
      </c>
      <c r="L148" s="209">
        <f t="shared" si="116"/>
        <v>1.5873015873015872E-8</v>
      </c>
      <c r="M148" s="210" t="s">
        <v>28</v>
      </c>
      <c r="N148" s="209">
        <v>77</v>
      </c>
      <c r="O148" s="209">
        <f t="shared" si="117"/>
        <v>7.6999999999999999E-2</v>
      </c>
      <c r="P148" s="209">
        <v>16.5</v>
      </c>
      <c r="Q148" s="209">
        <v>35</v>
      </c>
      <c r="R148" s="209">
        <f t="shared" si="118"/>
        <v>0.35</v>
      </c>
      <c r="S148" s="209">
        <v>7.3452259999999998E-3</v>
      </c>
      <c r="T148" s="209">
        <f t="shared" si="119"/>
        <v>25.219833471000001</v>
      </c>
      <c r="U148" s="209">
        <f t="shared" si="114"/>
        <v>1.2059223348363881</v>
      </c>
      <c r="V148" s="209">
        <f t="shared" si="120"/>
        <v>14.065786243386242</v>
      </c>
      <c r="W148" s="209">
        <f t="shared" si="121"/>
        <v>6.9642014836801405</v>
      </c>
      <c r="X148" s="209">
        <v>1</v>
      </c>
      <c r="Y148" s="142">
        <f t="shared" si="113"/>
        <v>9.2468655009141757E-6</v>
      </c>
    </row>
    <row r="149" spans="1:25" x14ac:dyDescent="0.2">
      <c r="A149" s="140"/>
      <c r="B149" s="209">
        <v>1000</v>
      </c>
      <c r="C149" s="209">
        <v>2650</v>
      </c>
      <c r="D149" s="209">
        <v>9.81</v>
      </c>
      <c r="E149" s="220">
        <v>4.1000000000000002E-2</v>
      </c>
      <c r="F149" s="220">
        <v>0.01</v>
      </c>
      <c r="G149" s="209">
        <v>23.74</v>
      </c>
      <c r="H149" s="209">
        <f t="shared" si="115"/>
        <v>51.56</v>
      </c>
      <c r="I149" s="209">
        <f t="shared" si="11"/>
        <v>51560</v>
      </c>
      <c r="J149" s="209">
        <f t="shared" si="12"/>
        <v>886144533.33333325</v>
      </c>
      <c r="K149" s="209">
        <v>0.5</v>
      </c>
      <c r="L149" s="209">
        <f t="shared" si="116"/>
        <v>1.5873015873015872E-8</v>
      </c>
      <c r="M149" s="210" t="s">
        <v>29</v>
      </c>
      <c r="N149" s="220">
        <v>45</v>
      </c>
      <c r="O149" s="209">
        <f t="shared" si="117"/>
        <v>4.4999999999999998E-2</v>
      </c>
      <c r="P149" s="209">
        <v>16.5</v>
      </c>
      <c r="Q149" s="209">
        <v>35</v>
      </c>
      <c r="R149" s="209">
        <f t="shared" si="118"/>
        <v>0.35</v>
      </c>
      <c r="S149" s="209">
        <v>7.3452259999999998E-3</v>
      </c>
      <c r="T149" s="209">
        <f t="shared" si="119"/>
        <v>25.219833471000001</v>
      </c>
      <c r="U149" s="209">
        <f t="shared" si="114"/>
        <v>1.31886104478084</v>
      </c>
      <c r="V149" s="209">
        <f t="shared" si="120"/>
        <v>14.065786243386242</v>
      </c>
      <c r="W149" s="209">
        <f t="shared" si="121"/>
        <v>7.6164225336093505</v>
      </c>
      <c r="X149" s="220">
        <v>1</v>
      </c>
      <c r="Y149" s="142">
        <f t="shared" si="113"/>
        <v>1.011286576522207E-5</v>
      </c>
    </row>
    <row r="150" spans="1:25" x14ac:dyDescent="0.2">
      <c r="A150" s="140"/>
      <c r="B150" s="209">
        <v>1000</v>
      </c>
      <c r="C150" s="209">
        <v>2650</v>
      </c>
      <c r="D150" s="209">
        <v>9.81</v>
      </c>
      <c r="E150" s="220">
        <v>4.1000000000000002E-2</v>
      </c>
      <c r="F150" s="220">
        <v>0.01</v>
      </c>
      <c r="G150" s="209">
        <v>23.74</v>
      </c>
      <c r="H150" s="209">
        <f t="shared" si="115"/>
        <v>51.56</v>
      </c>
      <c r="I150" s="209">
        <f t="shared" si="11"/>
        <v>51560</v>
      </c>
      <c r="J150" s="209">
        <f t="shared" si="12"/>
        <v>886144533.33333325</v>
      </c>
      <c r="K150" s="209">
        <v>0.5</v>
      </c>
      <c r="L150" s="209">
        <f t="shared" si="116"/>
        <v>1.5873015873015872E-8</v>
      </c>
      <c r="M150" s="210" t="s">
        <v>30</v>
      </c>
      <c r="N150" s="220">
        <v>45</v>
      </c>
      <c r="O150" s="209">
        <f t="shared" si="117"/>
        <v>4.4999999999999998E-2</v>
      </c>
      <c r="P150" s="209">
        <v>16.5</v>
      </c>
      <c r="Q150" s="209">
        <v>35</v>
      </c>
      <c r="R150" s="209">
        <f t="shared" si="118"/>
        <v>0.35</v>
      </c>
      <c r="S150" s="209">
        <v>7.3452259999999998E-3</v>
      </c>
      <c r="T150" s="209">
        <f t="shared" si="119"/>
        <v>25.219833471000001</v>
      </c>
      <c r="U150" s="209">
        <f t="shared" si="114"/>
        <v>1.31886104478084</v>
      </c>
      <c r="V150" s="209">
        <f t="shared" si="120"/>
        <v>14.065786243386242</v>
      </c>
      <c r="W150" s="209">
        <f t="shared" si="121"/>
        <v>7.6164225336093505</v>
      </c>
      <c r="X150" s="220">
        <v>1</v>
      </c>
      <c r="Y150" s="142">
        <f t="shared" si="113"/>
        <v>1.011286576522207E-5</v>
      </c>
    </row>
    <row r="151" spans="1:25" x14ac:dyDescent="0.2">
      <c r="A151" s="147"/>
      <c r="B151" s="217"/>
      <c r="C151" s="217"/>
      <c r="D151" s="217"/>
      <c r="E151" s="217"/>
      <c r="F151" s="217"/>
      <c r="G151" s="217"/>
      <c r="H151" s="217"/>
      <c r="I151" s="217"/>
      <c r="J151" s="217"/>
      <c r="K151" s="217"/>
      <c r="L151" s="217"/>
      <c r="M151" s="218" t="s">
        <v>31</v>
      </c>
      <c r="N151" s="217"/>
      <c r="O151" s="217"/>
      <c r="P151" s="217"/>
      <c r="Q151" s="217"/>
      <c r="R151" s="217"/>
      <c r="S151" s="217"/>
      <c r="T151" s="217"/>
      <c r="U151" s="217"/>
      <c r="V151" s="217"/>
      <c r="W151" s="217"/>
      <c r="X151" s="217"/>
      <c r="Y151" s="285"/>
    </row>
    <row r="152" spans="1:25" x14ac:dyDescent="0.2">
      <c r="A152" s="147"/>
      <c r="B152" s="217"/>
      <c r="C152" s="217"/>
      <c r="D152" s="217"/>
      <c r="E152" s="217"/>
      <c r="F152" s="217"/>
      <c r="G152" s="217"/>
      <c r="H152" s="217"/>
      <c r="I152" s="217"/>
      <c r="J152" s="217"/>
      <c r="K152" s="217"/>
      <c r="L152" s="217"/>
      <c r="M152" s="218" t="s">
        <v>32</v>
      </c>
      <c r="N152" s="217"/>
      <c r="O152" s="217"/>
      <c r="P152" s="217"/>
      <c r="Q152" s="217"/>
      <c r="R152" s="217"/>
      <c r="S152" s="217"/>
      <c r="T152" s="217"/>
      <c r="U152" s="217"/>
      <c r="V152" s="217"/>
      <c r="W152" s="217"/>
      <c r="X152" s="217"/>
      <c r="Y152" s="285"/>
    </row>
    <row r="153" spans="1:25" s="274" customFormat="1" ht="17" thickBot="1" x14ac:dyDescent="0.25">
      <c r="A153" s="291"/>
      <c r="B153" s="290">
        <v>1000</v>
      </c>
      <c r="C153" s="290">
        <v>2650</v>
      </c>
      <c r="D153" s="290">
        <v>9.81</v>
      </c>
      <c r="E153" s="290">
        <v>4.1000000000000002E-2</v>
      </c>
      <c r="F153" s="290">
        <v>0.01</v>
      </c>
      <c r="G153" s="290">
        <v>23.74</v>
      </c>
      <c r="H153" s="290">
        <v>51.56</v>
      </c>
      <c r="I153" s="290">
        <v>51560</v>
      </c>
      <c r="J153" s="290">
        <f>J146</f>
        <v>886144533.33333325</v>
      </c>
      <c r="K153" s="290">
        <v>0.5</v>
      </c>
      <c r="L153" s="290">
        <f>L146</f>
        <v>1.5873015873015872E-8</v>
      </c>
      <c r="M153" s="290" t="s">
        <v>48</v>
      </c>
      <c r="N153" s="290">
        <f>(N146*(50/78))+(N147*(12/78))+(N148*(8/78))+(N149*(3/78))+(N150*(5/78))</f>
        <v>61.051282051282065</v>
      </c>
      <c r="O153" s="290">
        <f>N153/1000</f>
        <v>6.1051282051282067E-2</v>
      </c>
      <c r="P153" s="290">
        <v>16.5</v>
      </c>
      <c r="Q153" s="290">
        <v>35</v>
      </c>
      <c r="R153" s="290">
        <v>0.35</v>
      </c>
      <c r="S153" s="290">
        <f>S146</f>
        <v>7.3452259999999998E-3</v>
      </c>
      <c r="T153" s="290">
        <f>T146</f>
        <v>25.219833471000001</v>
      </c>
      <c r="U153" s="290">
        <f>(U146*(50/78))+(U147*(12/78))+(U148*(8/78))+(U149*(3/78))+(U150*(5/78))</f>
        <v>1.2748346938977195</v>
      </c>
      <c r="V153" s="290">
        <f>V146</f>
        <v>14.065786243386242</v>
      </c>
      <c r="W153" s="290">
        <f>P153*R153*U153</f>
        <v>7.3621703572593296</v>
      </c>
      <c r="X153" s="290">
        <v>1</v>
      </c>
      <c r="Y153" s="154">
        <f t="shared" ref="Y153:Y158" si="122">E153*F153*W153*(S153^(7/6))*X153</f>
        <v>9.7752770720269129E-6</v>
      </c>
    </row>
    <row r="154" spans="1:25" ht="22" thickTop="1" x14ac:dyDescent="0.25">
      <c r="A154" s="167" t="s">
        <v>6</v>
      </c>
      <c r="B154" s="155">
        <v>1000</v>
      </c>
      <c r="C154" s="155">
        <v>2650</v>
      </c>
      <c r="D154" s="155">
        <v>9.81</v>
      </c>
      <c r="E154" s="155">
        <v>4.1000000000000002E-2</v>
      </c>
      <c r="F154" s="155">
        <v>0.01</v>
      </c>
      <c r="G154" s="155">
        <v>23.74</v>
      </c>
      <c r="H154" s="155">
        <f>G154 + 29.52</f>
        <v>53.26</v>
      </c>
      <c r="I154" s="155">
        <f t="shared" si="11"/>
        <v>53260</v>
      </c>
      <c r="J154" s="155">
        <f t="shared" si="12"/>
        <v>945542533.33333325</v>
      </c>
      <c r="K154" s="155">
        <v>0.5</v>
      </c>
      <c r="L154" s="155">
        <f>K154/31500000</f>
        <v>1.5873015873015872E-8</v>
      </c>
      <c r="M154" s="156" t="s">
        <v>26</v>
      </c>
      <c r="N154" s="155">
        <v>64</v>
      </c>
      <c r="O154" s="155">
        <f>N154/1000</f>
        <v>6.4000000000000001E-2</v>
      </c>
      <c r="P154" s="155">
        <v>11</v>
      </c>
      <c r="Q154" s="155">
        <v>43</v>
      </c>
      <c r="R154" s="155">
        <f>Q154/100</f>
        <v>0.43</v>
      </c>
      <c r="S154" s="155">
        <v>9.4382019999999997E-3</v>
      </c>
      <c r="T154" s="155">
        <f>B154*D154*R154*S154</f>
        <v>39.813167496600002</v>
      </c>
      <c r="U154" s="155">
        <f t="shared" ref="U154:U158" si="123">5.9 * (SQRT(D154))*(((R154^(2/3))*(S154^(1/2)))/(O154^(1/6)))</f>
        <v>1.6171369139181295</v>
      </c>
      <c r="V154" s="155">
        <f>J154*L154</f>
        <v>15.008611640211639</v>
      </c>
      <c r="W154" s="155">
        <f>P154*R154*U154</f>
        <v>7.6490576028327517</v>
      </c>
      <c r="X154" s="155">
        <v>1</v>
      </c>
      <c r="Y154" s="292">
        <f t="shared" si="122"/>
        <v>1.3607006771600313E-5</v>
      </c>
    </row>
    <row r="155" spans="1:25" x14ac:dyDescent="0.2">
      <c r="A155" s="158"/>
      <c r="B155" s="209">
        <v>1000</v>
      </c>
      <c r="C155" s="209">
        <v>2650</v>
      </c>
      <c r="D155" s="209">
        <v>9.81</v>
      </c>
      <c r="E155" s="209">
        <v>4.1000000000000002E-2</v>
      </c>
      <c r="F155" s="209">
        <v>0.01</v>
      </c>
      <c r="G155" s="209">
        <v>23.74</v>
      </c>
      <c r="H155" s="209">
        <f t="shared" ref="H155:H158" si="124">G155 + 29.52</f>
        <v>53.26</v>
      </c>
      <c r="I155" s="209">
        <f t="shared" si="11"/>
        <v>53260</v>
      </c>
      <c r="J155" s="209">
        <f t="shared" si="12"/>
        <v>945542533.33333325</v>
      </c>
      <c r="K155" s="209">
        <v>0.5</v>
      </c>
      <c r="L155" s="209">
        <f t="shared" ref="L155:L158" si="125">K155/31500000</f>
        <v>1.5873015873015872E-8</v>
      </c>
      <c r="M155" s="210" t="s">
        <v>27</v>
      </c>
      <c r="N155" s="209">
        <v>64</v>
      </c>
      <c r="O155" s="209">
        <f t="shared" ref="O155:O158" si="126">N155/1000</f>
        <v>6.4000000000000001E-2</v>
      </c>
      <c r="P155" s="209">
        <v>11</v>
      </c>
      <c r="Q155" s="209">
        <v>43</v>
      </c>
      <c r="R155" s="209">
        <f t="shared" ref="R155:R158" si="127">Q155/100</f>
        <v>0.43</v>
      </c>
      <c r="S155" s="209">
        <v>9.4382019999999997E-3</v>
      </c>
      <c r="T155" s="209">
        <f t="shared" ref="T155:T157" si="128">B155*D155*R155*S155</f>
        <v>39.813167496600002</v>
      </c>
      <c r="U155" s="209">
        <f t="shared" si="123"/>
        <v>1.6171369139181295</v>
      </c>
      <c r="V155" s="209">
        <f t="shared" ref="V155:V158" si="129">J155*L155</f>
        <v>15.008611640211639</v>
      </c>
      <c r="W155" s="209">
        <f t="shared" ref="W155:W158" si="130">P155*R155*U155</f>
        <v>7.6490576028327517</v>
      </c>
      <c r="X155" s="209">
        <v>1</v>
      </c>
      <c r="Y155" s="293">
        <f t="shared" si="122"/>
        <v>1.3607006771600313E-5</v>
      </c>
    </row>
    <row r="156" spans="1:25" x14ac:dyDescent="0.2">
      <c r="A156" s="158"/>
      <c r="B156" s="209">
        <v>1000</v>
      </c>
      <c r="C156" s="209">
        <v>2650</v>
      </c>
      <c r="D156" s="209">
        <v>9.81</v>
      </c>
      <c r="E156" s="209">
        <v>4.1000000000000002E-2</v>
      </c>
      <c r="F156" s="209">
        <v>0.01</v>
      </c>
      <c r="G156" s="209">
        <v>23.74</v>
      </c>
      <c r="H156" s="209">
        <f t="shared" si="124"/>
        <v>53.26</v>
      </c>
      <c r="I156" s="209">
        <f t="shared" si="11"/>
        <v>53260</v>
      </c>
      <c r="J156" s="209">
        <f t="shared" si="12"/>
        <v>945542533.33333325</v>
      </c>
      <c r="K156" s="209">
        <v>0.5</v>
      </c>
      <c r="L156" s="209">
        <f t="shared" si="125"/>
        <v>1.5873015873015872E-8</v>
      </c>
      <c r="M156" s="210" t="s">
        <v>28</v>
      </c>
      <c r="N156" s="209">
        <v>109</v>
      </c>
      <c r="O156" s="209">
        <f t="shared" si="126"/>
        <v>0.109</v>
      </c>
      <c r="P156" s="209">
        <v>11</v>
      </c>
      <c r="Q156" s="209">
        <v>43</v>
      </c>
      <c r="R156" s="209">
        <f t="shared" si="127"/>
        <v>0.43</v>
      </c>
      <c r="S156" s="209">
        <v>9.4382019999999997E-3</v>
      </c>
      <c r="T156" s="209">
        <f t="shared" si="128"/>
        <v>39.813167496600002</v>
      </c>
      <c r="U156" s="209">
        <f t="shared" si="123"/>
        <v>1.4798091332350733</v>
      </c>
      <c r="V156" s="209">
        <f t="shared" si="129"/>
        <v>15.008611640211639</v>
      </c>
      <c r="W156" s="209">
        <f t="shared" si="130"/>
        <v>6.9994972002018967</v>
      </c>
      <c r="X156" s="209">
        <v>1</v>
      </c>
      <c r="Y156" s="293">
        <f t="shared" si="122"/>
        <v>1.2451495432021932E-5</v>
      </c>
    </row>
    <row r="157" spans="1:25" x14ac:dyDescent="0.2">
      <c r="A157" s="158"/>
      <c r="B157" s="209">
        <v>1000</v>
      </c>
      <c r="C157" s="209">
        <v>2650</v>
      </c>
      <c r="D157" s="209">
        <v>9.81</v>
      </c>
      <c r="E157" s="209">
        <v>4.1000000000000002E-2</v>
      </c>
      <c r="F157" s="209">
        <v>0.01</v>
      </c>
      <c r="G157" s="209">
        <v>23.74</v>
      </c>
      <c r="H157" s="209">
        <f t="shared" si="124"/>
        <v>53.26</v>
      </c>
      <c r="I157" s="209">
        <f t="shared" si="11"/>
        <v>53260</v>
      </c>
      <c r="J157" s="209">
        <f t="shared" si="12"/>
        <v>945542533.33333325</v>
      </c>
      <c r="K157" s="209">
        <v>0.5</v>
      </c>
      <c r="L157" s="209">
        <f t="shared" si="125"/>
        <v>1.5873015873015872E-8</v>
      </c>
      <c r="M157" s="210" t="s">
        <v>29</v>
      </c>
      <c r="N157" s="220">
        <v>45</v>
      </c>
      <c r="O157" s="209">
        <f t="shared" si="126"/>
        <v>4.4999999999999998E-2</v>
      </c>
      <c r="P157" s="209">
        <v>11</v>
      </c>
      <c r="Q157" s="209">
        <v>43</v>
      </c>
      <c r="R157" s="209">
        <f t="shared" si="127"/>
        <v>0.43</v>
      </c>
      <c r="S157" s="209">
        <v>9.4382019999999997E-3</v>
      </c>
      <c r="T157" s="209">
        <f t="shared" si="128"/>
        <v>39.813167496600002</v>
      </c>
      <c r="U157" s="209">
        <f t="shared" si="123"/>
        <v>1.7149101367334314</v>
      </c>
      <c r="V157" s="209">
        <f t="shared" si="129"/>
        <v>15.008611640211639</v>
      </c>
      <c r="W157" s="209">
        <f t="shared" si="130"/>
        <v>8.1115249467491299</v>
      </c>
      <c r="X157" s="220">
        <v>1</v>
      </c>
      <c r="Y157" s="293">
        <f t="shared" si="122"/>
        <v>1.4429695867049625E-5</v>
      </c>
    </row>
    <row r="158" spans="1:25" x14ac:dyDescent="0.2">
      <c r="A158" s="158"/>
      <c r="B158" s="209">
        <v>1000</v>
      </c>
      <c r="C158" s="209">
        <v>2650</v>
      </c>
      <c r="D158" s="209">
        <v>9.81</v>
      </c>
      <c r="E158" s="209">
        <v>4.1000000000000002E-2</v>
      </c>
      <c r="F158" s="209">
        <v>0.01</v>
      </c>
      <c r="G158" s="209">
        <v>23.74</v>
      </c>
      <c r="H158" s="209">
        <f t="shared" si="124"/>
        <v>53.26</v>
      </c>
      <c r="I158" s="209">
        <f t="shared" si="11"/>
        <v>53260</v>
      </c>
      <c r="J158" s="209">
        <f t="shared" si="12"/>
        <v>945542533.33333325</v>
      </c>
      <c r="K158" s="209">
        <v>0.5</v>
      </c>
      <c r="L158" s="209">
        <f t="shared" si="125"/>
        <v>1.5873015873015872E-8</v>
      </c>
      <c r="M158" s="210" t="s">
        <v>30</v>
      </c>
      <c r="N158" s="220">
        <v>46</v>
      </c>
      <c r="O158" s="209">
        <f t="shared" si="126"/>
        <v>4.5999999999999999E-2</v>
      </c>
      <c r="P158" s="209">
        <v>11</v>
      </c>
      <c r="Q158" s="209">
        <v>43</v>
      </c>
      <c r="R158" s="209">
        <f t="shared" si="127"/>
        <v>0.43</v>
      </c>
      <c r="S158" s="209">
        <v>9.4382019999999997E-3</v>
      </c>
      <c r="T158" s="209">
        <f>B158*D158*R158*S158</f>
        <v>39.813167496600002</v>
      </c>
      <c r="U158" s="209">
        <f t="shared" si="123"/>
        <v>1.708639653621121</v>
      </c>
      <c r="V158" s="209">
        <f t="shared" si="129"/>
        <v>15.008611640211639</v>
      </c>
      <c r="W158" s="209">
        <f t="shared" si="130"/>
        <v>8.081865561627902</v>
      </c>
      <c r="X158" s="220">
        <v>1</v>
      </c>
      <c r="Y158" s="293">
        <f t="shared" si="122"/>
        <v>1.4376934406077416E-5</v>
      </c>
    </row>
    <row r="159" spans="1:25" x14ac:dyDescent="0.2">
      <c r="A159" s="295"/>
      <c r="B159" s="217"/>
      <c r="C159" s="217"/>
      <c r="D159" s="217"/>
      <c r="E159" s="217"/>
      <c r="F159" s="217"/>
      <c r="G159" s="217"/>
      <c r="H159" s="217"/>
      <c r="I159" s="217"/>
      <c r="J159" s="217"/>
      <c r="K159" s="217"/>
      <c r="L159" s="217"/>
      <c r="M159" s="218" t="s">
        <v>31</v>
      </c>
      <c r="N159" s="217"/>
      <c r="O159" s="217"/>
      <c r="P159" s="217"/>
      <c r="Q159" s="217"/>
      <c r="R159" s="217"/>
      <c r="S159" s="217"/>
      <c r="T159" s="217"/>
      <c r="U159" s="217"/>
      <c r="V159" s="217"/>
      <c r="W159" s="217"/>
      <c r="X159" s="217"/>
      <c r="Y159" s="296"/>
    </row>
    <row r="160" spans="1:25" x14ac:dyDescent="0.2">
      <c r="A160" s="295"/>
      <c r="B160" s="217"/>
      <c r="C160" s="217"/>
      <c r="D160" s="217"/>
      <c r="E160" s="217"/>
      <c r="F160" s="217"/>
      <c r="G160" s="217"/>
      <c r="H160" s="217"/>
      <c r="I160" s="217"/>
      <c r="J160" s="217"/>
      <c r="K160" s="217"/>
      <c r="L160" s="217"/>
      <c r="M160" s="218" t="s">
        <v>32</v>
      </c>
      <c r="N160" s="217"/>
      <c r="O160" s="217"/>
      <c r="P160" s="217"/>
      <c r="Q160" s="217"/>
      <c r="R160" s="217"/>
      <c r="S160" s="217"/>
      <c r="T160" s="217"/>
      <c r="U160" s="217"/>
      <c r="V160" s="217"/>
      <c r="W160" s="217"/>
      <c r="X160" s="217"/>
      <c r="Y160" s="296"/>
    </row>
    <row r="161" spans="1:25" s="274" customFormat="1" ht="17" thickBot="1" x14ac:dyDescent="0.25">
      <c r="A161" s="310"/>
      <c r="B161" s="306">
        <v>1000</v>
      </c>
      <c r="C161" s="306">
        <v>2650</v>
      </c>
      <c r="D161" s="306">
        <v>9.81</v>
      </c>
      <c r="E161" s="306">
        <v>4.1000000000000002E-2</v>
      </c>
      <c r="F161" s="306">
        <v>0.01</v>
      </c>
      <c r="G161" s="306">
        <v>23.74</v>
      </c>
      <c r="H161" s="306">
        <v>53.26</v>
      </c>
      <c r="I161" s="306">
        <v>53260</v>
      </c>
      <c r="J161" s="306">
        <f>J154</f>
        <v>945542533.33333325</v>
      </c>
      <c r="K161" s="306">
        <v>0.5</v>
      </c>
      <c r="L161" s="306">
        <f>L154</f>
        <v>1.5873015873015872E-8</v>
      </c>
      <c r="M161" s="306" t="s">
        <v>48</v>
      </c>
      <c r="N161" s="306">
        <f>(N154*(45/84))+(N155*(17/84))+(N156*(6/84))+(N157*(12/84))+(N158*(4/84))</f>
        <v>63.642857142857146</v>
      </c>
      <c r="O161" s="306">
        <f>N161/1000</f>
        <v>6.364285714285714E-2</v>
      </c>
      <c r="P161" s="306">
        <v>11</v>
      </c>
      <c r="Q161" s="306">
        <v>43</v>
      </c>
      <c r="R161" s="306">
        <v>0.43</v>
      </c>
      <c r="S161" s="306">
        <f>S154</f>
        <v>9.4382019999999997E-3</v>
      </c>
      <c r="T161" s="306">
        <f>T154</f>
        <v>39.813167496600002</v>
      </c>
      <c r="U161" s="306">
        <f>(U154*(45/84))+(U155*(17/84))+(U156*(6/84))+(U157*(12/84))+(U158*(4/84))</f>
        <v>1.6256526633050017</v>
      </c>
      <c r="V161" s="306">
        <f>V154</f>
        <v>15.008611640211639</v>
      </c>
      <c r="W161" s="306">
        <f>P161*R161*U161</f>
        <v>7.6893370974326576</v>
      </c>
      <c r="X161" s="306">
        <v>1</v>
      </c>
      <c r="Y161" s="311">
        <f t="shared" ref="Y161:Y166" si="131">E161*F161*W161*(S161^(7/6))*X161</f>
        <v>1.3678660481669718E-5</v>
      </c>
    </row>
    <row r="162" spans="1:25" ht="22" thickTop="1" x14ac:dyDescent="0.25">
      <c r="A162" s="49" t="s">
        <v>5</v>
      </c>
      <c r="B162" s="50">
        <v>1000</v>
      </c>
      <c r="C162" s="50">
        <v>2650</v>
      </c>
      <c r="D162" s="50">
        <v>9.81</v>
      </c>
      <c r="E162" s="50">
        <v>4.1000000000000002E-2</v>
      </c>
      <c r="F162" s="50">
        <v>0.01</v>
      </c>
      <c r="G162" s="50">
        <v>23.74</v>
      </c>
      <c r="H162" s="50">
        <f>G162 + 31.16</f>
        <v>54.9</v>
      </c>
      <c r="I162" s="50">
        <f t="shared" si="11"/>
        <v>54900</v>
      </c>
      <c r="J162" s="50">
        <f t="shared" si="12"/>
        <v>1004670000</v>
      </c>
      <c r="K162" s="50">
        <v>0.5</v>
      </c>
      <c r="L162" s="50">
        <f>K162/31500000</f>
        <v>1.5873015873015872E-8</v>
      </c>
      <c r="M162" s="164" t="s">
        <v>26</v>
      </c>
      <c r="N162" s="50">
        <v>45</v>
      </c>
      <c r="O162" s="50">
        <f>N162/1000</f>
        <v>4.4999999999999998E-2</v>
      </c>
      <c r="P162" s="50">
        <v>11</v>
      </c>
      <c r="Q162" s="50">
        <v>57</v>
      </c>
      <c r="R162" s="50">
        <f>Q162/100</f>
        <v>0.56999999999999995</v>
      </c>
      <c r="S162" s="50">
        <v>2.477291E-3</v>
      </c>
      <c r="T162" s="50">
        <f>B162*D162*R162*S162</f>
        <v>13.852268084699999</v>
      </c>
      <c r="U162" s="50">
        <f t="shared" ref="U162:U166" si="132">5.9 * (SQRT(D162))*(((R162^(2/3))*(S162^(1/2)))/(O162^(1/6)))</f>
        <v>1.0602041810333007</v>
      </c>
      <c r="V162" s="50">
        <f>J162*L162</f>
        <v>15.947142857142856</v>
      </c>
      <c r="W162" s="50">
        <f>P162*R162*U162</f>
        <v>6.6474802150787955</v>
      </c>
      <c r="X162" s="50">
        <v>1</v>
      </c>
      <c r="Y162" s="35">
        <f t="shared" si="131"/>
        <v>2.4835949749745851E-6</v>
      </c>
    </row>
    <row r="163" spans="1:25" x14ac:dyDescent="0.2">
      <c r="A163" s="6"/>
      <c r="B163" s="209">
        <v>1000</v>
      </c>
      <c r="C163" s="209">
        <v>2650</v>
      </c>
      <c r="D163" s="209">
        <v>9.81</v>
      </c>
      <c r="E163" s="209">
        <v>4.1000000000000002E-2</v>
      </c>
      <c r="F163" s="209">
        <v>0.01</v>
      </c>
      <c r="G163" s="209">
        <v>23.74</v>
      </c>
      <c r="H163" s="209">
        <f t="shared" ref="H163:H166" si="133">G163 + 31.16</f>
        <v>54.9</v>
      </c>
      <c r="I163" s="209">
        <f t="shared" si="11"/>
        <v>54900</v>
      </c>
      <c r="J163" s="209">
        <f t="shared" si="12"/>
        <v>1004670000</v>
      </c>
      <c r="K163" s="209">
        <v>0.5</v>
      </c>
      <c r="L163" s="209">
        <f t="shared" ref="L163:L166" si="134">K163/31500000</f>
        <v>1.5873015873015872E-8</v>
      </c>
      <c r="M163" s="210" t="s">
        <v>27</v>
      </c>
      <c r="N163" s="209">
        <v>54.5</v>
      </c>
      <c r="O163" s="209">
        <f t="shared" ref="O163:O166" si="135">N163/1000</f>
        <v>5.45E-2</v>
      </c>
      <c r="P163" s="209">
        <v>11</v>
      </c>
      <c r="Q163" s="209">
        <v>57</v>
      </c>
      <c r="R163" s="209">
        <f t="shared" ref="R163:R166" si="136">Q163/100</f>
        <v>0.56999999999999995</v>
      </c>
      <c r="S163" s="209">
        <v>2.477291E-3</v>
      </c>
      <c r="T163" s="209">
        <f t="shared" ref="T163:T166" si="137">B163*D163*R163*S163</f>
        <v>13.852268084699999</v>
      </c>
      <c r="U163" s="209">
        <f t="shared" si="132"/>
        <v>1.0268937591904654</v>
      </c>
      <c r="V163" s="209">
        <f t="shared" ref="V163:V166" si="138">J163*L163</f>
        <v>15.947142857142856</v>
      </c>
      <c r="W163" s="209">
        <f t="shared" ref="W163:W166" si="139">P163*R163*U163</f>
        <v>6.4386238701242178</v>
      </c>
      <c r="X163" s="209">
        <v>1</v>
      </c>
      <c r="Y163" s="28">
        <f t="shared" si="131"/>
        <v>2.4055632167688034E-6</v>
      </c>
    </row>
    <row r="164" spans="1:25" x14ac:dyDescent="0.2">
      <c r="A164" s="6"/>
      <c r="B164" s="209">
        <v>1000</v>
      </c>
      <c r="C164" s="209">
        <v>2650</v>
      </c>
      <c r="D164" s="209">
        <v>9.81</v>
      </c>
      <c r="E164" s="209">
        <v>4.1000000000000002E-2</v>
      </c>
      <c r="F164" s="209">
        <v>0.01</v>
      </c>
      <c r="G164" s="209">
        <v>23.74</v>
      </c>
      <c r="H164" s="209">
        <f t="shared" si="133"/>
        <v>54.9</v>
      </c>
      <c r="I164" s="209">
        <f t="shared" ref="I164:I166" si="140">H164 * 1000</f>
        <v>54900</v>
      </c>
      <c r="J164" s="209">
        <f t="shared" ref="J164:J166" si="141">(1/3) * (I164^2)</f>
        <v>1004670000</v>
      </c>
      <c r="K164" s="209">
        <v>0.5</v>
      </c>
      <c r="L164" s="209">
        <f t="shared" si="134"/>
        <v>1.5873015873015872E-8</v>
      </c>
      <c r="M164" s="210" t="s">
        <v>28</v>
      </c>
      <c r="N164" s="209">
        <v>38.5</v>
      </c>
      <c r="O164" s="209">
        <f t="shared" si="135"/>
        <v>3.85E-2</v>
      </c>
      <c r="P164" s="209">
        <v>11</v>
      </c>
      <c r="Q164" s="209">
        <v>57</v>
      </c>
      <c r="R164" s="209">
        <f t="shared" si="136"/>
        <v>0.56999999999999995</v>
      </c>
      <c r="S164" s="209">
        <v>2.477291E-3</v>
      </c>
      <c r="T164" s="209">
        <f t="shared" si="137"/>
        <v>13.852268084699999</v>
      </c>
      <c r="U164" s="209">
        <f t="shared" si="132"/>
        <v>1.0881317352206532</v>
      </c>
      <c r="V164" s="209">
        <f t="shared" si="138"/>
        <v>15.947142857142856</v>
      </c>
      <c r="W164" s="209">
        <f t="shared" si="139"/>
        <v>6.8225859798334954</v>
      </c>
      <c r="X164" s="209">
        <v>1</v>
      </c>
      <c r="Y164" s="28">
        <f t="shared" si="131"/>
        <v>2.5490170271451756E-6</v>
      </c>
    </row>
    <row r="165" spans="1:25" x14ac:dyDescent="0.2">
      <c r="A165" s="6"/>
      <c r="B165" s="209">
        <v>1000</v>
      </c>
      <c r="C165" s="209">
        <v>2650</v>
      </c>
      <c r="D165" s="209">
        <v>9.81</v>
      </c>
      <c r="E165" s="209">
        <v>4.1000000000000002E-2</v>
      </c>
      <c r="F165" s="209">
        <v>0.01</v>
      </c>
      <c r="G165" s="209">
        <v>23.74</v>
      </c>
      <c r="H165" s="209">
        <f t="shared" si="133"/>
        <v>54.9</v>
      </c>
      <c r="I165" s="209">
        <f t="shared" si="140"/>
        <v>54900</v>
      </c>
      <c r="J165" s="209">
        <f t="shared" si="141"/>
        <v>1004670000</v>
      </c>
      <c r="K165" s="209">
        <v>0.5</v>
      </c>
      <c r="L165" s="209">
        <f t="shared" si="134"/>
        <v>1.5873015873015872E-8</v>
      </c>
      <c r="M165" s="210" t="s">
        <v>29</v>
      </c>
      <c r="N165" s="220">
        <v>45</v>
      </c>
      <c r="O165" s="209">
        <f t="shared" si="135"/>
        <v>4.4999999999999998E-2</v>
      </c>
      <c r="P165" s="209">
        <v>11</v>
      </c>
      <c r="Q165" s="209">
        <v>57</v>
      </c>
      <c r="R165" s="209">
        <f t="shared" si="136"/>
        <v>0.56999999999999995</v>
      </c>
      <c r="S165" s="209">
        <v>2.477291E-3</v>
      </c>
      <c r="T165" s="209">
        <f t="shared" si="137"/>
        <v>13.852268084699999</v>
      </c>
      <c r="U165" s="209">
        <f t="shared" si="132"/>
        <v>1.0602041810333007</v>
      </c>
      <c r="V165" s="209">
        <f t="shared" si="138"/>
        <v>15.947142857142856</v>
      </c>
      <c r="W165" s="209">
        <f t="shared" si="139"/>
        <v>6.6474802150787955</v>
      </c>
      <c r="X165" s="220">
        <v>1</v>
      </c>
      <c r="Y165" s="28">
        <f t="shared" si="131"/>
        <v>2.4835949749745851E-6</v>
      </c>
    </row>
    <row r="166" spans="1:25" x14ac:dyDescent="0.2">
      <c r="A166" s="6"/>
      <c r="B166" s="209">
        <v>1000</v>
      </c>
      <c r="C166" s="209">
        <v>2650</v>
      </c>
      <c r="D166" s="209">
        <v>9.81</v>
      </c>
      <c r="E166" s="209">
        <v>4.1000000000000002E-2</v>
      </c>
      <c r="F166" s="209">
        <v>0.01</v>
      </c>
      <c r="G166" s="209">
        <v>23.74</v>
      </c>
      <c r="H166" s="209">
        <f t="shared" si="133"/>
        <v>54.9</v>
      </c>
      <c r="I166" s="209">
        <f t="shared" si="140"/>
        <v>54900</v>
      </c>
      <c r="J166" s="209">
        <f t="shared" si="141"/>
        <v>1004670000</v>
      </c>
      <c r="K166" s="209">
        <v>0.5</v>
      </c>
      <c r="L166" s="209">
        <f t="shared" si="134"/>
        <v>1.5873015873015872E-8</v>
      </c>
      <c r="M166" s="210" t="s">
        <v>30</v>
      </c>
      <c r="N166" s="220">
        <v>32</v>
      </c>
      <c r="O166" s="209">
        <f t="shared" si="135"/>
        <v>3.2000000000000001E-2</v>
      </c>
      <c r="P166" s="209">
        <v>11</v>
      </c>
      <c r="Q166" s="209">
        <v>57</v>
      </c>
      <c r="R166" s="209">
        <f t="shared" si="136"/>
        <v>0.56999999999999995</v>
      </c>
      <c r="S166" s="209">
        <v>2.477291E-3</v>
      </c>
      <c r="T166" s="209">
        <f t="shared" si="137"/>
        <v>13.852268084699999</v>
      </c>
      <c r="U166" s="209">
        <f t="shared" si="132"/>
        <v>1.1221905361731934</v>
      </c>
      <c r="V166" s="209">
        <f t="shared" si="138"/>
        <v>15.947142857142856</v>
      </c>
      <c r="W166" s="209">
        <f t="shared" si="139"/>
        <v>7.0361346618059226</v>
      </c>
      <c r="X166" s="220">
        <v>1</v>
      </c>
      <c r="Y166" s="28">
        <f t="shared" si="131"/>
        <v>2.628801910484295E-6</v>
      </c>
    </row>
    <row r="167" spans="1:25" x14ac:dyDescent="0.2">
      <c r="A167" s="47"/>
      <c r="B167" s="217"/>
      <c r="C167" s="217"/>
      <c r="D167" s="217"/>
      <c r="E167" s="217"/>
      <c r="F167" s="217"/>
      <c r="G167" s="217"/>
      <c r="H167" s="217"/>
      <c r="I167" s="217"/>
      <c r="J167" s="217"/>
      <c r="K167" s="217"/>
      <c r="L167" s="217"/>
      <c r="M167" s="218" t="s">
        <v>31</v>
      </c>
      <c r="N167" s="217"/>
      <c r="O167" s="217"/>
      <c r="P167" s="217"/>
      <c r="Q167" s="217"/>
      <c r="R167" s="217"/>
      <c r="S167" s="217"/>
      <c r="T167" s="217"/>
      <c r="U167" s="217"/>
      <c r="V167" s="217"/>
      <c r="W167" s="217"/>
      <c r="X167" s="217"/>
      <c r="Y167" s="48"/>
    </row>
    <row r="168" spans="1:25" x14ac:dyDescent="0.2">
      <c r="A168" s="47"/>
      <c r="B168" s="217"/>
      <c r="C168" s="217"/>
      <c r="D168" s="217"/>
      <c r="E168" s="217"/>
      <c r="F168" s="217"/>
      <c r="G168" s="217"/>
      <c r="H168" s="217"/>
      <c r="I168" s="217"/>
      <c r="J168" s="217"/>
      <c r="K168" s="217"/>
      <c r="L168" s="217"/>
      <c r="M168" s="218" t="s">
        <v>32</v>
      </c>
      <c r="N168" s="217"/>
      <c r="O168" s="217"/>
      <c r="P168" s="217"/>
      <c r="Q168" s="217"/>
      <c r="R168" s="217"/>
      <c r="S168" s="217"/>
      <c r="T168" s="217"/>
      <c r="U168" s="217"/>
      <c r="V168" s="217"/>
      <c r="W168" s="217"/>
      <c r="X168" s="217"/>
      <c r="Y168" s="48"/>
    </row>
    <row r="169" spans="1:25" s="274" customFormat="1" ht="17" thickBot="1" x14ac:dyDescent="0.25">
      <c r="A169" s="313"/>
      <c r="B169" s="314">
        <v>1000</v>
      </c>
      <c r="C169" s="314">
        <v>2650</v>
      </c>
      <c r="D169" s="314">
        <v>9.81</v>
      </c>
      <c r="E169" s="314">
        <v>4.1000000000000002E-2</v>
      </c>
      <c r="F169" s="314">
        <v>0.01</v>
      </c>
      <c r="G169" s="314">
        <v>23.74</v>
      </c>
      <c r="H169" s="314">
        <v>54.9</v>
      </c>
      <c r="I169" s="314">
        <v>54900</v>
      </c>
      <c r="J169" s="314">
        <f>J162</f>
        <v>1004670000</v>
      </c>
      <c r="K169" s="314">
        <v>0.5</v>
      </c>
      <c r="L169" s="314">
        <f>L162</f>
        <v>1.5873015873015872E-8</v>
      </c>
      <c r="M169" s="314" t="s">
        <v>48</v>
      </c>
      <c r="N169" s="314">
        <f>(N162*(49/71))+(N163*(6/71))+(N164*(2/71))+(N165*(7/71))+(N166*(7/71))</f>
        <v>44.338028169014081</v>
      </c>
      <c r="O169" s="314">
        <f>N169/1000</f>
        <v>4.4338028169014082E-2</v>
      </c>
      <c r="P169" s="314">
        <v>11</v>
      </c>
      <c r="Q169" s="314">
        <v>57</v>
      </c>
      <c r="R169" s="314">
        <v>0.56999999999999995</v>
      </c>
      <c r="S169" s="314">
        <f>S162</f>
        <v>2.477291E-3</v>
      </c>
      <c r="T169" s="314">
        <f>T162</f>
        <v>13.852268084699999</v>
      </c>
      <c r="U169" s="314">
        <f>(U162*(49/71))+(U163*(6/71))+(U164*(2/71))+(U165*(7/71))+(U166*(7/71))</f>
        <v>1.064287238262835</v>
      </c>
      <c r="V169" s="314">
        <f>V162</f>
        <v>15.947142857142856</v>
      </c>
      <c r="W169" s="314">
        <f>P169*R169*U169</f>
        <v>6.6730809839079752</v>
      </c>
      <c r="X169" s="314">
        <v>1</v>
      </c>
      <c r="Y169" s="315">
        <f t="shared" ref="Y169" si="142">E169*F169*W169*(S169^(7/6))*X169</f>
        <v>2.4931597933361965E-6</v>
      </c>
    </row>
    <row r="170" spans="1:25" ht="17" thickTop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26144-BDA7-EB41-9785-81BC92D9F413}">
  <dimension ref="A1:J17"/>
  <sheetViews>
    <sheetView tabSelected="1" zoomScale="120" zoomScaleNormal="120" workbookViewId="0">
      <selection activeCell="M12" sqref="M12"/>
    </sheetView>
  </sheetViews>
  <sheetFormatPr baseColWidth="10" defaultRowHeight="16" x14ac:dyDescent="0.2"/>
  <cols>
    <col min="1" max="1" width="11.6640625" bestFit="1" customWidth="1"/>
    <col min="2" max="2" width="12.1640625" bestFit="1" customWidth="1"/>
    <col min="3" max="3" width="25.83203125" bestFit="1" customWidth="1"/>
    <col min="4" max="10" width="12.1640625" bestFit="1" customWidth="1"/>
  </cols>
  <sheetData>
    <row r="1" spans="1:10" ht="21" x14ac:dyDescent="0.25">
      <c r="A1" s="205" t="s">
        <v>78</v>
      </c>
      <c r="B1" s="205" t="s">
        <v>77</v>
      </c>
      <c r="C1" s="205" t="s">
        <v>84</v>
      </c>
      <c r="D1" s="205" t="s">
        <v>80</v>
      </c>
      <c r="E1" s="205" t="s">
        <v>81</v>
      </c>
      <c r="F1" s="205" t="s">
        <v>82</v>
      </c>
      <c r="G1" s="205" t="s">
        <v>83</v>
      </c>
      <c r="H1" s="205" t="s">
        <v>85</v>
      </c>
      <c r="I1" s="205" t="s">
        <v>86</v>
      </c>
      <c r="J1" s="205" t="s">
        <v>79</v>
      </c>
    </row>
    <row r="2" spans="1:10" x14ac:dyDescent="0.2">
      <c r="A2" t="s">
        <v>25</v>
      </c>
      <c r="B2">
        <v>248248033.33333331</v>
      </c>
      <c r="C2">
        <v>3.8726499536986567E-6</v>
      </c>
      <c r="D2">
        <v>3.8960352892916149E-6</v>
      </c>
      <c r="E2">
        <v>3.7777895136013655E-6</v>
      </c>
      <c r="F2">
        <v>3.5651827342998654E-6</v>
      </c>
      <c r="G2">
        <v>0</v>
      </c>
      <c r="H2">
        <v>0</v>
      </c>
      <c r="I2">
        <v>0</v>
      </c>
      <c r="J2">
        <f>D2+E2+F2+G2+H2+I2</f>
        <v>1.1239007537192845E-5</v>
      </c>
    </row>
    <row r="3" spans="1:10" x14ac:dyDescent="0.2">
      <c r="A3" t="s">
        <v>24</v>
      </c>
      <c r="B3">
        <v>285577633.33333331</v>
      </c>
      <c r="C3">
        <v>2.1632120742318952E-4</v>
      </c>
      <c r="D3">
        <v>2.1433741581280291E-4</v>
      </c>
      <c r="E3">
        <v>2.2015500791311237E-4</v>
      </c>
      <c r="F3">
        <v>2.3328377315961381E-4</v>
      </c>
      <c r="G3">
        <v>0</v>
      </c>
      <c r="H3">
        <v>0</v>
      </c>
      <c r="I3">
        <v>0</v>
      </c>
      <c r="J3">
        <f>D3+E3+F3+G3+H3+I3</f>
        <v>6.6777619688552906E-4</v>
      </c>
    </row>
    <row r="4" spans="1:10" x14ac:dyDescent="0.2">
      <c r="A4" t="s">
        <v>23</v>
      </c>
      <c r="B4">
        <v>323440833.33333331</v>
      </c>
      <c r="C4">
        <v>9.5015201759612573E-4</v>
      </c>
      <c r="D4">
        <v>9.3845126776867711E-4</v>
      </c>
      <c r="E4">
        <v>1.0533759322581572E-3</v>
      </c>
      <c r="F4">
        <v>9.9519068427394823E-4</v>
      </c>
      <c r="G4">
        <v>0</v>
      </c>
      <c r="H4">
        <v>0</v>
      </c>
      <c r="I4">
        <v>0</v>
      </c>
      <c r="J4">
        <f>D4+E4+F4+G4+H4+I4</f>
        <v>2.9870178843007826E-3</v>
      </c>
    </row>
    <row r="5" spans="1:10" x14ac:dyDescent="0.2">
      <c r="A5" t="s">
        <v>22</v>
      </c>
      <c r="B5">
        <v>383748300</v>
      </c>
      <c r="C5">
        <v>3.5402198712096659E-3</v>
      </c>
      <c r="D5">
        <v>3.5208027875714906E-3</v>
      </c>
      <c r="E5">
        <v>3.6937272397781799E-3</v>
      </c>
      <c r="F5">
        <v>3.9519675086308464E-3</v>
      </c>
      <c r="G5">
        <v>3.3922670234678449E-3</v>
      </c>
      <c r="H5">
        <v>0</v>
      </c>
      <c r="I5">
        <v>0</v>
      </c>
      <c r="J5">
        <f>D5+E5+F5+G5+H5+I5</f>
        <v>1.4558764559448363E-2</v>
      </c>
    </row>
    <row r="6" spans="1:10" x14ac:dyDescent="0.2">
      <c r="A6" t="s">
        <v>18</v>
      </c>
      <c r="B6">
        <v>558148800</v>
      </c>
      <c r="C6">
        <v>7.0270487150555984E-4</v>
      </c>
      <c r="D6">
        <v>7.0231249348044354E-4</v>
      </c>
      <c r="E6">
        <v>7.4337419878105183E-4</v>
      </c>
      <c r="F6">
        <v>6.8024662556382537E-4</v>
      </c>
      <c r="G6">
        <v>0</v>
      </c>
      <c r="H6">
        <v>0</v>
      </c>
      <c r="I6">
        <v>0</v>
      </c>
      <c r="J6">
        <f>D6+E6+F6+G6+H6+I6</f>
        <v>2.1259333178253207E-3</v>
      </c>
    </row>
    <row r="7" spans="1:10" x14ac:dyDescent="0.2">
      <c r="A7" t="s">
        <v>17</v>
      </c>
      <c r="B7">
        <v>604352133.33333325</v>
      </c>
      <c r="C7">
        <v>4.7732741448291234E-4</v>
      </c>
      <c r="D7">
        <v>4.6803574300362304E-4</v>
      </c>
      <c r="E7">
        <v>4.6803574300362304E-4</v>
      </c>
      <c r="F7">
        <v>5.0884637907677493E-4</v>
      </c>
      <c r="G7">
        <v>4.9540012271745372E-4</v>
      </c>
      <c r="H7">
        <v>0</v>
      </c>
      <c r="I7">
        <v>0</v>
      </c>
      <c r="J7">
        <f>D7+E7+F7+G7+H7+I7</f>
        <v>1.9403179878014747E-3</v>
      </c>
    </row>
    <row r="8" spans="1:10" x14ac:dyDescent="0.2">
      <c r="A8" t="s">
        <v>14</v>
      </c>
      <c r="B8">
        <v>739156033.33333325</v>
      </c>
      <c r="C8">
        <v>1.652791091888484E-3</v>
      </c>
      <c r="D8">
        <v>1.636502681340448E-3</v>
      </c>
      <c r="E8">
        <v>1.7744303160624432E-3</v>
      </c>
      <c r="F8">
        <v>1.9041962908393347E-3</v>
      </c>
      <c r="G8">
        <v>1.1950839436337068E-3</v>
      </c>
      <c r="H8">
        <v>0</v>
      </c>
      <c r="I8">
        <v>0</v>
      </c>
      <c r="J8">
        <f>D8+E8+F8+G8+H8+I8</f>
        <v>6.5102132318759325E-3</v>
      </c>
    </row>
    <row r="9" spans="1:10" x14ac:dyDescent="0.2">
      <c r="A9" t="s">
        <v>13</v>
      </c>
      <c r="B9">
        <v>755888133.33333325</v>
      </c>
      <c r="C9">
        <v>2.7917444869257944E-4</v>
      </c>
      <c r="D9">
        <v>2.709656151696977E-4</v>
      </c>
      <c r="E9">
        <v>3.0414861942478817E-4</v>
      </c>
      <c r="F9">
        <v>3.2229935719342627E-4</v>
      </c>
      <c r="G9">
        <v>2.709656151696977E-4</v>
      </c>
      <c r="H9">
        <v>0</v>
      </c>
      <c r="I9">
        <v>0</v>
      </c>
      <c r="J9">
        <f>D9+E9+F9+G9+H9+I9</f>
        <v>1.1683792069576097E-3</v>
      </c>
    </row>
    <row r="10" spans="1:10" x14ac:dyDescent="0.2">
      <c r="A10" t="s">
        <v>12</v>
      </c>
      <c r="B10">
        <v>769600833.33333325</v>
      </c>
      <c r="C10">
        <v>5.1838024824329106E-6</v>
      </c>
      <c r="D10">
        <v>5.1825014188997775E-6</v>
      </c>
      <c r="E10">
        <v>5.2241357404630595E-6</v>
      </c>
      <c r="F10">
        <v>5.6406086675128048E-6</v>
      </c>
      <c r="G10">
        <v>4.6170838708583006E-6</v>
      </c>
      <c r="H10">
        <v>5.4958390600170099E-6</v>
      </c>
      <c r="I10">
        <v>0</v>
      </c>
      <c r="J10">
        <f>D10+E10+F10+G10+H10+I10</f>
        <v>2.6160168757750951E-5</v>
      </c>
    </row>
    <row r="11" spans="1:10" x14ac:dyDescent="0.2">
      <c r="A11" t="s">
        <v>11</v>
      </c>
      <c r="B11">
        <v>785700833.33333325</v>
      </c>
      <c r="C11">
        <v>1.3274012255984501E-4</v>
      </c>
      <c r="D11">
        <v>1.3541480211560171E-4</v>
      </c>
      <c r="E11">
        <v>1.3541480211560171E-4</v>
      </c>
      <c r="F11">
        <v>1.2793490476790164E-4</v>
      </c>
      <c r="G11">
        <v>1.2793490476790164E-4</v>
      </c>
      <c r="H11">
        <v>1.0467490915267001E-4</v>
      </c>
      <c r="I11">
        <v>0</v>
      </c>
      <c r="J11">
        <f>D11+E11+F11+G11+H11+I11</f>
        <v>6.3137432291967676E-4</v>
      </c>
    </row>
    <row r="12" spans="1:10" x14ac:dyDescent="0.2">
      <c r="A12" t="s">
        <v>10</v>
      </c>
      <c r="B12">
        <v>808849200</v>
      </c>
      <c r="C12">
        <v>9.9560802903165495E-7</v>
      </c>
      <c r="D12">
        <v>1.0119340286814448E-6</v>
      </c>
      <c r="E12">
        <v>9.5603790404124425E-7</v>
      </c>
      <c r="F12">
        <v>1.1358575425877305E-6</v>
      </c>
      <c r="G12">
        <v>9.2600026935627606E-7</v>
      </c>
      <c r="H12">
        <v>1.1358575425877305E-6</v>
      </c>
      <c r="I12">
        <v>0</v>
      </c>
      <c r="J12">
        <f>D12+E12+F12+G12+H12+I12</f>
        <v>5.1656872872544263E-6</v>
      </c>
    </row>
    <row r="13" spans="1:10" x14ac:dyDescent="0.2">
      <c r="A13" t="s">
        <v>9</v>
      </c>
      <c r="B13">
        <v>825352533.33333325</v>
      </c>
      <c r="C13">
        <v>8.8131824443266789E-5</v>
      </c>
      <c r="D13">
        <v>9.2483358331550469E-5</v>
      </c>
      <c r="E13">
        <v>8.7210547933402088E-5</v>
      </c>
      <c r="F13">
        <v>8.7210547933402088E-5</v>
      </c>
      <c r="G13">
        <v>7.7695765362184526E-5</v>
      </c>
      <c r="H13">
        <v>7.240044193596433E-5</v>
      </c>
      <c r="I13">
        <v>9.2483358331550469E-5</v>
      </c>
      <c r="J13">
        <f>D13+E13+F13+G13+H13+I13</f>
        <v>5.0948401982805396E-4</v>
      </c>
    </row>
    <row r="14" spans="1:10" x14ac:dyDescent="0.2">
      <c r="A14" t="s">
        <v>8</v>
      </c>
      <c r="B14">
        <v>844034133.33333302</v>
      </c>
      <c r="C14">
        <v>9.9881607741188091E-5</v>
      </c>
      <c r="D14">
        <v>1.000140441696281E-4</v>
      </c>
      <c r="E14">
        <v>1.000140441696281E-4</v>
      </c>
      <c r="F14">
        <v>1.000140441696281E-4</v>
      </c>
      <c r="G14">
        <v>1.0272864680246656E-4</v>
      </c>
      <c r="H14">
        <v>8.9102383746752936E-5</v>
      </c>
      <c r="I14">
        <v>0</v>
      </c>
      <c r="J14">
        <f>D14+E14+F14+G14+H14+I14</f>
        <v>4.9187316305810379E-4</v>
      </c>
    </row>
    <row r="15" spans="1:10" x14ac:dyDescent="0.2">
      <c r="A15" t="s">
        <v>7</v>
      </c>
      <c r="B15">
        <v>886144533.33333325</v>
      </c>
      <c r="C15">
        <v>9.7752770720269129E-6</v>
      </c>
      <c r="D15">
        <v>1.011286576522207E-5</v>
      </c>
      <c r="E15">
        <v>9.2468655009141757E-6</v>
      </c>
      <c r="F15">
        <v>1.011286576522207E-5</v>
      </c>
      <c r="G15">
        <v>8.4958727689921472E-6</v>
      </c>
      <c r="H15">
        <v>1.011286576522207E-5</v>
      </c>
      <c r="I15">
        <v>0</v>
      </c>
      <c r="J15">
        <f>D15+E15+F15+G15+H15+I15</f>
        <v>4.8081335565572538E-5</v>
      </c>
    </row>
    <row r="16" spans="1:10" x14ac:dyDescent="0.2">
      <c r="A16" t="s">
        <v>6</v>
      </c>
      <c r="B16">
        <v>945542533.33333325</v>
      </c>
      <c r="C16">
        <v>1.3678660481669718E-5</v>
      </c>
      <c r="D16">
        <v>1.3607006771600313E-5</v>
      </c>
      <c r="E16">
        <v>1.2451495432021932E-5</v>
      </c>
      <c r="F16">
        <v>1.4429695867049625E-5</v>
      </c>
      <c r="G16">
        <v>1.3607006771600313E-5</v>
      </c>
      <c r="H16">
        <v>1.4376934406077416E-5</v>
      </c>
      <c r="I16">
        <v>0</v>
      </c>
      <c r="J16">
        <f>D16+E16+F16+G16+H16+I16</f>
        <v>6.847213924834959E-5</v>
      </c>
    </row>
    <row r="17" spans="1:10" x14ac:dyDescent="0.2">
      <c r="A17" t="s">
        <v>5</v>
      </c>
      <c r="B17">
        <v>1004670000</v>
      </c>
      <c r="C17">
        <v>2.4931597933361965E-6</v>
      </c>
      <c r="D17">
        <v>2.4835949749745851E-6</v>
      </c>
      <c r="E17">
        <v>2.5490170271451756E-6</v>
      </c>
      <c r="F17">
        <v>2.4835949749745851E-6</v>
      </c>
      <c r="G17">
        <v>2.4055632167688034E-6</v>
      </c>
      <c r="H17">
        <v>2.628801910484295E-6</v>
      </c>
      <c r="I17">
        <v>0</v>
      </c>
      <c r="J17">
        <f>D17+E17+F17+G17+H17+I17</f>
        <v>1.2550572104347444E-5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D4571-0E04-6B42-AF01-E8613BA5AB4B}">
  <dimension ref="A1:AH124"/>
  <sheetViews>
    <sheetView topLeftCell="W55" zoomScale="120" zoomScaleNormal="120" workbookViewId="0">
      <selection activeCell="AF66" sqref="AF66"/>
    </sheetView>
  </sheetViews>
  <sheetFormatPr baseColWidth="10" defaultRowHeight="16" x14ac:dyDescent="0.2"/>
  <cols>
    <col min="1" max="1" width="23.1640625" bestFit="1" customWidth="1"/>
    <col min="2" max="2" width="14.1640625" bestFit="1" customWidth="1"/>
    <col min="3" max="3" width="23.1640625" bestFit="1" customWidth="1"/>
    <col min="4" max="4" width="14.1640625" bestFit="1" customWidth="1"/>
    <col min="5" max="5" width="23.1640625" bestFit="1" customWidth="1"/>
    <col min="6" max="6" width="14.1640625" bestFit="1" customWidth="1"/>
    <col min="7" max="7" width="23.1640625" bestFit="1" customWidth="1"/>
    <col min="8" max="8" width="14.1640625" bestFit="1" customWidth="1"/>
    <col min="9" max="9" width="23.33203125" bestFit="1" customWidth="1"/>
    <col min="10" max="10" width="14.1640625" bestFit="1" customWidth="1"/>
    <col min="11" max="11" width="23.1640625" bestFit="1" customWidth="1"/>
    <col min="12" max="12" width="14.1640625" bestFit="1" customWidth="1"/>
    <col min="13" max="13" width="23.1640625" bestFit="1" customWidth="1"/>
    <col min="14" max="14" width="14.1640625" bestFit="1" customWidth="1"/>
    <col min="15" max="15" width="23.1640625" bestFit="1" customWidth="1"/>
    <col min="16" max="16" width="14.1640625" bestFit="1" customWidth="1"/>
    <col min="17" max="17" width="23.33203125" bestFit="1" customWidth="1"/>
    <col min="18" max="18" width="14.1640625" bestFit="1" customWidth="1"/>
    <col min="19" max="19" width="31.1640625" bestFit="1" customWidth="1"/>
    <col min="20" max="20" width="14.1640625" bestFit="1" customWidth="1"/>
    <col min="21" max="21" width="31.1640625" bestFit="1" customWidth="1"/>
    <col min="22" max="22" width="14.1640625" bestFit="1" customWidth="1"/>
    <col min="23" max="23" width="31.1640625" bestFit="1" customWidth="1"/>
    <col min="24" max="24" width="14.1640625" bestFit="1" customWidth="1"/>
    <col min="25" max="25" width="31.1640625" bestFit="1" customWidth="1"/>
    <col min="26" max="26" width="14.1640625" bestFit="1" customWidth="1"/>
    <col min="27" max="27" width="31.1640625" bestFit="1" customWidth="1"/>
    <col min="28" max="28" width="14.1640625" bestFit="1" customWidth="1"/>
    <col min="29" max="29" width="31.1640625" style="328" bestFit="1" customWidth="1"/>
    <col min="30" max="30" width="14.1640625" bestFit="1" customWidth="1"/>
    <col min="31" max="31" width="31.1640625" bestFit="1" customWidth="1"/>
    <col min="32" max="32" width="14.1640625" style="328" bestFit="1" customWidth="1"/>
  </cols>
  <sheetData>
    <row r="1" spans="1:34" ht="22" thickTop="1" x14ac:dyDescent="0.25">
      <c r="A1" s="198" t="s">
        <v>25</v>
      </c>
      <c r="B1" s="199"/>
      <c r="C1" s="196" t="s">
        <v>24</v>
      </c>
      <c r="D1" s="197"/>
      <c r="E1" s="191" t="s">
        <v>23</v>
      </c>
      <c r="F1" s="192"/>
      <c r="G1" s="193" t="s">
        <v>22</v>
      </c>
      <c r="H1" s="200"/>
      <c r="I1" s="201" t="s">
        <v>18</v>
      </c>
      <c r="J1" s="202"/>
      <c r="K1" s="194" t="s">
        <v>17</v>
      </c>
      <c r="L1" s="195"/>
      <c r="M1" s="196" t="s">
        <v>14</v>
      </c>
      <c r="N1" s="197"/>
      <c r="O1" s="191" t="s">
        <v>13</v>
      </c>
      <c r="P1" s="192"/>
      <c r="Q1" s="193" t="s">
        <v>12</v>
      </c>
      <c r="R1" s="200"/>
      <c r="S1" s="226" t="s">
        <v>11</v>
      </c>
      <c r="T1" s="243"/>
      <c r="U1" s="244" t="s">
        <v>10</v>
      </c>
      <c r="V1" s="261"/>
      <c r="W1" s="263" t="s">
        <v>9</v>
      </c>
      <c r="X1" s="277"/>
      <c r="Y1" s="201" t="s">
        <v>8</v>
      </c>
      <c r="Z1" s="202"/>
      <c r="AA1" s="194" t="s">
        <v>7</v>
      </c>
      <c r="AB1" s="195"/>
      <c r="AC1" s="298" t="s">
        <v>6</v>
      </c>
      <c r="AD1" s="307"/>
      <c r="AE1" s="198" t="s">
        <v>5</v>
      </c>
      <c r="AF1" s="317"/>
    </row>
    <row r="2" spans="1:34" x14ac:dyDescent="0.2">
      <c r="A2" s="5" t="s">
        <v>33</v>
      </c>
      <c r="B2" s="1" t="s">
        <v>35</v>
      </c>
      <c r="C2" s="18" t="s">
        <v>33</v>
      </c>
      <c r="D2" s="1" t="s">
        <v>35</v>
      </c>
      <c r="E2" s="22" t="s">
        <v>33</v>
      </c>
      <c r="F2" s="1" t="s">
        <v>35</v>
      </c>
      <c r="G2" s="40" t="s">
        <v>33</v>
      </c>
      <c r="H2" s="1" t="s">
        <v>35</v>
      </c>
      <c r="I2" s="122" t="s">
        <v>33</v>
      </c>
      <c r="J2" s="1" t="s">
        <v>35</v>
      </c>
      <c r="K2" s="141" t="s">
        <v>33</v>
      </c>
      <c r="L2" s="1" t="s">
        <v>35</v>
      </c>
      <c r="M2" s="18" t="s">
        <v>33</v>
      </c>
      <c r="N2" s="1" t="s">
        <v>35</v>
      </c>
      <c r="O2" s="22" t="s">
        <v>33</v>
      </c>
      <c r="P2" s="1" t="s">
        <v>35</v>
      </c>
      <c r="Q2" s="40" t="s">
        <v>33</v>
      </c>
      <c r="R2" s="211" t="s">
        <v>35</v>
      </c>
      <c r="S2" s="227" t="s">
        <v>33</v>
      </c>
      <c r="T2" s="221" t="s">
        <v>35</v>
      </c>
      <c r="U2" s="245" t="s">
        <v>33</v>
      </c>
      <c r="V2" s="221" t="s">
        <v>35</v>
      </c>
      <c r="W2" s="264" t="s">
        <v>33</v>
      </c>
      <c r="X2" s="221" t="s">
        <v>35</v>
      </c>
      <c r="Y2" s="278" t="s">
        <v>33</v>
      </c>
      <c r="Z2" s="221" t="s">
        <v>35</v>
      </c>
      <c r="AA2" s="287" t="s">
        <v>33</v>
      </c>
      <c r="AB2" s="221" t="s">
        <v>35</v>
      </c>
      <c r="AC2" s="299" t="s">
        <v>33</v>
      </c>
      <c r="AD2" s="221" t="s">
        <v>35</v>
      </c>
      <c r="AE2" s="318" t="s">
        <v>33</v>
      </c>
      <c r="AF2" s="319" t="s">
        <v>35</v>
      </c>
    </row>
    <row r="3" spans="1:34" x14ac:dyDescent="0.2">
      <c r="A3" s="6" t="s">
        <v>26</v>
      </c>
      <c r="B3">
        <v>32</v>
      </c>
      <c r="C3" s="13" t="s">
        <v>26</v>
      </c>
      <c r="D3">
        <v>64</v>
      </c>
      <c r="E3" s="23" t="s">
        <v>26</v>
      </c>
      <c r="F3" s="20">
        <v>45</v>
      </c>
      <c r="G3" s="38" t="s">
        <v>26</v>
      </c>
      <c r="H3">
        <v>64</v>
      </c>
      <c r="I3" s="119" t="s">
        <v>26</v>
      </c>
      <c r="J3">
        <v>16</v>
      </c>
      <c r="K3" s="140" t="s">
        <v>26</v>
      </c>
      <c r="L3">
        <v>64</v>
      </c>
      <c r="M3" s="13" t="s">
        <v>26</v>
      </c>
      <c r="N3">
        <v>11</v>
      </c>
      <c r="O3" s="23" t="s">
        <v>26</v>
      </c>
      <c r="P3">
        <v>64</v>
      </c>
      <c r="Q3" s="38" t="s">
        <v>26</v>
      </c>
      <c r="R3" s="209">
        <v>64</v>
      </c>
      <c r="S3" s="87" t="s">
        <v>26</v>
      </c>
      <c r="T3" s="209">
        <v>32</v>
      </c>
      <c r="U3" s="98" t="s">
        <v>26</v>
      </c>
      <c r="V3" s="209">
        <v>32</v>
      </c>
      <c r="W3" s="108" t="s">
        <v>26</v>
      </c>
      <c r="X3" s="209">
        <v>22.6</v>
      </c>
      <c r="Y3" s="119" t="s">
        <v>26</v>
      </c>
      <c r="Z3" s="275">
        <v>32</v>
      </c>
      <c r="AA3" s="140" t="s">
        <v>26</v>
      </c>
      <c r="AB3" s="209">
        <v>64</v>
      </c>
      <c r="AC3" s="322" t="s">
        <v>26</v>
      </c>
      <c r="AD3" s="209">
        <v>90</v>
      </c>
      <c r="AE3" s="6" t="s">
        <v>26</v>
      </c>
      <c r="AF3" s="329">
        <v>128</v>
      </c>
    </row>
    <row r="4" spans="1:34" x14ac:dyDescent="0.2">
      <c r="A4" s="6"/>
      <c r="B4">
        <v>64</v>
      </c>
      <c r="C4" s="13"/>
      <c r="D4">
        <v>16</v>
      </c>
      <c r="E4" s="23"/>
      <c r="F4" s="20">
        <v>32</v>
      </c>
      <c r="G4" s="38"/>
      <c r="H4">
        <v>22.6</v>
      </c>
      <c r="I4" s="119"/>
      <c r="J4">
        <v>22.6</v>
      </c>
      <c r="K4" s="140"/>
      <c r="L4">
        <v>180</v>
      </c>
      <c r="M4" s="13"/>
      <c r="N4">
        <v>301</v>
      </c>
      <c r="O4" s="23"/>
      <c r="P4">
        <v>301</v>
      </c>
      <c r="Q4" s="38"/>
      <c r="R4" s="209">
        <v>64</v>
      </c>
      <c r="S4" s="87"/>
      <c r="T4" s="209">
        <v>45</v>
      </c>
      <c r="U4" s="98"/>
      <c r="V4" s="209">
        <v>16</v>
      </c>
      <c r="W4" s="108"/>
      <c r="X4" s="209">
        <v>90</v>
      </c>
      <c r="Y4" s="119"/>
      <c r="Z4" s="275">
        <v>64</v>
      </c>
      <c r="AA4" s="140"/>
      <c r="AB4" s="209">
        <v>64</v>
      </c>
      <c r="AC4" s="323"/>
      <c r="AD4" s="209">
        <v>64</v>
      </c>
      <c r="AE4" s="6"/>
      <c r="AF4" s="329">
        <v>32</v>
      </c>
    </row>
    <row r="5" spans="1:34" x14ac:dyDescent="0.2">
      <c r="A5" s="6"/>
      <c r="B5">
        <v>22.6</v>
      </c>
      <c r="C5" s="13"/>
      <c r="D5">
        <v>22.6</v>
      </c>
      <c r="E5" s="23"/>
      <c r="F5" s="20">
        <v>301</v>
      </c>
      <c r="G5" s="38"/>
      <c r="H5">
        <v>22.6</v>
      </c>
      <c r="I5" s="119"/>
      <c r="J5">
        <v>16</v>
      </c>
      <c r="K5" s="140"/>
      <c r="L5">
        <v>180</v>
      </c>
      <c r="M5" s="13"/>
      <c r="N5">
        <v>301</v>
      </c>
      <c r="O5" s="23"/>
      <c r="P5">
        <v>128</v>
      </c>
      <c r="Q5" s="38"/>
      <c r="R5" s="209">
        <v>180</v>
      </c>
      <c r="S5" s="87"/>
      <c r="T5" s="209">
        <v>45</v>
      </c>
      <c r="U5" s="98"/>
      <c r="V5" s="209">
        <v>22.6</v>
      </c>
      <c r="W5" s="108"/>
      <c r="X5" s="209">
        <v>22.6</v>
      </c>
      <c r="Y5" s="119"/>
      <c r="Z5" s="275">
        <v>45</v>
      </c>
      <c r="AA5" s="140"/>
      <c r="AB5" s="209">
        <v>64</v>
      </c>
      <c r="AC5" s="323"/>
      <c r="AD5" s="209">
        <v>45</v>
      </c>
      <c r="AE5" s="6"/>
      <c r="AF5" s="329">
        <v>32</v>
      </c>
    </row>
    <row r="6" spans="1:34" x14ac:dyDescent="0.2">
      <c r="A6" s="6"/>
      <c r="B6">
        <v>22.6</v>
      </c>
      <c r="C6" s="13"/>
      <c r="D6">
        <v>32</v>
      </c>
      <c r="E6" s="23"/>
      <c r="F6" s="20">
        <v>301</v>
      </c>
      <c r="G6" s="38"/>
      <c r="H6">
        <v>64</v>
      </c>
      <c r="I6" s="119"/>
      <c r="J6">
        <v>32</v>
      </c>
      <c r="K6" s="140"/>
      <c r="L6">
        <v>128</v>
      </c>
      <c r="M6" s="13"/>
      <c r="N6">
        <v>301</v>
      </c>
      <c r="O6" s="23"/>
      <c r="P6">
        <v>22.6</v>
      </c>
      <c r="Q6" s="38"/>
      <c r="R6" s="209">
        <v>64</v>
      </c>
      <c r="S6" s="87"/>
      <c r="T6" s="209">
        <v>32</v>
      </c>
      <c r="U6" s="98"/>
      <c r="V6" s="209">
        <v>8</v>
      </c>
      <c r="W6" s="108"/>
      <c r="X6" s="209">
        <v>45</v>
      </c>
      <c r="Y6" s="119"/>
      <c r="Z6" s="275">
        <v>128</v>
      </c>
      <c r="AA6" s="140"/>
      <c r="AB6" s="209">
        <v>22.6</v>
      </c>
      <c r="AC6" s="323"/>
      <c r="AD6" s="209">
        <v>90</v>
      </c>
      <c r="AE6" s="6"/>
      <c r="AF6" s="329">
        <v>90</v>
      </c>
    </row>
    <row r="7" spans="1:34" x14ac:dyDescent="0.2">
      <c r="A7" s="6"/>
      <c r="B7">
        <v>32</v>
      </c>
      <c r="C7" s="13"/>
      <c r="D7">
        <v>22.6</v>
      </c>
      <c r="E7" s="23"/>
      <c r="F7" s="20">
        <v>90</v>
      </c>
      <c r="G7" s="38"/>
      <c r="H7">
        <v>45</v>
      </c>
      <c r="I7" s="119"/>
      <c r="J7">
        <v>22.6</v>
      </c>
      <c r="K7" s="140"/>
      <c r="L7">
        <v>64</v>
      </c>
      <c r="M7" s="13"/>
      <c r="N7">
        <v>16</v>
      </c>
      <c r="O7" s="23"/>
      <c r="P7">
        <v>301</v>
      </c>
      <c r="Q7" s="38"/>
      <c r="R7" s="209">
        <v>64</v>
      </c>
      <c r="S7" s="87"/>
      <c r="T7" s="209">
        <v>90</v>
      </c>
      <c r="U7" s="98"/>
      <c r="V7" s="209">
        <v>45</v>
      </c>
      <c r="W7" s="108"/>
      <c r="X7" s="209">
        <v>22.6</v>
      </c>
      <c r="Y7" s="119"/>
      <c r="Z7" s="275">
        <v>64</v>
      </c>
      <c r="AA7" s="140"/>
      <c r="AB7" s="209">
        <v>64</v>
      </c>
      <c r="AC7" s="323"/>
      <c r="AD7" s="209">
        <v>45</v>
      </c>
      <c r="AE7" s="6"/>
      <c r="AF7" s="329">
        <v>22.6</v>
      </c>
    </row>
    <row r="8" spans="1:34" x14ac:dyDescent="0.2">
      <c r="A8" s="6"/>
      <c r="B8">
        <v>45</v>
      </c>
      <c r="C8" s="13"/>
      <c r="D8">
        <v>45</v>
      </c>
      <c r="E8" s="23"/>
      <c r="F8" s="20">
        <v>128</v>
      </c>
      <c r="G8" s="38"/>
      <c r="H8">
        <v>45</v>
      </c>
      <c r="I8" s="119"/>
      <c r="J8">
        <v>45</v>
      </c>
      <c r="K8" s="140"/>
      <c r="L8">
        <v>64</v>
      </c>
      <c r="M8" s="13"/>
      <c r="N8">
        <v>11</v>
      </c>
      <c r="O8" s="23"/>
      <c r="P8">
        <v>16</v>
      </c>
      <c r="Q8" s="38"/>
      <c r="R8" s="209">
        <v>90</v>
      </c>
      <c r="S8" s="87"/>
      <c r="T8" s="209">
        <v>300</v>
      </c>
      <c r="U8" s="98"/>
      <c r="V8" s="209">
        <v>22.6</v>
      </c>
      <c r="W8" s="108"/>
      <c r="X8" s="209">
        <v>16</v>
      </c>
      <c r="Y8" s="119"/>
      <c r="Z8" s="275">
        <v>64</v>
      </c>
      <c r="AA8" s="140"/>
      <c r="AB8" s="209">
        <v>32</v>
      </c>
      <c r="AC8" s="323"/>
      <c r="AD8" s="209">
        <v>300</v>
      </c>
      <c r="AE8" s="6"/>
      <c r="AF8" s="329">
        <v>45</v>
      </c>
    </row>
    <row r="9" spans="1:34" x14ac:dyDescent="0.2">
      <c r="A9" s="6"/>
      <c r="B9">
        <v>11</v>
      </c>
      <c r="C9" s="13"/>
      <c r="D9">
        <v>64</v>
      </c>
      <c r="E9" s="23"/>
      <c r="F9" s="20">
        <v>300</v>
      </c>
      <c r="G9" s="38"/>
      <c r="H9">
        <v>301</v>
      </c>
      <c r="I9" s="119"/>
      <c r="J9">
        <v>16</v>
      </c>
      <c r="K9" s="140"/>
      <c r="L9">
        <v>301</v>
      </c>
      <c r="M9" s="13"/>
      <c r="N9">
        <v>22.6</v>
      </c>
      <c r="O9" s="23"/>
      <c r="P9">
        <v>64</v>
      </c>
      <c r="Q9" s="38"/>
      <c r="R9" s="209">
        <v>90</v>
      </c>
      <c r="S9" s="87"/>
      <c r="T9" s="209">
        <v>90</v>
      </c>
      <c r="U9" s="98"/>
      <c r="V9" s="209">
        <v>22.6</v>
      </c>
      <c r="W9" s="108"/>
      <c r="X9" s="209">
        <v>22.6</v>
      </c>
      <c r="Y9" s="119"/>
      <c r="Z9" s="275">
        <v>16</v>
      </c>
      <c r="AA9" s="140"/>
      <c r="AB9" s="209">
        <v>22.6</v>
      </c>
      <c r="AC9" s="323"/>
      <c r="AD9" s="209">
        <v>22.6</v>
      </c>
      <c r="AE9" s="6"/>
      <c r="AF9" s="329">
        <v>32</v>
      </c>
    </row>
    <row r="10" spans="1:34" x14ac:dyDescent="0.2">
      <c r="A10" s="6"/>
      <c r="B10">
        <v>11</v>
      </c>
      <c r="C10" s="13"/>
      <c r="D10">
        <v>32</v>
      </c>
      <c r="E10" s="23"/>
      <c r="F10" s="20">
        <v>64</v>
      </c>
      <c r="G10" s="38"/>
      <c r="H10">
        <v>45</v>
      </c>
      <c r="I10" s="123"/>
      <c r="J10">
        <v>180</v>
      </c>
      <c r="K10" s="140"/>
      <c r="L10">
        <v>128</v>
      </c>
      <c r="M10" s="13"/>
      <c r="N10">
        <v>22.6</v>
      </c>
      <c r="O10" s="23"/>
      <c r="P10">
        <v>90</v>
      </c>
      <c r="Q10" s="38"/>
      <c r="R10" s="209">
        <v>180</v>
      </c>
      <c r="S10" s="87"/>
      <c r="T10" s="209">
        <v>64</v>
      </c>
      <c r="U10" s="98"/>
      <c r="V10" s="209">
        <v>22.6</v>
      </c>
      <c r="W10" s="108"/>
      <c r="X10" s="209">
        <v>22.6</v>
      </c>
      <c r="Y10" s="119"/>
      <c r="Z10" s="275">
        <v>45</v>
      </c>
      <c r="AA10" s="140"/>
      <c r="AB10" s="209">
        <v>64</v>
      </c>
      <c r="AC10" s="323"/>
      <c r="AD10" s="209">
        <v>64</v>
      </c>
      <c r="AE10" s="6"/>
      <c r="AF10" s="329">
        <v>90</v>
      </c>
      <c r="AG10" s="209"/>
    </row>
    <row r="11" spans="1:34" x14ac:dyDescent="0.2">
      <c r="A11" s="6"/>
      <c r="B11">
        <v>301</v>
      </c>
      <c r="C11" s="13"/>
      <c r="D11">
        <v>45</v>
      </c>
      <c r="E11" s="23"/>
      <c r="F11" s="20">
        <v>180</v>
      </c>
      <c r="G11" s="38"/>
      <c r="H11">
        <v>32</v>
      </c>
      <c r="I11" s="123"/>
      <c r="J11">
        <v>301</v>
      </c>
      <c r="K11" s="140"/>
      <c r="L11">
        <v>180</v>
      </c>
      <c r="M11" s="13"/>
      <c r="N11">
        <v>16</v>
      </c>
      <c r="O11" s="23"/>
      <c r="P11">
        <v>128</v>
      </c>
      <c r="Q11" s="38"/>
      <c r="R11" s="209">
        <v>64</v>
      </c>
      <c r="S11" s="87"/>
      <c r="T11" s="209">
        <v>64</v>
      </c>
      <c r="U11" s="98"/>
      <c r="V11" s="209">
        <v>128</v>
      </c>
      <c r="W11" s="108"/>
      <c r="X11" s="209">
        <v>128</v>
      </c>
      <c r="Y11" s="119"/>
      <c r="Z11" s="275">
        <v>64</v>
      </c>
      <c r="AA11" s="140"/>
      <c r="AB11" s="209">
        <v>45</v>
      </c>
      <c r="AC11" s="323"/>
      <c r="AD11" s="209">
        <v>64</v>
      </c>
      <c r="AE11" s="6"/>
      <c r="AF11" s="329">
        <v>128</v>
      </c>
      <c r="AG11" s="209"/>
    </row>
    <row r="12" spans="1:34" x14ac:dyDescent="0.2">
      <c r="A12" s="6"/>
      <c r="B12">
        <v>16</v>
      </c>
      <c r="C12" s="13"/>
      <c r="D12">
        <v>90</v>
      </c>
      <c r="E12" s="23"/>
      <c r="F12" s="20">
        <v>128</v>
      </c>
      <c r="G12" s="38"/>
      <c r="H12">
        <v>32</v>
      </c>
      <c r="I12" s="119"/>
      <c r="J12">
        <v>45</v>
      </c>
      <c r="K12" s="140"/>
      <c r="L12">
        <v>45</v>
      </c>
      <c r="M12" s="13"/>
      <c r="N12">
        <v>16</v>
      </c>
      <c r="O12" s="23"/>
      <c r="P12">
        <v>16</v>
      </c>
      <c r="Q12" s="38"/>
      <c r="R12" s="209">
        <v>128</v>
      </c>
      <c r="S12" s="87"/>
      <c r="T12" s="209">
        <v>90</v>
      </c>
      <c r="U12" s="98"/>
      <c r="V12" s="209">
        <v>64</v>
      </c>
      <c r="W12" s="108"/>
      <c r="X12" s="209">
        <v>300</v>
      </c>
      <c r="Y12" s="119"/>
      <c r="Z12" s="275">
        <v>32</v>
      </c>
      <c r="AA12" s="140"/>
      <c r="AB12" s="209">
        <v>16</v>
      </c>
      <c r="AC12" s="323"/>
      <c r="AD12" s="209">
        <v>64</v>
      </c>
      <c r="AE12" s="6"/>
      <c r="AF12" s="329">
        <v>90</v>
      </c>
      <c r="AG12" s="275"/>
      <c r="AH12" s="275"/>
    </row>
    <row r="13" spans="1:34" x14ac:dyDescent="0.2">
      <c r="A13" s="6"/>
      <c r="B13">
        <v>22.6</v>
      </c>
      <c r="C13" s="13"/>
      <c r="D13">
        <v>300</v>
      </c>
      <c r="E13" s="23"/>
      <c r="F13" s="20">
        <v>180</v>
      </c>
      <c r="G13" s="38"/>
      <c r="H13">
        <v>301</v>
      </c>
      <c r="I13" s="119"/>
      <c r="J13">
        <v>45</v>
      </c>
      <c r="K13" s="140"/>
      <c r="L13">
        <v>90</v>
      </c>
      <c r="M13" s="13"/>
      <c r="N13">
        <v>16</v>
      </c>
      <c r="O13" s="23"/>
      <c r="P13">
        <v>64</v>
      </c>
      <c r="Q13" s="38"/>
      <c r="R13" s="209">
        <v>45</v>
      </c>
      <c r="S13" s="87"/>
      <c r="T13" s="209">
        <v>180</v>
      </c>
      <c r="U13" s="98"/>
      <c r="V13" s="209">
        <v>90</v>
      </c>
      <c r="W13" s="108"/>
      <c r="X13" s="209">
        <v>45</v>
      </c>
      <c r="Y13" s="119"/>
      <c r="Z13" s="275">
        <v>32</v>
      </c>
      <c r="AA13" s="140"/>
      <c r="AB13" s="209">
        <v>45</v>
      </c>
      <c r="AC13" s="323"/>
      <c r="AD13" s="209">
        <v>180</v>
      </c>
      <c r="AE13" s="6"/>
      <c r="AF13" s="329">
        <v>32</v>
      </c>
      <c r="AG13" s="209"/>
      <c r="AH13" s="275"/>
    </row>
    <row r="14" spans="1:34" x14ac:dyDescent="0.2">
      <c r="A14" s="6"/>
      <c r="B14">
        <v>32</v>
      </c>
      <c r="C14" s="13"/>
      <c r="D14">
        <v>128</v>
      </c>
      <c r="E14" s="23"/>
      <c r="F14" s="20">
        <v>180</v>
      </c>
      <c r="G14" s="38"/>
      <c r="H14">
        <v>22.6</v>
      </c>
      <c r="I14" s="119"/>
      <c r="J14">
        <v>22.6</v>
      </c>
      <c r="K14" s="140"/>
      <c r="L14">
        <v>128</v>
      </c>
      <c r="M14" s="13"/>
      <c r="N14">
        <v>16</v>
      </c>
      <c r="O14" s="23"/>
      <c r="P14">
        <v>32</v>
      </c>
      <c r="Q14" s="38"/>
      <c r="R14" s="209">
        <v>128</v>
      </c>
      <c r="S14" s="87"/>
      <c r="T14" s="209">
        <v>180</v>
      </c>
      <c r="U14" s="98"/>
      <c r="V14" s="209">
        <v>90</v>
      </c>
      <c r="W14" s="108"/>
      <c r="X14" s="209">
        <v>64</v>
      </c>
      <c r="Y14" s="119"/>
      <c r="Z14" s="275">
        <v>90</v>
      </c>
      <c r="AA14" s="140"/>
      <c r="AB14" s="209">
        <v>90</v>
      </c>
      <c r="AC14" s="323"/>
      <c r="AD14" s="209">
        <v>16</v>
      </c>
      <c r="AE14" s="6"/>
      <c r="AF14" s="329">
        <v>16</v>
      </c>
      <c r="AG14" s="275"/>
      <c r="AH14" s="275"/>
    </row>
    <row r="15" spans="1:34" x14ac:dyDescent="0.2">
      <c r="A15" s="6"/>
      <c r="B15">
        <v>16</v>
      </c>
      <c r="C15" s="13"/>
      <c r="D15">
        <v>180</v>
      </c>
      <c r="E15" s="23"/>
      <c r="F15" s="20">
        <v>128</v>
      </c>
      <c r="G15" s="38"/>
      <c r="H15">
        <v>45</v>
      </c>
      <c r="I15" s="119"/>
      <c r="J15">
        <v>90</v>
      </c>
      <c r="K15" s="140"/>
      <c r="L15">
        <v>64</v>
      </c>
      <c r="M15" s="13"/>
      <c r="N15">
        <v>22.6</v>
      </c>
      <c r="O15" s="23"/>
      <c r="P15">
        <v>301</v>
      </c>
      <c r="Q15" s="38"/>
      <c r="R15" s="209">
        <v>128</v>
      </c>
      <c r="S15" s="87"/>
      <c r="T15" s="209">
        <v>180</v>
      </c>
      <c r="U15" s="98"/>
      <c r="V15" s="209">
        <v>180</v>
      </c>
      <c r="W15" s="108"/>
      <c r="X15" s="209">
        <v>32</v>
      </c>
      <c r="Y15" s="119"/>
      <c r="Z15" s="275">
        <v>22.6</v>
      </c>
      <c r="AA15" s="140"/>
      <c r="AB15" s="209">
        <v>180</v>
      </c>
      <c r="AC15" s="323"/>
      <c r="AD15" s="209">
        <v>32</v>
      </c>
      <c r="AE15" s="6"/>
      <c r="AF15" s="329">
        <v>22.6</v>
      </c>
      <c r="AG15" s="275"/>
      <c r="AH15" s="275"/>
    </row>
    <row r="16" spans="1:34" x14ac:dyDescent="0.2">
      <c r="A16" s="6"/>
      <c r="B16">
        <v>32</v>
      </c>
      <c r="C16" s="13"/>
      <c r="D16">
        <v>90</v>
      </c>
      <c r="E16" s="23"/>
      <c r="F16" s="20">
        <v>301</v>
      </c>
      <c r="G16" s="38"/>
      <c r="H16">
        <v>301</v>
      </c>
      <c r="I16" s="119"/>
      <c r="J16">
        <v>180</v>
      </c>
      <c r="K16" s="140"/>
      <c r="L16">
        <v>90</v>
      </c>
      <c r="M16" s="13"/>
      <c r="N16">
        <v>128</v>
      </c>
      <c r="O16" s="23"/>
      <c r="P16">
        <v>64</v>
      </c>
      <c r="Q16" s="38"/>
      <c r="R16" s="209">
        <v>301</v>
      </c>
      <c r="S16" s="87"/>
      <c r="T16" s="209">
        <v>128</v>
      </c>
      <c r="U16" s="98"/>
      <c r="V16" s="209">
        <v>128</v>
      </c>
      <c r="W16" s="108"/>
      <c r="X16" s="209">
        <v>128</v>
      </c>
      <c r="Y16" s="119"/>
      <c r="Z16" s="275">
        <v>16</v>
      </c>
      <c r="AA16" s="140"/>
      <c r="AB16" s="209">
        <v>22.6</v>
      </c>
      <c r="AC16" s="323"/>
      <c r="AD16" s="209">
        <v>128</v>
      </c>
      <c r="AE16" s="6"/>
      <c r="AF16" s="329">
        <v>64</v>
      </c>
      <c r="AG16" s="209"/>
      <c r="AH16" s="275"/>
    </row>
    <row r="17" spans="1:34" x14ac:dyDescent="0.2">
      <c r="A17" s="6"/>
      <c r="B17">
        <v>16</v>
      </c>
      <c r="C17" s="13"/>
      <c r="D17">
        <v>300</v>
      </c>
      <c r="E17" s="23"/>
      <c r="F17" s="20">
        <v>180</v>
      </c>
      <c r="G17" s="38"/>
      <c r="H17">
        <v>45</v>
      </c>
      <c r="I17" s="119"/>
      <c r="J17">
        <v>300</v>
      </c>
      <c r="K17" s="140"/>
      <c r="L17">
        <v>32</v>
      </c>
      <c r="M17" s="13"/>
      <c r="N17">
        <v>22.6</v>
      </c>
      <c r="O17" s="23"/>
      <c r="P17">
        <v>32</v>
      </c>
      <c r="Q17" s="38"/>
      <c r="R17" s="209">
        <v>8</v>
      </c>
      <c r="S17" s="87"/>
      <c r="T17" s="209">
        <v>90</v>
      </c>
      <c r="U17" s="98"/>
      <c r="V17" s="209">
        <v>90</v>
      </c>
      <c r="W17" s="108"/>
      <c r="X17" s="209">
        <v>301</v>
      </c>
      <c r="Y17" s="119"/>
      <c r="Z17" s="275">
        <v>45</v>
      </c>
      <c r="AA17" s="140"/>
      <c r="AB17" s="209">
        <v>90</v>
      </c>
      <c r="AC17" s="323"/>
      <c r="AD17" s="209">
        <v>90</v>
      </c>
      <c r="AE17" s="6"/>
      <c r="AF17" s="329">
        <v>64</v>
      </c>
      <c r="AG17" s="209"/>
      <c r="AH17" s="275"/>
    </row>
    <row r="18" spans="1:34" x14ac:dyDescent="0.2">
      <c r="A18" s="6"/>
      <c r="B18">
        <v>16</v>
      </c>
      <c r="C18" s="13"/>
      <c r="D18">
        <v>301</v>
      </c>
      <c r="E18" s="23"/>
      <c r="F18" s="20">
        <v>128</v>
      </c>
      <c r="G18" s="38"/>
      <c r="H18">
        <v>45</v>
      </c>
      <c r="I18" s="119"/>
      <c r="J18">
        <v>128</v>
      </c>
      <c r="K18" s="140"/>
      <c r="L18">
        <v>45</v>
      </c>
      <c r="M18" s="13"/>
      <c r="N18">
        <v>180</v>
      </c>
      <c r="O18" s="23"/>
      <c r="P18">
        <v>180</v>
      </c>
      <c r="Q18" s="38"/>
      <c r="R18" s="209">
        <v>180</v>
      </c>
      <c r="S18" s="87"/>
      <c r="T18" s="209">
        <v>16</v>
      </c>
      <c r="U18" s="98"/>
      <c r="V18" s="209">
        <v>64</v>
      </c>
      <c r="W18" s="108"/>
      <c r="X18" s="209">
        <v>45</v>
      </c>
      <c r="Y18" s="119"/>
      <c r="Z18" s="275">
        <v>22.6</v>
      </c>
      <c r="AA18" s="140"/>
      <c r="AB18" s="209">
        <v>45</v>
      </c>
      <c r="AC18" s="323"/>
      <c r="AD18" s="220">
        <v>32</v>
      </c>
      <c r="AE18" s="6"/>
      <c r="AF18" s="329">
        <v>45</v>
      </c>
      <c r="AG18" s="275"/>
      <c r="AH18" s="275"/>
    </row>
    <row r="19" spans="1:34" x14ac:dyDescent="0.2">
      <c r="A19" s="6"/>
      <c r="B19">
        <v>11</v>
      </c>
      <c r="C19" s="13"/>
      <c r="D19">
        <v>90</v>
      </c>
      <c r="E19" s="23"/>
      <c r="F19" s="20">
        <v>180</v>
      </c>
      <c r="G19" s="38"/>
      <c r="H19">
        <v>301</v>
      </c>
      <c r="I19" s="119"/>
      <c r="J19">
        <v>300</v>
      </c>
      <c r="K19" s="140"/>
      <c r="L19">
        <v>300</v>
      </c>
      <c r="M19" s="13"/>
      <c r="N19">
        <v>22.6</v>
      </c>
      <c r="O19" s="23"/>
      <c r="P19">
        <v>90</v>
      </c>
      <c r="Q19" s="38"/>
      <c r="R19" s="209">
        <v>22.6</v>
      </c>
      <c r="S19" s="87"/>
      <c r="T19" s="209">
        <v>128</v>
      </c>
      <c r="U19" s="98"/>
      <c r="V19" s="209">
        <v>64</v>
      </c>
      <c r="W19" s="108"/>
      <c r="X19" s="209">
        <v>64</v>
      </c>
      <c r="Y19" s="119"/>
      <c r="Z19" s="275">
        <v>128</v>
      </c>
      <c r="AA19" s="140"/>
      <c r="AB19" s="209">
        <v>22.6</v>
      </c>
      <c r="AC19" s="323"/>
      <c r="AD19" s="209">
        <v>64</v>
      </c>
      <c r="AE19" s="6"/>
      <c r="AF19" s="329">
        <v>64</v>
      </c>
      <c r="AG19" s="275"/>
      <c r="AH19" s="275"/>
    </row>
    <row r="20" spans="1:34" x14ac:dyDescent="0.2">
      <c r="A20" s="6"/>
      <c r="B20">
        <v>90</v>
      </c>
      <c r="C20" s="13"/>
      <c r="D20">
        <v>301</v>
      </c>
      <c r="E20" s="23"/>
      <c r="F20" s="20">
        <v>128</v>
      </c>
      <c r="G20" s="38"/>
      <c r="H20">
        <v>301</v>
      </c>
      <c r="I20" s="123"/>
      <c r="J20">
        <v>64</v>
      </c>
      <c r="K20" s="140"/>
      <c r="L20">
        <v>90</v>
      </c>
      <c r="M20" s="13"/>
      <c r="N20">
        <v>32</v>
      </c>
      <c r="O20" s="23"/>
      <c r="P20">
        <v>64</v>
      </c>
      <c r="Q20" s="38"/>
      <c r="R20" s="209">
        <v>180</v>
      </c>
      <c r="S20" s="87"/>
      <c r="T20" s="209">
        <v>128</v>
      </c>
      <c r="U20" s="98"/>
      <c r="V20" s="209">
        <v>16</v>
      </c>
      <c r="W20" s="108"/>
      <c r="X20" s="209">
        <v>45</v>
      </c>
      <c r="Y20" s="119"/>
      <c r="Z20" s="275">
        <v>128</v>
      </c>
      <c r="AA20" s="140"/>
      <c r="AB20" s="209">
        <v>45</v>
      </c>
      <c r="AC20" s="323"/>
      <c r="AD20" s="209">
        <v>32</v>
      </c>
      <c r="AE20" s="6"/>
      <c r="AF20" s="329">
        <v>16</v>
      </c>
      <c r="AG20" s="209"/>
      <c r="AH20" s="275"/>
    </row>
    <row r="21" spans="1:34" x14ac:dyDescent="0.2">
      <c r="A21" s="6"/>
      <c r="B21">
        <v>128</v>
      </c>
      <c r="C21" s="13"/>
      <c r="D21">
        <v>64</v>
      </c>
      <c r="E21" s="23"/>
      <c r="F21" s="20">
        <v>128</v>
      </c>
      <c r="G21" s="38"/>
      <c r="H21">
        <v>128</v>
      </c>
      <c r="I21" s="119"/>
      <c r="J21">
        <v>128</v>
      </c>
      <c r="K21" s="140"/>
      <c r="L21">
        <v>90</v>
      </c>
      <c r="M21" s="13"/>
      <c r="N21">
        <v>32</v>
      </c>
      <c r="O21" s="23"/>
      <c r="P21">
        <v>128</v>
      </c>
      <c r="Q21" s="38"/>
      <c r="R21" s="209">
        <v>180</v>
      </c>
      <c r="S21" s="87"/>
      <c r="T21" s="209">
        <v>90</v>
      </c>
      <c r="U21" s="98"/>
      <c r="V21" s="209">
        <v>64</v>
      </c>
      <c r="W21" s="108"/>
      <c r="X21" s="209">
        <v>22.6</v>
      </c>
      <c r="Y21" s="119"/>
      <c r="Z21" s="275">
        <v>32</v>
      </c>
      <c r="AA21" s="140"/>
      <c r="AB21" s="209">
        <v>128</v>
      </c>
      <c r="AC21" s="323"/>
      <c r="AD21" s="209">
        <v>300</v>
      </c>
      <c r="AE21" s="6"/>
      <c r="AF21" s="329">
        <v>64</v>
      </c>
      <c r="AG21" s="275"/>
      <c r="AH21" s="275"/>
    </row>
    <row r="22" spans="1:34" x14ac:dyDescent="0.2">
      <c r="A22" s="6"/>
      <c r="B22">
        <v>90</v>
      </c>
      <c r="C22" s="13"/>
      <c r="D22">
        <v>90</v>
      </c>
      <c r="E22" s="23"/>
      <c r="F22" s="20">
        <v>301</v>
      </c>
      <c r="G22" s="38"/>
      <c r="H22">
        <v>64</v>
      </c>
      <c r="I22" s="119"/>
      <c r="J22">
        <v>64</v>
      </c>
      <c r="K22" s="140"/>
      <c r="L22">
        <v>180</v>
      </c>
      <c r="M22" s="13"/>
      <c r="N22">
        <v>180</v>
      </c>
      <c r="O22" s="23"/>
      <c r="P22">
        <v>301</v>
      </c>
      <c r="Q22" s="38"/>
      <c r="R22" s="209">
        <v>16</v>
      </c>
      <c r="S22" s="87"/>
      <c r="T22" s="209">
        <v>22.6</v>
      </c>
      <c r="U22" s="98"/>
      <c r="V22" s="209">
        <v>45</v>
      </c>
      <c r="W22" s="108"/>
      <c r="X22" s="209">
        <v>90</v>
      </c>
      <c r="Y22" s="119"/>
      <c r="Z22" s="275">
        <v>64</v>
      </c>
      <c r="AA22" s="140"/>
      <c r="AB22" s="209">
        <v>32</v>
      </c>
      <c r="AC22" s="323"/>
      <c r="AD22" s="209">
        <v>128</v>
      </c>
      <c r="AE22" s="6"/>
      <c r="AF22" s="329">
        <v>90</v>
      </c>
      <c r="AG22" s="275"/>
      <c r="AH22" s="275"/>
    </row>
    <row r="23" spans="1:34" x14ac:dyDescent="0.2">
      <c r="A23" s="6"/>
      <c r="B23">
        <v>301</v>
      </c>
      <c r="C23" s="13"/>
      <c r="D23">
        <v>32</v>
      </c>
      <c r="E23" s="23"/>
      <c r="F23" s="20">
        <v>128</v>
      </c>
      <c r="G23" s="38"/>
      <c r="H23">
        <v>90</v>
      </c>
      <c r="I23" s="123"/>
      <c r="J23">
        <v>180</v>
      </c>
      <c r="K23" s="140"/>
      <c r="L23">
        <v>301</v>
      </c>
      <c r="M23" s="13"/>
      <c r="N23">
        <v>90</v>
      </c>
      <c r="O23" s="23"/>
      <c r="P23">
        <v>11</v>
      </c>
      <c r="Q23" s="38"/>
      <c r="R23" s="209">
        <v>8</v>
      </c>
      <c r="S23" s="87"/>
      <c r="T23" s="209">
        <v>45</v>
      </c>
      <c r="U23" s="98"/>
      <c r="V23" s="209">
        <v>32</v>
      </c>
      <c r="W23" s="108"/>
      <c r="X23" s="209">
        <v>180</v>
      </c>
      <c r="Y23" s="119"/>
      <c r="Z23" s="275">
        <v>45</v>
      </c>
      <c r="AA23" s="140"/>
      <c r="AB23" s="209">
        <v>90</v>
      </c>
      <c r="AC23" s="323"/>
      <c r="AD23" s="209">
        <v>128</v>
      </c>
      <c r="AE23" s="6"/>
      <c r="AF23" s="329">
        <v>45</v>
      </c>
      <c r="AG23" s="209"/>
      <c r="AH23" s="275"/>
    </row>
    <row r="24" spans="1:34" x14ac:dyDescent="0.2">
      <c r="A24" s="6"/>
      <c r="B24">
        <v>128</v>
      </c>
      <c r="C24" s="13"/>
      <c r="D24">
        <v>180</v>
      </c>
      <c r="E24" s="23"/>
      <c r="F24" s="20">
        <v>301</v>
      </c>
      <c r="G24" s="38"/>
      <c r="H24">
        <v>128</v>
      </c>
      <c r="I24" s="119"/>
      <c r="J24">
        <v>301</v>
      </c>
      <c r="K24" s="140"/>
      <c r="L24">
        <v>180</v>
      </c>
      <c r="M24" s="13"/>
      <c r="N24">
        <v>128</v>
      </c>
      <c r="O24" s="23"/>
      <c r="P24">
        <v>64</v>
      </c>
      <c r="Q24" s="38"/>
      <c r="R24" s="209">
        <v>22.6</v>
      </c>
      <c r="S24" s="87"/>
      <c r="T24" s="209">
        <v>22.6</v>
      </c>
      <c r="U24" s="98"/>
      <c r="V24" s="209">
        <v>45</v>
      </c>
      <c r="W24" s="108"/>
      <c r="X24" s="209">
        <v>45</v>
      </c>
      <c r="Y24" s="119"/>
      <c r="Z24" s="275">
        <v>128</v>
      </c>
      <c r="AA24" s="140"/>
      <c r="AB24" s="209">
        <v>128</v>
      </c>
      <c r="AC24" s="323"/>
      <c r="AD24" s="209">
        <v>180</v>
      </c>
      <c r="AE24" s="6"/>
      <c r="AF24" s="329">
        <v>11</v>
      </c>
      <c r="AG24" s="275"/>
      <c r="AH24" s="275"/>
    </row>
    <row r="25" spans="1:34" x14ac:dyDescent="0.2">
      <c r="A25" s="6"/>
      <c r="B25">
        <v>64</v>
      </c>
      <c r="C25" s="13"/>
      <c r="D25">
        <v>301</v>
      </c>
      <c r="E25" s="23"/>
      <c r="F25" s="20">
        <v>64</v>
      </c>
      <c r="G25" s="38"/>
      <c r="H25">
        <v>180</v>
      </c>
      <c r="I25" s="119"/>
      <c r="J25">
        <v>128</v>
      </c>
      <c r="K25" s="140"/>
      <c r="L25">
        <v>90</v>
      </c>
      <c r="M25" s="13"/>
      <c r="N25">
        <v>22.6</v>
      </c>
      <c r="O25" s="23"/>
      <c r="P25">
        <v>90</v>
      </c>
      <c r="Q25" s="38"/>
      <c r="R25" s="209">
        <v>301</v>
      </c>
      <c r="S25" s="87"/>
      <c r="T25" s="209">
        <v>90</v>
      </c>
      <c r="U25" s="98"/>
      <c r="V25" s="209">
        <v>90</v>
      </c>
      <c r="W25" s="108"/>
      <c r="X25" s="209">
        <v>16</v>
      </c>
      <c r="Y25" s="119"/>
      <c r="Z25" s="275">
        <v>128</v>
      </c>
      <c r="AA25" s="140"/>
      <c r="AB25" s="209">
        <v>64</v>
      </c>
      <c r="AC25" s="322"/>
      <c r="AD25" s="209">
        <v>45</v>
      </c>
      <c r="AE25" s="6"/>
      <c r="AF25" s="329">
        <v>16</v>
      </c>
      <c r="AG25" s="209"/>
      <c r="AH25" s="275"/>
    </row>
    <row r="26" spans="1:34" x14ac:dyDescent="0.2">
      <c r="A26" s="6"/>
      <c r="B26">
        <v>300</v>
      </c>
      <c r="C26" s="13"/>
      <c r="D26">
        <v>180</v>
      </c>
      <c r="E26" s="23"/>
      <c r="F26" s="20">
        <v>128</v>
      </c>
      <c r="G26" s="38"/>
      <c r="H26">
        <v>300</v>
      </c>
      <c r="I26" s="119"/>
      <c r="J26">
        <v>180</v>
      </c>
      <c r="K26" s="140"/>
      <c r="L26">
        <v>64</v>
      </c>
      <c r="M26" s="13"/>
      <c r="N26">
        <v>22.6</v>
      </c>
      <c r="O26" s="23"/>
      <c r="P26">
        <v>128</v>
      </c>
      <c r="Q26" s="38"/>
      <c r="R26" s="209">
        <v>64</v>
      </c>
      <c r="S26" s="87"/>
      <c r="T26" s="209">
        <v>64</v>
      </c>
      <c r="U26" s="98"/>
      <c r="V26" s="209">
        <v>11</v>
      </c>
      <c r="W26" s="108"/>
      <c r="X26" s="209">
        <v>90</v>
      </c>
      <c r="Y26" s="119"/>
      <c r="Z26" s="275">
        <v>11</v>
      </c>
      <c r="AA26" s="140"/>
      <c r="AB26" s="209">
        <v>301</v>
      </c>
      <c r="AC26" s="322"/>
      <c r="AD26" s="209">
        <v>90</v>
      </c>
      <c r="AE26" s="6"/>
      <c r="AF26" s="329">
        <v>11</v>
      </c>
      <c r="AG26" s="209"/>
      <c r="AH26" s="275"/>
    </row>
    <row r="27" spans="1:34" x14ac:dyDescent="0.2">
      <c r="A27" s="6"/>
      <c r="B27">
        <v>180</v>
      </c>
      <c r="C27" s="13"/>
      <c r="D27">
        <v>301</v>
      </c>
      <c r="E27" s="23"/>
      <c r="F27" s="20">
        <v>180</v>
      </c>
      <c r="G27" s="38"/>
      <c r="H27">
        <v>301</v>
      </c>
      <c r="I27" s="119"/>
      <c r="J27">
        <v>128</v>
      </c>
      <c r="K27" s="140"/>
      <c r="L27">
        <v>300</v>
      </c>
      <c r="M27" s="13"/>
      <c r="N27">
        <v>16</v>
      </c>
      <c r="O27" s="23"/>
      <c r="P27">
        <v>11</v>
      </c>
      <c r="Q27" s="38"/>
      <c r="R27" s="209">
        <v>301</v>
      </c>
      <c r="S27" s="87"/>
      <c r="T27" s="209">
        <v>180</v>
      </c>
      <c r="U27" s="98"/>
      <c r="V27" s="209">
        <v>64</v>
      </c>
      <c r="W27" s="108"/>
      <c r="X27" s="209">
        <v>128</v>
      </c>
      <c r="Y27" s="119"/>
      <c r="Z27" s="275">
        <v>22.6</v>
      </c>
      <c r="AA27" s="140"/>
      <c r="AB27" s="209">
        <v>90</v>
      </c>
      <c r="AC27" s="322"/>
      <c r="AD27" s="209">
        <v>300</v>
      </c>
      <c r="AE27" s="6"/>
      <c r="AF27" s="329">
        <v>22.6</v>
      </c>
      <c r="AG27" s="209"/>
      <c r="AH27" s="275"/>
    </row>
    <row r="28" spans="1:34" x14ac:dyDescent="0.2">
      <c r="A28" s="6"/>
      <c r="B28">
        <v>128</v>
      </c>
      <c r="C28" s="13"/>
      <c r="D28">
        <v>128</v>
      </c>
      <c r="E28" s="23"/>
      <c r="F28" s="20">
        <v>128</v>
      </c>
      <c r="G28" s="38"/>
      <c r="H28">
        <v>180</v>
      </c>
      <c r="I28" s="119"/>
      <c r="J28">
        <v>22.6</v>
      </c>
      <c r="K28" s="140"/>
      <c r="L28">
        <v>90</v>
      </c>
      <c r="M28" s="13"/>
      <c r="N28">
        <v>16</v>
      </c>
      <c r="O28" s="23"/>
      <c r="P28">
        <v>64</v>
      </c>
      <c r="Q28" s="38"/>
      <c r="R28" s="209">
        <v>8</v>
      </c>
      <c r="S28" s="87"/>
      <c r="T28" s="209">
        <v>90</v>
      </c>
      <c r="U28" s="98"/>
      <c r="V28" s="209">
        <v>180</v>
      </c>
      <c r="W28" s="108"/>
      <c r="X28" s="209">
        <v>16</v>
      </c>
      <c r="Y28" s="119"/>
      <c r="Z28" s="275">
        <v>16</v>
      </c>
      <c r="AA28" s="140"/>
      <c r="AB28" s="209">
        <v>32</v>
      </c>
      <c r="AC28" s="322"/>
      <c r="AD28" s="209">
        <v>180</v>
      </c>
      <c r="AE28" s="6"/>
      <c r="AF28" s="329">
        <v>90</v>
      </c>
      <c r="AG28" s="209"/>
      <c r="AH28" s="275"/>
    </row>
    <row r="29" spans="1:34" x14ac:dyDescent="0.2">
      <c r="A29" s="6"/>
      <c r="B29">
        <v>45</v>
      </c>
      <c r="C29" s="13"/>
      <c r="D29">
        <v>128</v>
      </c>
      <c r="E29" s="23"/>
      <c r="F29" s="20">
        <v>90</v>
      </c>
      <c r="G29" s="38"/>
      <c r="H29">
        <v>301</v>
      </c>
      <c r="I29" s="119"/>
      <c r="J29">
        <v>16</v>
      </c>
      <c r="K29" s="140"/>
      <c r="L29">
        <v>32</v>
      </c>
      <c r="M29" s="13"/>
      <c r="N29">
        <v>16</v>
      </c>
      <c r="O29" s="23"/>
      <c r="P29">
        <v>16</v>
      </c>
      <c r="Q29" s="38"/>
      <c r="R29" s="209">
        <v>128</v>
      </c>
      <c r="S29" s="87"/>
      <c r="T29" s="209">
        <v>64</v>
      </c>
      <c r="U29" s="98"/>
      <c r="V29" s="209">
        <v>45</v>
      </c>
      <c r="W29" s="108"/>
      <c r="X29" s="209">
        <v>90</v>
      </c>
      <c r="Y29" s="119"/>
      <c r="Z29" s="275">
        <v>45</v>
      </c>
      <c r="AA29" s="140"/>
      <c r="AB29" s="209">
        <v>90</v>
      </c>
      <c r="AC29" s="322"/>
      <c r="AD29" s="209">
        <v>32</v>
      </c>
      <c r="AE29" s="6"/>
      <c r="AF29" s="329">
        <v>16</v>
      </c>
      <c r="AG29" s="209"/>
      <c r="AH29" s="275"/>
    </row>
    <row r="30" spans="1:34" x14ac:dyDescent="0.2">
      <c r="A30" s="6"/>
      <c r="B30">
        <v>64</v>
      </c>
      <c r="C30" s="13"/>
      <c r="D30">
        <v>90</v>
      </c>
      <c r="E30" s="23"/>
      <c r="F30" s="20">
        <v>22.6</v>
      </c>
      <c r="G30" s="38"/>
      <c r="H30">
        <v>128</v>
      </c>
      <c r="I30" s="119"/>
      <c r="J30">
        <v>45</v>
      </c>
      <c r="K30" s="140"/>
      <c r="L30">
        <v>128</v>
      </c>
      <c r="M30" s="13"/>
      <c r="N30">
        <v>32</v>
      </c>
      <c r="O30" s="23"/>
      <c r="P30">
        <v>16</v>
      </c>
      <c r="Q30" s="38"/>
      <c r="R30" s="209">
        <v>11</v>
      </c>
      <c r="S30" s="87"/>
      <c r="T30" s="209">
        <v>90</v>
      </c>
      <c r="U30" s="98"/>
      <c r="V30" s="209">
        <v>45</v>
      </c>
      <c r="W30" s="108"/>
      <c r="X30" s="209">
        <v>16</v>
      </c>
      <c r="Y30" s="119"/>
      <c r="Z30" s="275">
        <v>45</v>
      </c>
      <c r="AA30" s="140"/>
      <c r="AB30" s="209">
        <v>32</v>
      </c>
      <c r="AC30" s="323"/>
      <c r="AD30" s="209">
        <v>128</v>
      </c>
      <c r="AE30" s="6"/>
      <c r="AF30" s="329">
        <v>22.6</v>
      </c>
      <c r="AG30" s="209"/>
      <c r="AH30" s="275"/>
    </row>
    <row r="31" spans="1:34" x14ac:dyDescent="0.2">
      <c r="A31" s="6"/>
      <c r="B31">
        <v>90</v>
      </c>
      <c r="C31" s="13"/>
      <c r="D31">
        <v>301</v>
      </c>
      <c r="E31" s="23"/>
      <c r="F31" s="20">
        <v>300</v>
      </c>
      <c r="G31" s="38"/>
      <c r="H31">
        <v>300</v>
      </c>
      <c r="I31" s="119"/>
      <c r="J31">
        <v>300</v>
      </c>
      <c r="K31" s="140"/>
      <c r="L31">
        <v>64</v>
      </c>
      <c r="M31" s="13"/>
      <c r="N31">
        <v>16</v>
      </c>
      <c r="O31" s="23"/>
      <c r="P31">
        <v>32</v>
      </c>
      <c r="Q31" s="38"/>
      <c r="R31" s="214">
        <v>8</v>
      </c>
      <c r="S31" s="209"/>
      <c r="T31" s="209">
        <v>45</v>
      </c>
      <c r="U31" s="98"/>
      <c r="V31" s="209">
        <v>90</v>
      </c>
      <c r="W31" s="108"/>
      <c r="X31" s="209">
        <v>180</v>
      </c>
      <c r="Y31" s="119"/>
      <c r="Z31" s="275">
        <v>90</v>
      </c>
      <c r="AA31" s="140"/>
      <c r="AB31" s="209">
        <v>64</v>
      </c>
      <c r="AC31" s="322"/>
      <c r="AD31" s="209">
        <v>300</v>
      </c>
      <c r="AE31" s="6"/>
      <c r="AF31" s="329">
        <v>16</v>
      </c>
      <c r="AG31" s="209"/>
      <c r="AH31" s="275"/>
    </row>
    <row r="32" spans="1:34" x14ac:dyDescent="0.2">
      <c r="A32" s="6"/>
      <c r="B32">
        <v>180</v>
      </c>
      <c r="C32" s="13"/>
      <c r="D32">
        <v>180</v>
      </c>
      <c r="E32" s="23"/>
      <c r="F32" s="20">
        <v>128</v>
      </c>
      <c r="G32" s="38"/>
      <c r="H32">
        <v>90</v>
      </c>
      <c r="I32" s="119"/>
      <c r="J32">
        <v>90</v>
      </c>
      <c r="K32" s="140"/>
      <c r="L32">
        <v>90</v>
      </c>
      <c r="M32" s="13"/>
      <c r="N32">
        <v>16</v>
      </c>
      <c r="O32" s="23"/>
      <c r="P32">
        <v>16</v>
      </c>
      <c r="Q32" s="38"/>
      <c r="R32" s="209">
        <v>8</v>
      </c>
      <c r="S32" s="87"/>
      <c r="T32" s="209">
        <v>128</v>
      </c>
      <c r="U32" s="98"/>
      <c r="V32" s="209">
        <v>301</v>
      </c>
      <c r="W32" s="108"/>
      <c r="X32" s="209">
        <v>32</v>
      </c>
      <c r="Y32" s="119"/>
      <c r="Z32" s="275">
        <v>45</v>
      </c>
      <c r="AA32" s="140"/>
      <c r="AB32" s="209">
        <v>32</v>
      </c>
      <c r="AC32" s="322"/>
      <c r="AD32" s="220">
        <v>45</v>
      </c>
      <c r="AE32" s="6"/>
      <c r="AF32" s="329">
        <v>45</v>
      </c>
      <c r="AG32" s="275"/>
      <c r="AH32" s="275"/>
    </row>
    <row r="33" spans="1:34" x14ac:dyDescent="0.2">
      <c r="A33" s="6"/>
      <c r="B33">
        <v>180</v>
      </c>
      <c r="C33" s="13"/>
      <c r="D33">
        <v>128</v>
      </c>
      <c r="E33" s="23"/>
      <c r="F33" s="20">
        <v>301</v>
      </c>
      <c r="G33" s="38"/>
      <c r="H33">
        <v>128</v>
      </c>
      <c r="I33" s="119"/>
      <c r="J33">
        <v>64</v>
      </c>
      <c r="K33" s="140"/>
      <c r="L33">
        <v>32</v>
      </c>
      <c r="M33" s="13"/>
      <c r="N33">
        <v>180</v>
      </c>
      <c r="O33" s="23"/>
      <c r="P33">
        <v>128</v>
      </c>
      <c r="Q33" s="38"/>
      <c r="R33" s="209">
        <v>32</v>
      </c>
      <c r="S33" s="87"/>
      <c r="T33" s="209">
        <v>45</v>
      </c>
      <c r="U33" s="98"/>
      <c r="V33" s="209">
        <v>11</v>
      </c>
      <c r="W33" s="108"/>
      <c r="X33" s="209">
        <v>32</v>
      </c>
      <c r="Y33" s="119"/>
      <c r="Z33" s="275">
        <v>90</v>
      </c>
      <c r="AA33" s="140"/>
      <c r="AB33" s="209">
        <v>128</v>
      </c>
      <c r="AC33" s="323"/>
      <c r="AD33" s="209">
        <v>32</v>
      </c>
      <c r="AE33" s="6"/>
      <c r="AF33" s="329">
        <v>64</v>
      </c>
      <c r="AG33" s="209"/>
      <c r="AH33" s="275"/>
    </row>
    <row r="34" spans="1:34" x14ac:dyDescent="0.2">
      <c r="A34" s="6"/>
      <c r="B34">
        <v>16</v>
      </c>
      <c r="C34" s="13"/>
      <c r="D34">
        <v>128</v>
      </c>
      <c r="E34" s="23"/>
      <c r="F34" s="20">
        <v>301</v>
      </c>
      <c r="G34" s="38"/>
      <c r="H34">
        <v>64</v>
      </c>
      <c r="I34" s="119"/>
      <c r="J34">
        <v>301</v>
      </c>
      <c r="K34" s="140"/>
      <c r="L34">
        <v>64</v>
      </c>
      <c r="M34" s="13"/>
      <c r="N34">
        <v>45</v>
      </c>
      <c r="O34" s="23"/>
      <c r="P34">
        <v>22.6</v>
      </c>
      <c r="Q34" s="38"/>
      <c r="R34" s="209">
        <v>16</v>
      </c>
      <c r="S34" s="87"/>
      <c r="T34" s="209">
        <v>128</v>
      </c>
      <c r="U34" s="98"/>
      <c r="V34" s="209">
        <v>64</v>
      </c>
      <c r="W34" s="108"/>
      <c r="X34" s="209">
        <v>32</v>
      </c>
      <c r="Y34" s="119"/>
      <c r="Z34" s="275">
        <v>90</v>
      </c>
      <c r="AA34" s="140"/>
      <c r="AB34" s="209">
        <v>90</v>
      </c>
      <c r="AC34" s="323"/>
      <c r="AD34" s="209">
        <v>90</v>
      </c>
      <c r="AE34" s="6"/>
      <c r="AF34" s="329">
        <v>45</v>
      </c>
      <c r="AG34" s="209"/>
      <c r="AH34" s="275"/>
    </row>
    <row r="35" spans="1:34" x14ac:dyDescent="0.2">
      <c r="A35" s="6"/>
      <c r="B35">
        <v>90</v>
      </c>
      <c r="C35" s="13"/>
      <c r="D35">
        <v>128</v>
      </c>
      <c r="E35" s="23"/>
      <c r="F35" s="20">
        <v>64</v>
      </c>
      <c r="G35" s="38"/>
      <c r="H35">
        <v>45</v>
      </c>
      <c r="I35" s="123"/>
      <c r="J35">
        <v>301</v>
      </c>
      <c r="K35" s="140"/>
      <c r="L35">
        <v>32</v>
      </c>
      <c r="M35" s="13"/>
      <c r="N35">
        <v>32</v>
      </c>
      <c r="O35" s="23"/>
      <c r="P35">
        <v>22.6</v>
      </c>
      <c r="Q35" s="38"/>
      <c r="R35" s="209">
        <v>128</v>
      </c>
      <c r="S35" s="87"/>
      <c r="T35" s="209">
        <v>300</v>
      </c>
      <c r="U35" s="98"/>
      <c r="V35" s="209">
        <v>64</v>
      </c>
      <c r="W35" s="108"/>
      <c r="X35" s="209">
        <v>32</v>
      </c>
      <c r="Y35" s="119"/>
      <c r="Z35" s="275">
        <v>64</v>
      </c>
      <c r="AA35" s="140"/>
      <c r="AB35" s="209">
        <v>32</v>
      </c>
      <c r="AC35" s="323"/>
      <c r="AD35" s="209">
        <v>32</v>
      </c>
      <c r="AE35" s="6"/>
      <c r="AF35" s="329">
        <v>45</v>
      </c>
      <c r="AG35" s="209"/>
      <c r="AH35" s="275"/>
    </row>
    <row r="36" spans="1:34" x14ac:dyDescent="0.2">
      <c r="A36" s="6"/>
      <c r="B36">
        <v>16</v>
      </c>
      <c r="C36" s="13"/>
      <c r="D36">
        <v>301</v>
      </c>
      <c r="E36" s="23"/>
      <c r="F36" s="20">
        <v>301</v>
      </c>
      <c r="G36" s="38"/>
      <c r="H36">
        <v>90</v>
      </c>
      <c r="I36" s="119"/>
      <c r="J36">
        <v>301</v>
      </c>
      <c r="K36" s="140"/>
      <c r="L36">
        <v>45</v>
      </c>
      <c r="M36" s="13"/>
      <c r="N36">
        <v>64</v>
      </c>
      <c r="O36" s="23"/>
      <c r="P36">
        <v>22.6</v>
      </c>
      <c r="Q36" s="38"/>
      <c r="R36" s="209">
        <v>128</v>
      </c>
      <c r="S36" s="87"/>
      <c r="T36" s="209">
        <v>180</v>
      </c>
      <c r="U36" s="98"/>
      <c r="V36" s="209">
        <v>64</v>
      </c>
      <c r="W36" s="108"/>
      <c r="X36" s="209">
        <v>32</v>
      </c>
      <c r="Y36" s="119"/>
      <c r="Z36" s="275">
        <v>128</v>
      </c>
      <c r="AA36" s="140"/>
      <c r="AB36" s="209">
        <v>64</v>
      </c>
      <c r="AC36" s="323"/>
      <c r="AD36" s="209">
        <v>64</v>
      </c>
      <c r="AE36" s="6"/>
      <c r="AF36" s="329">
        <v>90</v>
      </c>
      <c r="AG36" s="209"/>
      <c r="AH36" s="275"/>
    </row>
    <row r="37" spans="1:34" x14ac:dyDescent="0.2">
      <c r="A37" s="6"/>
      <c r="B37">
        <v>180</v>
      </c>
      <c r="C37" s="13"/>
      <c r="D37">
        <v>180</v>
      </c>
      <c r="E37" s="23"/>
      <c r="F37" s="20">
        <v>301</v>
      </c>
      <c r="G37" s="38"/>
      <c r="H37">
        <v>180</v>
      </c>
      <c r="I37" s="119"/>
      <c r="J37">
        <v>90</v>
      </c>
      <c r="K37" s="140"/>
      <c r="L37">
        <v>301</v>
      </c>
      <c r="M37" s="13"/>
      <c r="N37">
        <v>32</v>
      </c>
      <c r="O37" s="23"/>
      <c r="P37">
        <v>180</v>
      </c>
      <c r="Q37" s="38"/>
      <c r="R37" s="209">
        <v>90</v>
      </c>
      <c r="S37" s="87"/>
      <c r="T37" s="209">
        <v>180</v>
      </c>
      <c r="U37" s="98"/>
      <c r="V37" s="209">
        <v>32</v>
      </c>
      <c r="W37" s="108"/>
      <c r="X37" s="209">
        <v>32</v>
      </c>
      <c r="Y37" s="119"/>
      <c r="Z37" s="275">
        <v>32</v>
      </c>
      <c r="AA37" s="140"/>
      <c r="AB37" s="209">
        <v>32</v>
      </c>
      <c r="AC37" s="323"/>
      <c r="AD37" s="209">
        <v>22.6</v>
      </c>
      <c r="AE37" s="6"/>
      <c r="AF37" s="329">
        <v>32</v>
      </c>
      <c r="AG37" s="275"/>
      <c r="AH37" s="275"/>
    </row>
    <row r="38" spans="1:34" x14ac:dyDescent="0.2">
      <c r="A38" s="6"/>
      <c r="B38">
        <v>128</v>
      </c>
      <c r="C38" s="13"/>
      <c r="D38">
        <v>301</v>
      </c>
      <c r="E38" s="23"/>
      <c r="F38" s="20">
        <v>301</v>
      </c>
      <c r="G38" s="38"/>
      <c r="H38">
        <v>90</v>
      </c>
      <c r="I38" s="119"/>
      <c r="J38">
        <v>301</v>
      </c>
      <c r="K38" s="140"/>
      <c r="L38">
        <v>32</v>
      </c>
      <c r="M38" s="13"/>
      <c r="N38">
        <v>45</v>
      </c>
      <c r="O38" s="23"/>
      <c r="P38">
        <v>180</v>
      </c>
      <c r="Q38" s="38"/>
      <c r="R38" s="209">
        <v>180</v>
      </c>
      <c r="S38" s="87"/>
      <c r="T38" s="209">
        <v>128</v>
      </c>
      <c r="U38" s="98"/>
      <c r="V38" s="209">
        <v>16</v>
      </c>
      <c r="W38" s="108"/>
      <c r="X38" s="209">
        <v>128</v>
      </c>
      <c r="Y38" s="119"/>
      <c r="Z38" s="275">
        <v>128</v>
      </c>
      <c r="AA38" s="140"/>
      <c r="AB38" s="209">
        <v>45</v>
      </c>
      <c r="AC38" s="322"/>
      <c r="AD38" s="209">
        <v>64</v>
      </c>
      <c r="AE38" s="6"/>
      <c r="AF38" s="329">
        <v>90</v>
      </c>
      <c r="AG38" s="209"/>
      <c r="AH38" s="275"/>
    </row>
    <row r="39" spans="1:34" x14ac:dyDescent="0.2">
      <c r="A39" s="6"/>
      <c r="B39">
        <v>90</v>
      </c>
      <c r="C39" s="13"/>
      <c r="D39">
        <v>64</v>
      </c>
      <c r="E39" s="23"/>
      <c r="F39" s="20">
        <v>90</v>
      </c>
      <c r="G39" s="38"/>
      <c r="H39">
        <v>64</v>
      </c>
      <c r="I39" s="119"/>
      <c r="J39">
        <v>128</v>
      </c>
      <c r="K39" s="140"/>
      <c r="L39">
        <v>128</v>
      </c>
      <c r="M39" s="13"/>
      <c r="N39">
        <v>32</v>
      </c>
      <c r="O39" s="23"/>
      <c r="P39">
        <v>11</v>
      </c>
      <c r="Q39" s="38"/>
      <c r="R39" s="209">
        <v>8</v>
      </c>
      <c r="S39" s="87"/>
      <c r="T39" s="209">
        <v>32</v>
      </c>
      <c r="U39" s="98"/>
      <c r="V39" s="209">
        <v>16</v>
      </c>
      <c r="W39" s="108"/>
      <c r="X39" s="209">
        <v>180</v>
      </c>
      <c r="Y39" s="119"/>
      <c r="Z39" s="275">
        <v>90</v>
      </c>
      <c r="AA39" s="140"/>
      <c r="AB39" s="209">
        <v>45</v>
      </c>
      <c r="AC39" s="322"/>
      <c r="AD39" s="209">
        <v>64</v>
      </c>
      <c r="AE39" s="6"/>
      <c r="AF39" s="329">
        <v>22.6</v>
      </c>
      <c r="AG39" s="209"/>
      <c r="AH39" s="275"/>
    </row>
    <row r="40" spans="1:34" x14ac:dyDescent="0.2">
      <c r="A40" s="6"/>
      <c r="B40">
        <v>11</v>
      </c>
      <c r="C40" s="13"/>
      <c r="D40">
        <v>300</v>
      </c>
      <c r="E40" s="23"/>
      <c r="F40" s="20">
        <v>45</v>
      </c>
      <c r="G40" s="38"/>
      <c r="H40">
        <v>32</v>
      </c>
      <c r="I40" s="119"/>
      <c r="J40">
        <v>180</v>
      </c>
      <c r="K40" s="140"/>
      <c r="L40">
        <v>128</v>
      </c>
      <c r="M40" s="13"/>
      <c r="N40">
        <v>45</v>
      </c>
      <c r="O40" s="23"/>
      <c r="P40">
        <v>16</v>
      </c>
      <c r="Q40" s="38"/>
      <c r="R40" s="209">
        <v>300</v>
      </c>
      <c r="S40" s="87"/>
      <c r="T40" s="209">
        <v>64</v>
      </c>
      <c r="U40" s="98"/>
      <c r="V40" s="209">
        <v>32</v>
      </c>
      <c r="W40" s="108"/>
      <c r="X40" s="209">
        <v>301</v>
      </c>
      <c r="Y40" s="119"/>
      <c r="Z40" s="275">
        <v>128</v>
      </c>
      <c r="AA40" s="140"/>
      <c r="AB40" s="209">
        <v>32</v>
      </c>
      <c r="AC40" s="322"/>
      <c r="AD40" s="209">
        <v>16</v>
      </c>
      <c r="AE40" s="6"/>
      <c r="AF40" s="329">
        <v>45</v>
      </c>
      <c r="AG40" s="209"/>
      <c r="AH40" s="275"/>
    </row>
    <row r="41" spans="1:34" x14ac:dyDescent="0.2">
      <c r="A41" s="6"/>
      <c r="B41">
        <v>180</v>
      </c>
      <c r="C41" s="13"/>
      <c r="D41">
        <v>90</v>
      </c>
      <c r="E41" s="23"/>
      <c r="F41" s="20">
        <v>128</v>
      </c>
      <c r="G41" s="38"/>
      <c r="H41">
        <v>128</v>
      </c>
      <c r="I41" s="119"/>
      <c r="J41">
        <v>16</v>
      </c>
      <c r="K41" s="140"/>
      <c r="L41">
        <v>90</v>
      </c>
      <c r="M41" s="13"/>
      <c r="N41">
        <v>90</v>
      </c>
      <c r="O41" s="23"/>
      <c r="P41">
        <v>301</v>
      </c>
      <c r="Q41" s="38"/>
      <c r="R41" s="209">
        <v>32</v>
      </c>
      <c r="S41" s="87"/>
      <c r="T41" s="209">
        <v>128</v>
      </c>
      <c r="U41" s="98"/>
      <c r="V41" s="209">
        <v>45</v>
      </c>
      <c r="W41" s="108"/>
      <c r="X41" s="209">
        <v>64</v>
      </c>
      <c r="Y41" s="119"/>
      <c r="Z41" s="275">
        <v>64</v>
      </c>
      <c r="AA41" s="140"/>
      <c r="AB41" s="209">
        <v>11</v>
      </c>
      <c r="AC41" s="322"/>
      <c r="AD41" s="209">
        <v>32</v>
      </c>
      <c r="AE41" s="6"/>
      <c r="AF41" s="329">
        <v>90</v>
      </c>
      <c r="AG41" s="209"/>
      <c r="AH41" s="275"/>
    </row>
    <row r="42" spans="1:34" x14ac:dyDescent="0.2">
      <c r="A42" s="6"/>
      <c r="B42">
        <v>64</v>
      </c>
      <c r="C42" s="13"/>
      <c r="D42">
        <v>301</v>
      </c>
      <c r="E42" s="23"/>
      <c r="F42" s="20">
        <v>301</v>
      </c>
      <c r="G42" s="38"/>
      <c r="H42">
        <v>301</v>
      </c>
      <c r="I42" s="119"/>
      <c r="J42">
        <v>301</v>
      </c>
      <c r="K42" s="140"/>
      <c r="L42">
        <v>90</v>
      </c>
      <c r="M42" s="13"/>
      <c r="N42">
        <v>301</v>
      </c>
      <c r="O42" s="23"/>
      <c r="P42">
        <v>301</v>
      </c>
      <c r="Q42" s="38"/>
      <c r="R42" s="209">
        <v>128</v>
      </c>
      <c r="S42" s="87"/>
      <c r="T42" s="209">
        <v>90</v>
      </c>
      <c r="U42" s="98"/>
      <c r="V42" s="209">
        <v>64</v>
      </c>
      <c r="W42" s="108"/>
      <c r="X42" s="209">
        <v>90</v>
      </c>
      <c r="Y42" s="119"/>
      <c r="Z42" s="275">
        <v>45</v>
      </c>
      <c r="AA42" s="140"/>
      <c r="AB42" s="209">
        <v>64</v>
      </c>
      <c r="AC42" s="322"/>
      <c r="AD42" s="209">
        <v>90</v>
      </c>
      <c r="AE42" s="6"/>
      <c r="AF42" s="329">
        <v>16</v>
      </c>
      <c r="AG42" s="209"/>
      <c r="AH42" s="275"/>
    </row>
    <row r="43" spans="1:34" x14ac:dyDescent="0.2">
      <c r="A43" s="6"/>
      <c r="B43">
        <v>90</v>
      </c>
      <c r="C43" s="13"/>
      <c r="D43">
        <v>90</v>
      </c>
      <c r="E43" s="23"/>
      <c r="F43" s="20">
        <v>45</v>
      </c>
      <c r="G43" s="38"/>
      <c r="H43">
        <v>90</v>
      </c>
      <c r="I43" s="119"/>
      <c r="J43">
        <v>128</v>
      </c>
      <c r="K43" s="140"/>
      <c r="L43">
        <v>90</v>
      </c>
      <c r="M43" s="13"/>
      <c r="N43">
        <v>301</v>
      </c>
      <c r="O43" s="23"/>
      <c r="P43">
        <v>128</v>
      </c>
      <c r="Q43" s="38"/>
      <c r="R43" s="209">
        <v>90</v>
      </c>
      <c r="S43" s="87"/>
      <c r="T43" s="209">
        <v>128</v>
      </c>
      <c r="U43" s="98"/>
      <c r="V43" s="209">
        <v>64</v>
      </c>
      <c r="W43" s="108"/>
      <c r="X43" s="209">
        <v>180</v>
      </c>
      <c r="Y43" s="119"/>
      <c r="Z43" s="275">
        <v>32</v>
      </c>
      <c r="AA43" s="140"/>
      <c r="AB43" s="209">
        <v>45</v>
      </c>
      <c r="AC43" s="322"/>
      <c r="AD43" s="209">
        <v>90</v>
      </c>
      <c r="AE43" s="6"/>
      <c r="AF43" s="329">
        <v>64</v>
      </c>
      <c r="AG43" s="209"/>
      <c r="AH43" s="275"/>
    </row>
    <row r="44" spans="1:34" x14ac:dyDescent="0.2">
      <c r="A44" s="6"/>
      <c r="B44">
        <v>45</v>
      </c>
      <c r="C44" s="13"/>
      <c r="D44">
        <v>90</v>
      </c>
      <c r="E44" s="23"/>
      <c r="F44" s="20">
        <v>32</v>
      </c>
      <c r="G44" s="38"/>
      <c r="H44">
        <v>45</v>
      </c>
      <c r="I44" s="119"/>
      <c r="J44">
        <v>90</v>
      </c>
      <c r="K44" s="140"/>
      <c r="L44">
        <v>301</v>
      </c>
      <c r="M44" s="13"/>
      <c r="N44">
        <v>16</v>
      </c>
      <c r="O44" s="23"/>
      <c r="P44">
        <v>128</v>
      </c>
      <c r="Q44" s="38"/>
      <c r="R44" s="209">
        <v>90</v>
      </c>
      <c r="S44" s="87"/>
      <c r="T44" s="209">
        <v>32</v>
      </c>
      <c r="U44" s="98"/>
      <c r="V44" s="209">
        <v>128</v>
      </c>
      <c r="W44" s="108"/>
      <c r="X44" s="209">
        <v>128</v>
      </c>
      <c r="Y44" s="119"/>
      <c r="Z44" s="275">
        <v>64</v>
      </c>
      <c r="AA44" s="140"/>
      <c r="AB44" s="209">
        <v>22.6</v>
      </c>
      <c r="AC44" s="322"/>
      <c r="AD44" s="209">
        <v>180</v>
      </c>
      <c r="AE44" s="6"/>
      <c r="AF44" s="329">
        <v>11</v>
      </c>
      <c r="AG44" s="209"/>
      <c r="AH44" s="275"/>
    </row>
    <row r="45" spans="1:34" x14ac:dyDescent="0.2">
      <c r="A45" s="6"/>
      <c r="B45">
        <v>90</v>
      </c>
      <c r="C45" s="13"/>
      <c r="D45">
        <v>301</v>
      </c>
      <c r="E45" s="23"/>
      <c r="F45" s="20">
        <v>180</v>
      </c>
      <c r="G45" s="38"/>
      <c r="H45">
        <v>64</v>
      </c>
      <c r="I45" s="119"/>
      <c r="J45">
        <v>16</v>
      </c>
      <c r="K45" s="140"/>
      <c r="L45">
        <v>90</v>
      </c>
      <c r="M45" s="13"/>
      <c r="N45">
        <v>11</v>
      </c>
      <c r="O45" s="23"/>
      <c r="P45">
        <v>32</v>
      </c>
      <c r="Q45" s="38"/>
      <c r="R45" s="209">
        <v>11</v>
      </c>
      <c r="S45" s="87"/>
      <c r="T45" s="209">
        <v>22.6</v>
      </c>
      <c r="U45" s="98"/>
      <c r="V45" s="209">
        <v>180</v>
      </c>
      <c r="W45" s="108"/>
      <c r="X45" s="209">
        <v>45</v>
      </c>
      <c r="Y45" s="119"/>
      <c r="Z45" s="275">
        <v>90</v>
      </c>
      <c r="AA45" s="140"/>
      <c r="AB45" s="209">
        <v>32</v>
      </c>
      <c r="AC45" s="322"/>
      <c r="AD45" s="209">
        <v>90</v>
      </c>
      <c r="AE45" s="6"/>
      <c r="AF45" s="329">
        <v>16</v>
      </c>
      <c r="AG45" s="209"/>
      <c r="AH45" s="275"/>
    </row>
    <row r="46" spans="1:34" x14ac:dyDescent="0.2">
      <c r="A46" s="6"/>
      <c r="B46">
        <v>64</v>
      </c>
      <c r="C46" s="13"/>
      <c r="D46">
        <v>90</v>
      </c>
      <c r="E46" s="23"/>
      <c r="F46" s="20">
        <v>64</v>
      </c>
      <c r="G46" s="38"/>
      <c r="H46">
        <v>64</v>
      </c>
      <c r="I46" s="119"/>
      <c r="J46">
        <v>128</v>
      </c>
      <c r="K46" s="140"/>
      <c r="L46">
        <v>128</v>
      </c>
      <c r="M46" s="13"/>
      <c r="N46">
        <v>22.6</v>
      </c>
      <c r="O46" s="23"/>
      <c r="P46">
        <v>45</v>
      </c>
      <c r="Q46" s="38"/>
      <c r="R46" s="214">
        <v>11</v>
      </c>
      <c r="S46" s="209"/>
      <c r="T46" s="209">
        <v>16</v>
      </c>
      <c r="U46" s="98"/>
      <c r="V46" s="209">
        <v>128</v>
      </c>
      <c r="W46" s="108"/>
      <c r="X46" s="209">
        <v>45</v>
      </c>
      <c r="Y46" s="119"/>
      <c r="Z46" s="275">
        <v>32</v>
      </c>
      <c r="AA46" s="140"/>
      <c r="AB46" s="209">
        <v>16</v>
      </c>
      <c r="AC46" s="323"/>
      <c r="AD46" s="209">
        <v>64</v>
      </c>
      <c r="AE46" s="6"/>
      <c r="AF46" s="329">
        <v>32</v>
      </c>
      <c r="AG46" s="209"/>
      <c r="AH46" s="275"/>
    </row>
    <row r="47" spans="1:34" x14ac:dyDescent="0.2">
      <c r="A47" s="6"/>
      <c r="B47">
        <v>300</v>
      </c>
      <c r="C47" s="13"/>
      <c r="D47">
        <v>64</v>
      </c>
      <c r="E47" s="23"/>
      <c r="F47" s="20">
        <v>45</v>
      </c>
      <c r="G47" s="38"/>
      <c r="H47">
        <v>128</v>
      </c>
      <c r="I47" s="119"/>
      <c r="J47">
        <v>301</v>
      </c>
      <c r="K47" s="140"/>
      <c r="L47">
        <v>16</v>
      </c>
      <c r="M47" s="13"/>
      <c r="N47">
        <v>16</v>
      </c>
      <c r="O47" s="23"/>
      <c r="P47">
        <v>301</v>
      </c>
      <c r="Q47" s="38"/>
      <c r="R47" s="209">
        <v>16</v>
      </c>
      <c r="S47" s="87"/>
      <c r="T47" s="209">
        <v>32</v>
      </c>
      <c r="U47" s="98"/>
      <c r="V47" s="209">
        <v>16</v>
      </c>
      <c r="W47" s="108"/>
      <c r="X47" s="209">
        <v>128</v>
      </c>
      <c r="Y47" s="119"/>
      <c r="Z47" s="275">
        <v>32</v>
      </c>
      <c r="AA47" s="140"/>
      <c r="AB47" s="209">
        <v>45</v>
      </c>
      <c r="AC47" s="322"/>
      <c r="AD47" s="209">
        <v>45</v>
      </c>
      <c r="AE47" s="6"/>
      <c r="AF47" s="329">
        <v>32</v>
      </c>
      <c r="AG47" s="275"/>
      <c r="AH47" s="275"/>
    </row>
    <row r="48" spans="1:34" x14ac:dyDescent="0.2">
      <c r="A48" s="6"/>
      <c r="B48">
        <v>300</v>
      </c>
      <c r="C48" s="13"/>
      <c r="D48">
        <v>180</v>
      </c>
      <c r="E48" s="23"/>
      <c r="F48" s="20">
        <v>301</v>
      </c>
      <c r="G48" s="38"/>
      <c r="H48">
        <v>301</v>
      </c>
      <c r="I48" s="119"/>
      <c r="J48">
        <v>16</v>
      </c>
      <c r="K48" s="140"/>
      <c r="L48">
        <v>128</v>
      </c>
      <c r="M48" s="13"/>
      <c r="N48">
        <v>16</v>
      </c>
      <c r="O48" s="23"/>
      <c r="P48">
        <v>301</v>
      </c>
      <c r="Q48" s="38"/>
      <c r="R48" s="209">
        <v>32</v>
      </c>
      <c r="S48" s="87"/>
      <c r="T48" s="209">
        <v>32</v>
      </c>
      <c r="U48" s="98"/>
      <c r="V48" s="209">
        <v>128</v>
      </c>
      <c r="W48" s="108"/>
      <c r="X48" s="209">
        <v>22.6</v>
      </c>
      <c r="Y48" s="119"/>
      <c r="Z48" s="275">
        <v>180</v>
      </c>
      <c r="AA48" s="140"/>
      <c r="AB48" s="209">
        <v>128</v>
      </c>
      <c r="AC48" s="301" t="s">
        <v>65</v>
      </c>
      <c r="AD48" s="316">
        <f>COUNT(AD3:AD47)</f>
        <v>45</v>
      </c>
      <c r="AE48" s="6"/>
      <c r="AF48" s="329">
        <v>128</v>
      </c>
      <c r="AG48" s="209"/>
      <c r="AH48" s="275"/>
    </row>
    <row r="49" spans="1:34" x14ac:dyDescent="0.2">
      <c r="A49" s="6"/>
      <c r="B49">
        <v>16</v>
      </c>
      <c r="C49" s="13"/>
      <c r="D49">
        <v>128</v>
      </c>
      <c r="E49" s="23"/>
      <c r="F49" s="20">
        <v>64</v>
      </c>
      <c r="G49" s="38"/>
      <c r="H49">
        <v>64</v>
      </c>
      <c r="I49" s="119"/>
      <c r="J49">
        <v>90</v>
      </c>
      <c r="K49" s="140"/>
      <c r="L49">
        <v>301</v>
      </c>
      <c r="M49" s="13"/>
      <c r="N49">
        <v>22.6</v>
      </c>
      <c r="O49" s="23"/>
      <c r="P49">
        <v>45</v>
      </c>
      <c r="Q49" s="38"/>
      <c r="R49" s="209">
        <v>32</v>
      </c>
      <c r="S49" s="87"/>
      <c r="T49" s="209">
        <v>64</v>
      </c>
      <c r="U49" s="98"/>
      <c r="V49" s="209">
        <v>128</v>
      </c>
      <c r="W49" s="108"/>
      <c r="X49" s="209">
        <v>16</v>
      </c>
      <c r="Y49" s="119"/>
      <c r="Z49" s="275">
        <v>64</v>
      </c>
      <c r="AA49" s="140"/>
      <c r="AB49" s="209">
        <v>90</v>
      </c>
      <c r="AC49" s="324" t="s">
        <v>34</v>
      </c>
      <c r="AD49" s="223">
        <f>MEDIAN(AD3:AD47)</f>
        <v>64</v>
      </c>
      <c r="AE49" s="6"/>
      <c r="AF49" s="329">
        <v>45</v>
      </c>
      <c r="AG49" s="275"/>
      <c r="AH49" s="275"/>
    </row>
    <row r="50" spans="1:34" x14ac:dyDescent="0.2">
      <c r="A50" s="6"/>
      <c r="B50">
        <v>45</v>
      </c>
      <c r="C50" s="13"/>
      <c r="D50">
        <v>64</v>
      </c>
      <c r="E50" s="23"/>
      <c r="F50" s="20">
        <v>45</v>
      </c>
      <c r="G50" s="38"/>
      <c r="H50">
        <v>64</v>
      </c>
      <c r="I50" s="119"/>
      <c r="J50">
        <v>301</v>
      </c>
      <c r="K50" s="140"/>
      <c r="L50">
        <v>128</v>
      </c>
      <c r="M50" s="13"/>
      <c r="N50">
        <v>32</v>
      </c>
      <c r="O50" s="23"/>
      <c r="P50">
        <v>11</v>
      </c>
      <c r="Q50" s="38"/>
      <c r="R50" s="209">
        <v>90</v>
      </c>
      <c r="S50" s="87"/>
      <c r="T50" s="209">
        <v>64</v>
      </c>
      <c r="U50" s="98"/>
      <c r="V50" s="209">
        <v>45</v>
      </c>
      <c r="W50" s="108"/>
      <c r="X50" s="209">
        <v>90</v>
      </c>
      <c r="Y50" s="119"/>
      <c r="Z50" s="275">
        <v>180</v>
      </c>
      <c r="AA50" s="140"/>
      <c r="AB50" s="209">
        <v>90</v>
      </c>
      <c r="AC50" s="323" t="s">
        <v>29</v>
      </c>
      <c r="AD50" s="209">
        <v>32</v>
      </c>
      <c r="AE50" s="6"/>
      <c r="AF50" s="329">
        <v>90</v>
      </c>
      <c r="AG50" s="209"/>
      <c r="AH50" s="275"/>
    </row>
    <row r="51" spans="1:34" x14ac:dyDescent="0.2">
      <c r="A51" s="6"/>
      <c r="B51">
        <v>45</v>
      </c>
      <c r="C51" s="13"/>
      <c r="D51">
        <v>90</v>
      </c>
      <c r="E51" s="23"/>
      <c r="F51" s="20">
        <v>128</v>
      </c>
      <c r="G51" s="38"/>
      <c r="H51">
        <v>128</v>
      </c>
      <c r="I51" s="119"/>
      <c r="J51">
        <v>22.6</v>
      </c>
      <c r="K51" s="140"/>
      <c r="L51">
        <v>64</v>
      </c>
      <c r="M51" s="13"/>
      <c r="N51">
        <v>32</v>
      </c>
      <c r="O51" s="23"/>
      <c r="P51">
        <v>32</v>
      </c>
      <c r="Q51" s="38"/>
      <c r="R51" s="209">
        <v>64</v>
      </c>
      <c r="S51" s="87"/>
      <c r="T51" s="209">
        <v>16</v>
      </c>
      <c r="U51" s="98"/>
      <c r="V51" s="209">
        <v>32</v>
      </c>
      <c r="W51" s="108"/>
      <c r="X51" s="209">
        <v>90</v>
      </c>
      <c r="Y51" s="119"/>
      <c r="Z51" s="275">
        <v>64</v>
      </c>
      <c r="AA51" s="140"/>
      <c r="AB51" s="209">
        <v>22.6</v>
      </c>
      <c r="AC51" s="323"/>
      <c r="AD51" s="209">
        <v>128</v>
      </c>
      <c r="AE51" s="6"/>
      <c r="AF51" s="329">
        <v>64</v>
      </c>
      <c r="AG51" s="209"/>
      <c r="AH51" s="275"/>
    </row>
    <row r="52" spans="1:34" x14ac:dyDescent="0.2">
      <c r="A52" s="6"/>
      <c r="B52">
        <v>300</v>
      </c>
      <c r="C52" s="13"/>
      <c r="D52">
        <v>180</v>
      </c>
      <c r="E52" s="23"/>
      <c r="F52" s="20">
        <v>32</v>
      </c>
      <c r="G52" s="38"/>
      <c r="H52">
        <v>128</v>
      </c>
      <c r="I52" s="119"/>
      <c r="J52">
        <v>128</v>
      </c>
      <c r="K52" s="140"/>
      <c r="L52">
        <v>64</v>
      </c>
      <c r="M52" s="13"/>
      <c r="N52">
        <v>32</v>
      </c>
      <c r="O52" s="23"/>
      <c r="P52">
        <v>64</v>
      </c>
      <c r="Q52" s="38"/>
      <c r="R52" s="209">
        <v>32</v>
      </c>
      <c r="S52" s="87"/>
      <c r="T52" s="209">
        <v>32</v>
      </c>
      <c r="U52" s="98"/>
      <c r="V52" s="209">
        <v>90</v>
      </c>
      <c r="W52" s="108"/>
      <c r="X52" s="209">
        <v>301</v>
      </c>
      <c r="Y52" s="119"/>
      <c r="Z52" s="275">
        <v>45</v>
      </c>
      <c r="AA52" s="140"/>
      <c r="AB52" s="209">
        <v>32</v>
      </c>
      <c r="AC52" s="323"/>
      <c r="AD52" s="209">
        <v>32</v>
      </c>
      <c r="AE52" s="320" t="s">
        <v>65</v>
      </c>
      <c r="AF52" s="330">
        <f>COUNT(AF3:AF51)</f>
        <v>49</v>
      </c>
      <c r="AG52" s="275"/>
      <c r="AH52" s="275"/>
    </row>
    <row r="53" spans="1:34" x14ac:dyDescent="0.2">
      <c r="A53" s="6"/>
      <c r="B53">
        <v>301</v>
      </c>
      <c r="C53" s="13"/>
      <c r="D53">
        <v>300</v>
      </c>
      <c r="E53" s="23"/>
      <c r="F53" s="20">
        <v>64</v>
      </c>
      <c r="G53" s="38"/>
      <c r="H53">
        <v>22.6</v>
      </c>
      <c r="I53" s="119"/>
      <c r="J53">
        <v>32</v>
      </c>
      <c r="K53" s="140"/>
      <c r="L53">
        <v>64</v>
      </c>
      <c r="M53" s="13"/>
      <c r="N53">
        <v>16</v>
      </c>
      <c r="O53" s="23"/>
      <c r="P53">
        <v>301</v>
      </c>
      <c r="Q53" s="38"/>
      <c r="R53" s="209">
        <v>16</v>
      </c>
      <c r="S53" s="87"/>
      <c r="T53" s="209">
        <v>22.6</v>
      </c>
      <c r="U53" s="98"/>
      <c r="V53" s="209">
        <v>64</v>
      </c>
      <c r="W53" s="265" t="s">
        <v>65</v>
      </c>
      <c r="X53" s="222">
        <f>COUNT(X3:X52)</f>
        <v>50</v>
      </c>
      <c r="Y53" s="279" t="s">
        <v>65</v>
      </c>
      <c r="Z53" s="222">
        <f>COUNT(Z3:Z52)</f>
        <v>50</v>
      </c>
      <c r="AA53" s="288" t="s">
        <v>65</v>
      </c>
      <c r="AB53" s="222">
        <f>COUNT(AB3:AB52)</f>
        <v>50</v>
      </c>
      <c r="AC53" s="323"/>
      <c r="AD53" s="209">
        <v>128</v>
      </c>
      <c r="AE53" s="7" t="s">
        <v>34</v>
      </c>
      <c r="AF53" s="321">
        <f>MEDIAN(AF3:AF51)</f>
        <v>45</v>
      </c>
      <c r="AG53" s="209"/>
      <c r="AH53" s="275"/>
    </row>
    <row r="54" spans="1:34" x14ac:dyDescent="0.2">
      <c r="A54" s="6"/>
      <c r="B54">
        <v>300</v>
      </c>
      <c r="C54" s="13"/>
      <c r="D54">
        <v>180</v>
      </c>
      <c r="E54" s="23"/>
      <c r="F54" s="20">
        <v>64</v>
      </c>
      <c r="G54" s="38"/>
      <c r="H54">
        <v>301</v>
      </c>
      <c r="I54" s="123"/>
      <c r="J54">
        <v>90</v>
      </c>
      <c r="K54" s="140"/>
      <c r="L54">
        <v>180</v>
      </c>
      <c r="M54" s="13"/>
      <c r="N54">
        <v>180</v>
      </c>
      <c r="O54" s="23"/>
      <c r="P54">
        <v>45</v>
      </c>
      <c r="Q54" s="38"/>
      <c r="R54" s="209">
        <v>64</v>
      </c>
      <c r="S54" s="87"/>
      <c r="T54" s="209">
        <v>22.6</v>
      </c>
      <c r="U54" s="98"/>
      <c r="V54" s="209">
        <v>301</v>
      </c>
      <c r="W54" s="266" t="s">
        <v>34</v>
      </c>
      <c r="X54" s="223">
        <f>MEDIAN(X3:X52)</f>
        <v>45</v>
      </c>
      <c r="Y54" s="126" t="s">
        <v>34</v>
      </c>
      <c r="Z54" s="223">
        <f>MEDIAN(Z3:Z52)</f>
        <v>64</v>
      </c>
      <c r="AA54" s="143" t="s">
        <v>34</v>
      </c>
      <c r="AB54" s="223">
        <f>MEDIAN(AB3:AB52)</f>
        <v>45</v>
      </c>
      <c r="AC54" s="322"/>
      <c r="AD54" s="209">
        <v>90</v>
      </c>
      <c r="AE54" s="6" t="s">
        <v>29</v>
      </c>
      <c r="AF54" s="329">
        <v>64</v>
      </c>
      <c r="AG54" s="275"/>
      <c r="AH54" s="275"/>
    </row>
    <row r="55" spans="1:34" x14ac:dyDescent="0.2">
      <c r="A55" s="6"/>
      <c r="B55">
        <v>301</v>
      </c>
      <c r="C55" s="13"/>
      <c r="D55">
        <v>180</v>
      </c>
      <c r="E55" s="23"/>
      <c r="F55" s="20">
        <v>64</v>
      </c>
      <c r="G55" s="38"/>
      <c r="H55">
        <v>301</v>
      </c>
      <c r="I55" s="119"/>
      <c r="J55">
        <v>45</v>
      </c>
      <c r="K55" s="140"/>
      <c r="L55">
        <v>180</v>
      </c>
      <c r="M55" s="15" t="s">
        <v>34</v>
      </c>
      <c r="N55" s="12">
        <f>MEDIAN(N3:N54)</f>
        <v>27.3</v>
      </c>
      <c r="O55" s="23"/>
      <c r="P55">
        <v>32</v>
      </c>
      <c r="Q55" s="38"/>
      <c r="R55" s="209">
        <v>45</v>
      </c>
      <c r="S55" s="87"/>
      <c r="T55" s="209">
        <v>64</v>
      </c>
      <c r="U55" s="98"/>
      <c r="V55" s="209">
        <v>180</v>
      </c>
      <c r="W55" s="108" t="s">
        <v>29</v>
      </c>
      <c r="X55" s="209">
        <v>16</v>
      </c>
      <c r="Y55" s="119" t="s">
        <v>29</v>
      </c>
      <c r="Z55" s="275">
        <v>90</v>
      </c>
      <c r="AA55" s="140" t="s">
        <v>29</v>
      </c>
      <c r="AB55" s="209">
        <v>45</v>
      </c>
      <c r="AC55" s="322"/>
      <c r="AD55" s="209">
        <v>22.6</v>
      </c>
      <c r="AE55" s="6"/>
      <c r="AF55" s="329">
        <v>45</v>
      </c>
      <c r="AG55" s="275"/>
      <c r="AH55" s="275"/>
    </row>
    <row r="56" spans="1:34" x14ac:dyDescent="0.2">
      <c r="A56" s="6"/>
      <c r="B56">
        <v>301</v>
      </c>
      <c r="C56" s="13"/>
      <c r="D56">
        <v>180</v>
      </c>
      <c r="E56" s="23"/>
      <c r="F56" s="20">
        <v>90</v>
      </c>
      <c r="G56" s="38"/>
      <c r="H56">
        <v>45</v>
      </c>
      <c r="I56" s="119"/>
      <c r="J56">
        <v>180</v>
      </c>
      <c r="K56" s="143" t="s">
        <v>34</v>
      </c>
      <c r="L56" s="12">
        <f>MEDIAN(L3:L55)</f>
        <v>90</v>
      </c>
      <c r="M56" s="13" t="s">
        <v>29</v>
      </c>
      <c r="N56">
        <v>11</v>
      </c>
      <c r="O56" s="23"/>
      <c r="P56">
        <v>32</v>
      </c>
      <c r="Q56" s="38"/>
      <c r="R56" s="209">
        <v>64</v>
      </c>
      <c r="S56" s="87"/>
      <c r="T56" s="209">
        <v>32</v>
      </c>
      <c r="U56" s="98"/>
      <c r="V56" s="209">
        <v>90</v>
      </c>
      <c r="W56" s="108"/>
      <c r="X56" s="209">
        <v>90</v>
      </c>
      <c r="Y56" s="119"/>
      <c r="Z56" s="275">
        <v>64</v>
      </c>
      <c r="AA56" s="140"/>
      <c r="AB56" s="209">
        <v>90</v>
      </c>
      <c r="AC56" s="323"/>
      <c r="AD56" s="209">
        <v>16</v>
      </c>
      <c r="AE56" s="6"/>
      <c r="AF56" s="329">
        <v>90</v>
      </c>
      <c r="AG56" s="275"/>
      <c r="AH56" s="275"/>
    </row>
    <row r="57" spans="1:34" x14ac:dyDescent="0.2">
      <c r="A57" s="6"/>
      <c r="B57">
        <v>301</v>
      </c>
      <c r="C57" s="13"/>
      <c r="D57">
        <v>301</v>
      </c>
      <c r="E57" s="23"/>
      <c r="F57" s="20">
        <v>128</v>
      </c>
      <c r="G57" s="38"/>
      <c r="H57">
        <v>16</v>
      </c>
      <c r="I57" s="119"/>
      <c r="J57">
        <v>32</v>
      </c>
      <c r="K57" s="140" t="s">
        <v>29</v>
      </c>
      <c r="L57">
        <v>45</v>
      </c>
      <c r="M57" s="13"/>
      <c r="N57">
        <v>11</v>
      </c>
      <c r="O57" s="23"/>
      <c r="P57">
        <v>16</v>
      </c>
      <c r="Q57" s="38"/>
      <c r="R57" s="209">
        <v>64</v>
      </c>
      <c r="S57" s="228" t="s">
        <v>65</v>
      </c>
      <c r="T57" s="222">
        <f>COUNT(T3:T56)</f>
        <v>54</v>
      </c>
      <c r="U57" s="246" t="s">
        <v>65</v>
      </c>
      <c r="V57" s="222">
        <f>COUNT(V3:V56)</f>
        <v>54</v>
      </c>
      <c r="W57" s="108"/>
      <c r="X57" s="209">
        <v>64</v>
      </c>
      <c r="Y57" s="119"/>
      <c r="Z57" s="275">
        <v>16</v>
      </c>
      <c r="AA57" s="140"/>
      <c r="AB57" s="209">
        <v>32</v>
      </c>
      <c r="AC57" s="322"/>
      <c r="AD57" s="209">
        <v>90</v>
      </c>
      <c r="AE57" s="6"/>
      <c r="AF57" s="329">
        <v>45</v>
      </c>
      <c r="AG57" s="275"/>
      <c r="AH57" s="275"/>
    </row>
    <row r="58" spans="1:34" x14ac:dyDescent="0.2">
      <c r="A58" s="6"/>
      <c r="B58">
        <v>180</v>
      </c>
      <c r="C58" s="13"/>
      <c r="D58">
        <v>128</v>
      </c>
      <c r="E58" s="23"/>
      <c r="F58" s="20">
        <v>45</v>
      </c>
      <c r="G58" s="38"/>
      <c r="H58">
        <v>64</v>
      </c>
      <c r="I58" s="119"/>
      <c r="J58">
        <v>64</v>
      </c>
      <c r="K58" s="140"/>
      <c r="L58">
        <v>45</v>
      </c>
      <c r="M58" s="13"/>
      <c r="N58">
        <v>11</v>
      </c>
      <c r="O58" s="23"/>
      <c r="P58">
        <v>301</v>
      </c>
      <c r="Q58" s="38"/>
      <c r="R58" s="209">
        <v>64</v>
      </c>
      <c r="S58" s="230" t="s">
        <v>34</v>
      </c>
      <c r="T58" s="223">
        <f>MEDIAN(T3:T56)</f>
        <v>64</v>
      </c>
      <c r="U58" s="247" t="s">
        <v>34</v>
      </c>
      <c r="V58" s="223">
        <f>MEDIAN(V3:V56)</f>
        <v>64</v>
      </c>
      <c r="W58" s="108"/>
      <c r="X58" s="209">
        <v>45</v>
      </c>
      <c r="Y58" s="119"/>
      <c r="Z58" s="275">
        <v>45</v>
      </c>
      <c r="AA58" s="288" t="s">
        <v>72</v>
      </c>
      <c r="AB58" s="222">
        <v>3</v>
      </c>
      <c r="AC58" s="322"/>
      <c r="AD58" s="209">
        <v>45</v>
      </c>
      <c r="AE58" s="6"/>
      <c r="AF58" s="329">
        <v>22.6</v>
      </c>
      <c r="AG58" s="209"/>
      <c r="AH58" s="275"/>
    </row>
    <row r="59" spans="1:34" x14ac:dyDescent="0.2">
      <c r="A59" s="6"/>
      <c r="B59">
        <v>301</v>
      </c>
      <c r="C59" s="13"/>
      <c r="D59">
        <v>301</v>
      </c>
      <c r="E59" s="23"/>
      <c r="F59" s="20">
        <v>64</v>
      </c>
      <c r="G59" s="38"/>
      <c r="H59">
        <v>301</v>
      </c>
      <c r="I59" s="119"/>
      <c r="J59">
        <v>128</v>
      </c>
      <c r="K59" s="140"/>
      <c r="L59">
        <v>128</v>
      </c>
      <c r="M59" s="15" t="s">
        <v>36</v>
      </c>
      <c r="N59" s="12">
        <f>MEDIAN(N56:N58)</f>
        <v>11</v>
      </c>
      <c r="O59" s="23"/>
      <c r="P59">
        <v>22.6</v>
      </c>
      <c r="Q59" s="38"/>
      <c r="R59" s="209">
        <v>64</v>
      </c>
      <c r="S59" s="87" t="s">
        <v>29</v>
      </c>
      <c r="T59" s="209">
        <v>128</v>
      </c>
      <c r="U59" s="98" t="s">
        <v>29</v>
      </c>
      <c r="V59" s="209">
        <v>32</v>
      </c>
      <c r="W59" s="108"/>
      <c r="X59" s="209">
        <v>45</v>
      </c>
      <c r="Y59" s="119"/>
      <c r="Z59" s="275">
        <v>90</v>
      </c>
      <c r="AA59" s="143" t="s">
        <v>36</v>
      </c>
      <c r="AB59" s="223">
        <f>MEDIAN(AB55:AB57)</f>
        <v>45</v>
      </c>
      <c r="AC59" s="322"/>
      <c r="AD59" s="209">
        <v>45</v>
      </c>
      <c r="AE59" s="6"/>
      <c r="AF59" s="329">
        <v>45</v>
      </c>
      <c r="AG59" s="275"/>
      <c r="AH59" s="275"/>
    </row>
    <row r="60" spans="1:34" x14ac:dyDescent="0.2">
      <c r="A60" s="6"/>
      <c r="B60">
        <v>45</v>
      </c>
      <c r="C60" s="13"/>
      <c r="D60">
        <v>64</v>
      </c>
      <c r="E60" s="23"/>
      <c r="F60" s="20">
        <v>45</v>
      </c>
      <c r="G60" s="38"/>
      <c r="H60">
        <v>22.6</v>
      </c>
      <c r="I60" s="119"/>
      <c r="J60">
        <v>180</v>
      </c>
      <c r="K60" s="140"/>
      <c r="L60">
        <v>45</v>
      </c>
      <c r="M60" s="13" t="s">
        <v>28</v>
      </c>
      <c r="N60">
        <v>11</v>
      </c>
      <c r="O60" s="23"/>
      <c r="P60">
        <v>301</v>
      </c>
      <c r="Q60" s="38"/>
      <c r="R60" s="209">
        <v>22.6</v>
      </c>
      <c r="S60" s="87"/>
      <c r="T60" s="209">
        <v>90</v>
      </c>
      <c r="U60" s="98"/>
      <c r="V60" s="209">
        <v>90</v>
      </c>
      <c r="W60" s="108"/>
      <c r="X60" s="209">
        <v>128</v>
      </c>
      <c r="Y60" s="119"/>
      <c r="Z60" s="275">
        <v>64</v>
      </c>
      <c r="AA60" s="289" t="s">
        <v>28</v>
      </c>
      <c r="AB60" s="209">
        <v>90</v>
      </c>
      <c r="AC60" s="322"/>
      <c r="AD60" s="209">
        <v>45</v>
      </c>
      <c r="AE60" s="6"/>
      <c r="AF60" s="329">
        <v>22.6</v>
      </c>
      <c r="AG60" s="209"/>
      <c r="AH60" s="275"/>
    </row>
    <row r="61" spans="1:34" x14ac:dyDescent="0.2">
      <c r="A61" s="6"/>
      <c r="B61">
        <v>301</v>
      </c>
      <c r="C61" s="13"/>
      <c r="D61">
        <v>301</v>
      </c>
      <c r="E61" s="23"/>
      <c r="F61" s="20">
        <v>128</v>
      </c>
      <c r="G61" s="38"/>
      <c r="H61">
        <v>64</v>
      </c>
      <c r="I61" s="119"/>
      <c r="J61">
        <v>64</v>
      </c>
      <c r="K61" s="140"/>
      <c r="L61">
        <v>45</v>
      </c>
      <c r="M61" s="13"/>
      <c r="N61">
        <v>22.6</v>
      </c>
      <c r="O61" s="23"/>
      <c r="P61">
        <v>64</v>
      </c>
      <c r="Q61" s="38"/>
      <c r="R61" s="209">
        <v>128</v>
      </c>
      <c r="S61" s="87"/>
      <c r="T61" s="209">
        <v>64</v>
      </c>
      <c r="U61" s="98"/>
      <c r="V61" s="209">
        <v>22.6</v>
      </c>
      <c r="W61" s="108"/>
      <c r="X61" s="209">
        <v>90</v>
      </c>
      <c r="Y61" s="279" t="s">
        <v>72</v>
      </c>
      <c r="Z61" s="276">
        <v>6</v>
      </c>
      <c r="AA61" s="140"/>
      <c r="AB61" s="209">
        <v>64</v>
      </c>
      <c r="AC61" s="322"/>
      <c r="AD61" s="209">
        <v>45</v>
      </c>
      <c r="AE61" s="320" t="s">
        <v>72</v>
      </c>
      <c r="AF61" s="331">
        <v>7</v>
      </c>
      <c r="AG61" s="275"/>
      <c r="AH61" s="275"/>
    </row>
    <row r="62" spans="1:34" x14ac:dyDescent="0.2">
      <c r="A62" s="6"/>
      <c r="B62">
        <v>22.6</v>
      </c>
      <c r="C62" s="13"/>
      <c r="D62">
        <v>300</v>
      </c>
      <c r="E62" s="23"/>
      <c r="F62" s="20">
        <v>301</v>
      </c>
      <c r="G62" s="38"/>
      <c r="H62">
        <v>90</v>
      </c>
      <c r="I62" s="119"/>
      <c r="J62">
        <v>90</v>
      </c>
      <c r="K62" s="140"/>
      <c r="L62">
        <v>90</v>
      </c>
      <c r="M62" s="15" t="s">
        <v>37</v>
      </c>
      <c r="N62" s="12">
        <f>MEDIAN(N60:N61)</f>
        <v>16.8</v>
      </c>
      <c r="O62" s="23"/>
      <c r="P62">
        <v>301</v>
      </c>
      <c r="Q62" s="38"/>
      <c r="R62" s="209">
        <v>128</v>
      </c>
      <c r="S62" s="228" t="s">
        <v>72</v>
      </c>
      <c r="T62" s="222">
        <v>3</v>
      </c>
      <c r="U62" s="98"/>
      <c r="V62" s="209">
        <v>64</v>
      </c>
      <c r="W62" s="265" t="s">
        <v>72</v>
      </c>
      <c r="X62" s="222">
        <v>7</v>
      </c>
      <c r="Y62" s="126" t="s">
        <v>36</v>
      </c>
      <c r="Z62" s="223">
        <f>MEDIAN(Z55:Z60)</f>
        <v>64</v>
      </c>
      <c r="AA62" s="140"/>
      <c r="AB62" s="209">
        <v>45</v>
      </c>
      <c r="AC62" s="301" t="s">
        <v>72</v>
      </c>
      <c r="AD62" s="222">
        <f>COUNT(AD50:AD61)</f>
        <v>12</v>
      </c>
      <c r="AE62" s="7" t="s">
        <v>36</v>
      </c>
      <c r="AF62" s="321">
        <f>MEDIAN(AF54:AF60)</f>
        <v>45</v>
      </c>
      <c r="AG62" s="209"/>
      <c r="AH62" s="275"/>
    </row>
    <row r="63" spans="1:34" x14ac:dyDescent="0.2">
      <c r="A63" s="6"/>
      <c r="B63">
        <v>128</v>
      </c>
      <c r="C63" s="13"/>
      <c r="D63">
        <v>128</v>
      </c>
      <c r="E63" s="23"/>
      <c r="F63" s="20">
        <v>64</v>
      </c>
      <c r="G63" s="38"/>
      <c r="H63">
        <v>16</v>
      </c>
      <c r="I63" s="119"/>
      <c r="J63">
        <v>301</v>
      </c>
      <c r="K63" s="140"/>
      <c r="L63">
        <v>45</v>
      </c>
      <c r="M63" s="13" t="s">
        <v>27</v>
      </c>
      <c r="N63">
        <v>180</v>
      </c>
      <c r="O63" s="23"/>
      <c r="P63">
        <v>301</v>
      </c>
      <c r="Q63" s="38"/>
      <c r="R63" s="209">
        <v>32</v>
      </c>
      <c r="S63" s="230" t="s">
        <v>36</v>
      </c>
      <c r="T63" s="223">
        <f>MEDIAN(T59:T61)</f>
        <v>90</v>
      </c>
      <c r="U63" s="98"/>
      <c r="V63" s="209">
        <v>22.6</v>
      </c>
      <c r="W63" s="266" t="s">
        <v>36</v>
      </c>
      <c r="X63" s="223">
        <f>MEDIAN(X55:X61)</f>
        <v>64</v>
      </c>
      <c r="Y63" s="119" t="s">
        <v>28</v>
      </c>
      <c r="Z63" s="275">
        <v>90</v>
      </c>
      <c r="AA63" s="140"/>
      <c r="AB63" s="209">
        <v>90</v>
      </c>
      <c r="AC63" s="304" t="s">
        <v>36</v>
      </c>
      <c r="AD63" s="223">
        <f>MEDIAN(AD50:AD61)</f>
        <v>45</v>
      </c>
      <c r="AE63" s="6" t="s">
        <v>28</v>
      </c>
      <c r="AF63" s="329">
        <v>32</v>
      </c>
      <c r="AG63" s="275"/>
      <c r="AH63" s="275"/>
    </row>
    <row r="64" spans="1:34" ht="17" thickBot="1" x14ac:dyDescent="0.25">
      <c r="A64" s="6"/>
      <c r="B64">
        <v>32</v>
      </c>
      <c r="C64" s="13"/>
      <c r="D64">
        <v>64</v>
      </c>
      <c r="E64" s="23"/>
      <c r="F64" s="20">
        <v>90</v>
      </c>
      <c r="G64" s="38"/>
      <c r="H64">
        <v>90</v>
      </c>
      <c r="I64" s="119"/>
      <c r="J64">
        <v>300</v>
      </c>
      <c r="K64" s="140"/>
      <c r="L64">
        <v>64</v>
      </c>
      <c r="M64" s="16" t="s">
        <v>56</v>
      </c>
      <c r="N64" s="184">
        <f>MEDIAN(N63:N63)</f>
        <v>180</v>
      </c>
      <c r="O64" s="23"/>
      <c r="P64">
        <v>16</v>
      </c>
      <c r="Q64" s="38"/>
      <c r="R64" s="209">
        <v>90</v>
      </c>
      <c r="S64" s="87" t="s">
        <v>28</v>
      </c>
      <c r="T64" s="209">
        <v>32</v>
      </c>
      <c r="U64" s="98"/>
      <c r="V64" s="209">
        <v>11</v>
      </c>
      <c r="W64" s="108" t="s">
        <v>28</v>
      </c>
      <c r="X64" s="209">
        <v>45</v>
      </c>
      <c r="Y64" s="119"/>
      <c r="Z64" s="275">
        <v>180</v>
      </c>
      <c r="AA64" s="140"/>
      <c r="AB64" s="209">
        <v>90</v>
      </c>
      <c r="AC64" s="323" t="s">
        <v>28</v>
      </c>
      <c r="AD64" s="209">
        <v>128</v>
      </c>
      <c r="AE64" s="6"/>
      <c r="AF64" s="329">
        <v>45</v>
      </c>
      <c r="AG64" s="275"/>
      <c r="AH64" s="275"/>
    </row>
    <row r="65" spans="1:34" ht="17" thickTop="1" x14ac:dyDescent="0.2">
      <c r="A65" s="6"/>
      <c r="B65">
        <v>32</v>
      </c>
      <c r="C65" s="13"/>
      <c r="D65">
        <v>128</v>
      </c>
      <c r="E65" s="23"/>
      <c r="F65" s="20">
        <v>90</v>
      </c>
      <c r="G65" s="38"/>
      <c r="H65">
        <v>32</v>
      </c>
      <c r="I65" s="119"/>
      <c r="J65">
        <v>45</v>
      </c>
      <c r="K65" s="140"/>
      <c r="L65" s="142">
        <v>45</v>
      </c>
      <c r="M65" s="13" t="s">
        <v>55</v>
      </c>
      <c r="N65">
        <v>58</v>
      </c>
      <c r="O65" s="23"/>
      <c r="P65">
        <v>11</v>
      </c>
      <c r="Q65" s="38"/>
      <c r="R65" s="209">
        <v>128</v>
      </c>
      <c r="S65" s="87"/>
      <c r="T65" s="209">
        <v>90</v>
      </c>
      <c r="U65" s="98"/>
      <c r="V65" s="209">
        <v>45</v>
      </c>
      <c r="W65" s="108"/>
      <c r="X65" s="209">
        <v>22.6</v>
      </c>
      <c r="Y65" s="119"/>
      <c r="Z65" s="275">
        <v>64</v>
      </c>
      <c r="AA65" s="140"/>
      <c r="AB65" s="209">
        <v>45</v>
      </c>
      <c r="AC65" s="323"/>
      <c r="AD65" s="209">
        <v>180</v>
      </c>
      <c r="AE65" s="320" t="s">
        <v>73</v>
      </c>
      <c r="AF65" s="331">
        <v>2</v>
      </c>
      <c r="AG65" s="275"/>
      <c r="AH65" s="275"/>
    </row>
    <row r="66" spans="1:34" x14ac:dyDescent="0.2">
      <c r="A66" s="6"/>
      <c r="B66">
        <v>64</v>
      </c>
      <c r="C66" s="13"/>
      <c r="D66">
        <v>180</v>
      </c>
      <c r="E66" s="23"/>
      <c r="F66" s="20">
        <v>128</v>
      </c>
      <c r="G66" s="38"/>
      <c r="H66">
        <v>32</v>
      </c>
      <c r="I66" s="119"/>
      <c r="J66">
        <v>180</v>
      </c>
      <c r="K66" s="140"/>
      <c r="L66" s="142">
        <v>90</v>
      </c>
      <c r="O66" s="23"/>
      <c r="P66">
        <v>22.6</v>
      </c>
      <c r="Q66" s="38"/>
      <c r="R66" s="209">
        <v>128</v>
      </c>
      <c r="S66" s="87"/>
      <c r="T66" s="209">
        <v>64</v>
      </c>
      <c r="U66" s="246" t="s">
        <v>72</v>
      </c>
      <c r="V66" s="222">
        <v>7</v>
      </c>
      <c r="W66" s="108"/>
      <c r="X66" s="209">
        <v>45</v>
      </c>
      <c r="Y66" s="119"/>
      <c r="Z66" s="275">
        <v>64</v>
      </c>
      <c r="AA66" s="140"/>
      <c r="AB66" s="209">
        <v>90</v>
      </c>
      <c r="AC66" s="323"/>
      <c r="AD66" s="209">
        <v>90</v>
      </c>
      <c r="AE66" s="7" t="s">
        <v>37</v>
      </c>
      <c r="AF66" s="321">
        <f>MEDIAN(AF63:AF64)</f>
        <v>38.5</v>
      </c>
      <c r="AG66" s="209"/>
      <c r="AH66" s="275"/>
    </row>
    <row r="67" spans="1:34" x14ac:dyDescent="0.2">
      <c r="A67" s="6"/>
      <c r="B67">
        <v>32</v>
      </c>
      <c r="C67" s="13"/>
      <c r="D67">
        <v>64</v>
      </c>
      <c r="E67" s="23"/>
      <c r="F67" s="20">
        <v>90</v>
      </c>
      <c r="G67" s="38"/>
      <c r="H67">
        <v>22.6</v>
      </c>
      <c r="I67" s="119"/>
      <c r="J67">
        <v>300</v>
      </c>
      <c r="K67" s="140"/>
      <c r="L67" s="142">
        <v>64</v>
      </c>
      <c r="O67" s="23"/>
      <c r="P67">
        <v>11</v>
      </c>
      <c r="Q67" s="38"/>
      <c r="R67" s="209">
        <v>90</v>
      </c>
      <c r="S67" s="87"/>
      <c r="T67" s="209">
        <v>64</v>
      </c>
      <c r="U67" s="247" t="s">
        <v>36</v>
      </c>
      <c r="V67" s="223">
        <f>MEDIAN(V59:V65)</f>
        <v>32</v>
      </c>
      <c r="W67" s="108"/>
      <c r="X67" s="209">
        <v>128</v>
      </c>
      <c r="Y67" s="119"/>
      <c r="Z67" s="275">
        <v>64</v>
      </c>
      <c r="AA67" s="140"/>
      <c r="AB67" s="209">
        <v>64</v>
      </c>
      <c r="AC67" s="323"/>
      <c r="AD67" s="209">
        <v>64</v>
      </c>
      <c r="AE67" s="6" t="s">
        <v>27</v>
      </c>
      <c r="AF67" s="329">
        <v>45</v>
      </c>
      <c r="AG67" s="209"/>
      <c r="AH67" s="275"/>
    </row>
    <row r="68" spans="1:34" x14ac:dyDescent="0.2">
      <c r="A68" s="6"/>
      <c r="B68">
        <v>22.6</v>
      </c>
      <c r="C68" s="13"/>
      <c r="D68">
        <v>180</v>
      </c>
      <c r="E68" s="23"/>
      <c r="F68" s="20">
        <v>22.6</v>
      </c>
      <c r="G68" s="38"/>
      <c r="H68">
        <v>32</v>
      </c>
      <c r="I68" s="119"/>
      <c r="J68">
        <v>90</v>
      </c>
      <c r="K68" s="140"/>
      <c r="L68" s="142">
        <v>32</v>
      </c>
      <c r="O68" s="23"/>
      <c r="P68">
        <v>11</v>
      </c>
      <c r="Q68" s="38"/>
      <c r="R68" s="209">
        <v>128</v>
      </c>
      <c r="S68" s="87"/>
      <c r="T68" s="209">
        <v>90</v>
      </c>
      <c r="U68" s="98" t="s">
        <v>28</v>
      </c>
      <c r="V68" s="209">
        <v>90</v>
      </c>
      <c r="W68" s="108"/>
      <c r="X68" s="209">
        <v>64</v>
      </c>
      <c r="Y68" s="119"/>
      <c r="Z68" s="275">
        <v>128</v>
      </c>
      <c r="AA68" s="288" t="s">
        <v>73</v>
      </c>
      <c r="AB68" s="222">
        <f>COUNT(AB60:AB67)</f>
        <v>8</v>
      </c>
      <c r="AC68" s="323"/>
      <c r="AD68" s="209">
        <v>90</v>
      </c>
      <c r="AE68" s="6"/>
      <c r="AF68" s="329">
        <v>16</v>
      </c>
      <c r="AG68" s="209"/>
      <c r="AH68" s="275"/>
    </row>
    <row r="69" spans="1:34" x14ac:dyDescent="0.2">
      <c r="A69" s="6"/>
      <c r="B69">
        <v>64</v>
      </c>
      <c r="C69" s="13"/>
      <c r="D69">
        <v>45</v>
      </c>
      <c r="E69" s="23"/>
      <c r="F69" s="20">
        <v>128</v>
      </c>
      <c r="G69" s="38"/>
      <c r="H69">
        <v>64</v>
      </c>
      <c r="I69" s="119"/>
      <c r="J69">
        <v>64</v>
      </c>
      <c r="K69" s="140"/>
      <c r="L69" s="142">
        <v>45</v>
      </c>
      <c r="O69" s="23"/>
      <c r="P69">
        <v>64</v>
      </c>
      <c r="Q69" s="38"/>
      <c r="R69" s="209">
        <v>90</v>
      </c>
      <c r="S69" s="228" t="s">
        <v>73</v>
      </c>
      <c r="T69" s="222">
        <v>5</v>
      </c>
      <c r="U69" s="246" t="s">
        <v>73</v>
      </c>
      <c r="V69" s="222">
        <v>1</v>
      </c>
      <c r="W69" s="108"/>
      <c r="X69" s="209">
        <v>64</v>
      </c>
      <c r="Y69" s="119"/>
      <c r="Z69" s="275">
        <v>45</v>
      </c>
      <c r="AA69" s="143" t="s">
        <v>37</v>
      </c>
      <c r="AB69" s="223">
        <f>MEDIAN(AB60:AB67)</f>
        <v>77</v>
      </c>
      <c r="AC69" s="323"/>
      <c r="AD69" s="209">
        <v>128</v>
      </c>
      <c r="AE69" s="6"/>
      <c r="AF69" s="329">
        <v>64</v>
      </c>
      <c r="AG69" s="209"/>
      <c r="AH69" s="275"/>
    </row>
    <row r="70" spans="1:34" x14ac:dyDescent="0.2">
      <c r="A70" s="6"/>
      <c r="B70">
        <v>301</v>
      </c>
      <c r="C70" s="13"/>
      <c r="D70">
        <v>301</v>
      </c>
      <c r="E70" s="23"/>
      <c r="F70" s="20">
        <v>301</v>
      </c>
      <c r="G70" s="38"/>
      <c r="H70">
        <v>301</v>
      </c>
      <c r="I70" s="119"/>
      <c r="J70">
        <v>45</v>
      </c>
      <c r="K70" s="140"/>
      <c r="L70" s="142">
        <v>90</v>
      </c>
      <c r="O70" s="23"/>
      <c r="P70">
        <v>32</v>
      </c>
      <c r="Q70" s="38"/>
      <c r="R70" s="209">
        <v>90</v>
      </c>
      <c r="S70" s="230" t="s">
        <v>37</v>
      </c>
      <c r="T70" s="223">
        <f>MEDIAN(T64:T68)</f>
        <v>64</v>
      </c>
      <c r="U70" s="247" t="s">
        <v>37</v>
      </c>
      <c r="V70" s="223">
        <v>90</v>
      </c>
      <c r="W70" s="108"/>
      <c r="X70" s="209">
        <v>128</v>
      </c>
      <c r="Y70" s="279" t="s">
        <v>73</v>
      </c>
      <c r="Z70" s="276">
        <v>7</v>
      </c>
      <c r="AA70" s="140" t="s">
        <v>27</v>
      </c>
      <c r="AB70" s="209">
        <v>22.6</v>
      </c>
      <c r="AC70" s="325" t="s">
        <v>73</v>
      </c>
      <c r="AD70" s="222">
        <v>6</v>
      </c>
      <c r="AE70" s="6"/>
      <c r="AF70" s="329">
        <v>45</v>
      </c>
      <c r="AG70" s="209"/>
      <c r="AH70" s="275"/>
    </row>
    <row r="71" spans="1:34" x14ac:dyDescent="0.2">
      <c r="A71" s="6"/>
      <c r="B71">
        <v>64</v>
      </c>
      <c r="C71" s="13"/>
      <c r="D71">
        <v>45</v>
      </c>
      <c r="E71" s="23"/>
      <c r="F71" s="20">
        <v>300</v>
      </c>
      <c r="G71" s="38"/>
      <c r="H71">
        <v>22.6</v>
      </c>
      <c r="I71" s="119"/>
      <c r="J71">
        <v>180</v>
      </c>
      <c r="K71" s="140"/>
      <c r="L71" s="142">
        <v>90</v>
      </c>
      <c r="O71" s="23"/>
      <c r="P71">
        <v>301</v>
      </c>
      <c r="Q71" s="38"/>
      <c r="R71" s="209">
        <v>8</v>
      </c>
      <c r="S71" s="87" t="s">
        <v>27</v>
      </c>
      <c r="T71" s="209">
        <v>90</v>
      </c>
      <c r="U71" s="98" t="s">
        <v>27</v>
      </c>
      <c r="V71" s="209">
        <v>22.6</v>
      </c>
      <c r="W71" s="265" t="s">
        <v>73</v>
      </c>
      <c r="X71" s="222">
        <v>7</v>
      </c>
      <c r="Y71" s="126" t="s">
        <v>37</v>
      </c>
      <c r="Z71" s="223">
        <f>MEDIAN(Z63:Z69)</f>
        <v>64</v>
      </c>
      <c r="AA71" s="140"/>
      <c r="AB71" s="209">
        <v>90</v>
      </c>
      <c r="AC71" s="324" t="s">
        <v>37</v>
      </c>
      <c r="AD71" s="223">
        <f>MEDIAN(AD64:AD69)</f>
        <v>109</v>
      </c>
      <c r="AE71" s="6"/>
      <c r="AF71" s="329">
        <v>90</v>
      </c>
      <c r="AG71" s="209"/>
      <c r="AH71" s="275"/>
    </row>
    <row r="72" spans="1:34" x14ac:dyDescent="0.2">
      <c r="A72" s="6"/>
      <c r="B72">
        <v>128</v>
      </c>
      <c r="C72" s="13"/>
      <c r="D72">
        <v>301</v>
      </c>
      <c r="E72" s="23"/>
      <c r="F72" s="20">
        <v>64</v>
      </c>
      <c r="G72" s="38"/>
      <c r="H72">
        <v>301</v>
      </c>
      <c r="I72" s="119"/>
      <c r="J72">
        <v>301</v>
      </c>
      <c r="K72" s="140"/>
      <c r="L72" s="142">
        <v>64</v>
      </c>
      <c r="O72" s="23"/>
      <c r="P72">
        <v>128</v>
      </c>
      <c r="Q72" s="38"/>
      <c r="R72" s="209">
        <v>32</v>
      </c>
      <c r="S72" s="87"/>
      <c r="T72" s="209">
        <v>180</v>
      </c>
      <c r="U72" s="98"/>
      <c r="V72" s="209">
        <v>300</v>
      </c>
      <c r="W72" s="266" t="s">
        <v>37</v>
      </c>
      <c r="X72" s="223">
        <f>MEDIAN(X64:X70)</f>
        <v>64</v>
      </c>
      <c r="Y72" s="119" t="s">
        <v>27</v>
      </c>
      <c r="Z72" s="275">
        <v>128</v>
      </c>
      <c r="AA72" s="140"/>
      <c r="AB72" s="209">
        <v>22.6</v>
      </c>
      <c r="AC72" s="323" t="s">
        <v>27</v>
      </c>
      <c r="AD72" s="209">
        <v>64</v>
      </c>
      <c r="AE72" s="6"/>
      <c r="AF72" s="329">
        <v>64</v>
      </c>
      <c r="AG72" s="209"/>
      <c r="AH72" s="275"/>
    </row>
    <row r="73" spans="1:34" x14ac:dyDescent="0.2">
      <c r="A73" s="6"/>
      <c r="B73">
        <v>22.6</v>
      </c>
      <c r="C73" s="13"/>
      <c r="D73">
        <v>22.6</v>
      </c>
      <c r="E73" s="23"/>
      <c r="F73" s="20">
        <v>22.6</v>
      </c>
      <c r="G73" s="38"/>
      <c r="H73">
        <v>301</v>
      </c>
      <c r="I73" s="119"/>
      <c r="J73">
        <v>64</v>
      </c>
      <c r="K73" s="143" t="s">
        <v>36</v>
      </c>
      <c r="L73" s="144">
        <f>MEDIAN(L57:L72)</f>
        <v>54.5</v>
      </c>
      <c r="O73" s="22" t="s">
        <v>34</v>
      </c>
      <c r="P73" s="1">
        <f>MEDIAN(P3:P72)</f>
        <v>64</v>
      </c>
      <c r="Q73" s="189" t="s">
        <v>65</v>
      </c>
      <c r="R73" s="222">
        <f>COUNT(R3:R72)</f>
        <v>70</v>
      </c>
      <c r="S73" s="87"/>
      <c r="T73" s="209">
        <v>128</v>
      </c>
      <c r="U73" s="98"/>
      <c r="V73" s="209">
        <v>180</v>
      </c>
      <c r="W73" s="108" t="s">
        <v>27</v>
      </c>
      <c r="X73" s="209">
        <v>16</v>
      </c>
      <c r="Y73" s="119"/>
      <c r="Z73" s="275">
        <v>128</v>
      </c>
      <c r="AA73" s="140"/>
      <c r="AB73" s="209">
        <v>128</v>
      </c>
      <c r="AC73" s="323"/>
      <c r="AD73" s="209">
        <v>180</v>
      </c>
      <c r="AE73" s="320" t="s">
        <v>69</v>
      </c>
      <c r="AF73" s="331">
        <v>6</v>
      </c>
      <c r="AG73" s="275"/>
      <c r="AH73" s="275"/>
    </row>
    <row r="74" spans="1:34" x14ac:dyDescent="0.2">
      <c r="A74" s="6"/>
      <c r="B74">
        <v>64</v>
      </c>
      <c r="C74" s="13"/>
      <c r="D74">
        <v>128</v>
      </c>
      <c r="E74" s="23"/>
      <c r="F74" s="20">
        <v>180</v>
      </c>
      <c r="G74" s="38"/>
      <c r="H74">
        <v>90</v>
      </c>
      <c r="I74" s="119"/>
      <c r="J74">
        <v>300</v>
      </c>
      <c r="K74" s="140" t="s">
        <v>28</v>
      </c>
      <c r="L74" s="142">
        <v>45</v>
      </c>
      <c r="O74" s="23" t="s">
        <v>29</v>
      </c>
      <c r="P74">
        <v>45</v>
      </c>
      <c r="Q74" s="41" t="s">
        <v>34</v>
      </c>
      <c r="R74" s="223">
        <f>MEDIAN(R3:R72)</f>
        <v>64</v>
      </c>
      <c r="S74" s="87"/>
      <c r="T74" s="209">
        <v>128</v>
      </c>
      <c r="U74" s="98"/>
      <c r="V74" s="209">
        <v>64</v>
      </c>
      <c r="W74" s="108"/>
      <c r="X74" s="209">
        <v>32</v>
      </c>
      <c r="Y74" s="119"/>
      <c r="Z74" s="275">
        <v>300</v>
      </c>
      <c r="AA74" s="140"/>
      <c r="AB74" s="209">
        <v>128</v>
      </c>
      <c r="AC74" s="323"/>
      <c r="AD74" s="209">
        <v>45</v>
      </c>
      <c r="AE74" s="7" t="s">
        <v>56</v>
      </c>
      <c r="AF74" s="321">
        <f>MEDIAN(AF67:AF72)</f>
        <v>54.5</v>
      </c>
      <c r="AG74" s="209"/>
      <c r="AH74" s="275"/>
    </row>
    <row r="75" spans="1:34" x14ac:dyDescent="0.2">
      <c r="A75" s="6"/>
      <c r="B75">
        <v>16</v>
      </c>
      <c r="C75" s="13"/>
      <c r="D75">
        <v>45</v>
      </c>
      <c r="E75" s="23"/>
      <c r="F75" s="20">
        <v>64</v>
      </c>
      <c r="G75" s="38"/>
      <c r="H75">
        <v>90</v>
      </c>
      <c r="I75" s="119"/>
      <c r="J75">
        <v>300</v>
      </c>
      <c r="K75" s="140"/>
      <c r="L75" s="142">
        <v>64</v>
      </c>
      <c r="O75" s="23"/>
      <c r="P75">
        <v>11</v>
      </c>
      <c r="Q75" s="38" t="s">
        <v>29</v>
      </c>
      <c r="R75" s="209">
        <v>64</v>
      </c>
      <c r="S75" s="87"/>
      <c r="T75" s="209">
        <v>301</v>
      </c>
      <c r="U75" s="98"/>
      <c r="V75" s="209">
        <v>64</v>
      </c>
      <c r="W75" s="108"/>
      <c r="X75" s="209">
        <v>301</v>
      </c>
      <c r="Y75" s="119"/>
      <c r="Z75" s="275">
        <v>45</v>
      </c>
      <c r="AA75" s="140"/>
      <c r="AB75" s="209">
        <v>180</v>
      </c>
      <c r="AC75" s="323"/>
      <c r="AD75" s="209">
        <v>180</v>
      </c>
      <c r="AE75" s="6" t="s">
        <v>30</v>
      </c>
      <c r="AF75" s="329">
        <v>11</v>
      </c>
      <c r="AG75" s="209"/>
      <c r="AH75" s="275"/>
    </row>
    <row r="76" spans="1:34" x14ac:dyDescent="0.2">
      <c r="A76" s="6"/>
      <c r="B76">
        <v>90</v>
      </c>
      <c r="C76" s="13"/>
      <c r="D76">
        <v>90</v>
      </c>
      <c r="E76" s="23"/>
      <c r="F76" s="20">
        <v>45</v>
      </c>
      <c r="G76" s="38"/>
      <c r="H76">
        <v>128</v>
      </c>
      <c r="I76" s="119"/>
      <c r="J76">
        <v>128</v>
      </c>
      <c r="K76" s="140"/>
      <c r="L76" s="142">
        <v>301</v>
      </c>
      <c r="O76" s="23"/>
      <c r="P76">
        <v>22.6</v>
      </c>
      <c r="Q76" s="38"/>
      <c r="R76" s="209">
        <v>32</v>
      </c>
      <c r="S76" s="87"/>
      <c r="T76" s="209">
        <v>128</v>
      </c>
      <c r="U76" s="98"/>
      <c r="V76" s="209">
        <v>45</v>
      </c>
      <c r="W76" s="108"/>
      <c r="X76" s="209">
        <v>90</v>
      </c>
      <c r="Y76" s="119"/>
      <c r="Z76" s="275">
        <v>64</v>
      </c>
      <c r="AA76" s="140"/>
      <c r="AB76" s="209">
        <v>180</v>
      </c>
      <c r="AC76" s="323"/>
      <c r="AD76" s="209">
        <v>64</v>
      </c>
      <c r="AE76" s="6"/>
      <c r="AF76" s="329">
        <v>90</v>
      </c>
      <c r="AG76" s="209"/>
      <c r="AH76" s="275"/>
    </row>
    <row r="77" spans="1:34" x14ac:dyDescent="0.2">
      <c r="A77" s="6"/>
      <c r="B77">
        <v>32</v>
      </c>
      <c r="C77" s="13"/>
      <c r="D77">
        <v>45</v>
      </c>
      <c r="E77" s="23"/>
      <c r="F77" s="20">
        <v>128</v>
      </c>
      <c r="G77" s="38"/>
      <c r="H77">
        <v>301</v>
      </c>
      <c r="I77" s="119"/>
      <c r="J77">
        <v>16</v>
      </c>
      <c r="K77" s="140"/>
      <c r="L77" s="142">
        <v>90</v>
      </c>
      <c r="O77" s="23"/>
      <c r="P77">
        <v>16</v>
      </c>
      <c r="Q77" s="38"/>
      <c r="R77" s="209">
        <v>45</v>
      </c>
      <c r="S77" s="87"/>
      <c r="T77" s="209">
        <v>32</v>
      </c>
      <c r="U77" s="98"/>
      <c r="V77" s="209">
        <v>64</v>
      </c>
      <c r="W77" s="108"/>
      <c r="X77" s="209">
        <v>64</v>
      </c>
      <c r="Y77" s="119"/>
      <c r="Z77" s="275">
        <v>45</v>
      </c>
      <c r="AA77" s="140"/>
      <c r="AB77" s="209">
        <v>64</v>
      </c>
      <c r="AC77" s="323"/>
      <c r="AD77" s="209">
        <v>90</v>
      </c>
      <c r="AE77" s="6"/>
      <c r="AF77" s="329">
        <v>64</v>
      </c>
      <c r="AG77" s="209"/>
      <c r="AH77" s="275"/>
    </row>
    <row r="78" spans="1:34" x14ac:dyDescent="0.2">
      <c r="A78" s="6"/>
      <c r="B78">
        <v>32</v>
      </c>
      <c r="C78" s="13"/>
      <c r="D78">
        <v>90</v>
      </c>
      <c r="E78" s="23"/>
      <c r="F78" s="20">
        <v>45</v>
      </c>
      <c r="G78" s="38"/>
      <c r="H78">
        <v>128</v>
      </c>
      <c r="I78" s="119"/>
      <c r="J78">
        <v>22.6</v>
      </c>
      <c r="K78" s="140"/>
      <c r="L78" s="142">
        <v>128</v>
      </c>
      <c r="O78" s="23"/>
      <c r="P78">
        <v>16</v>
      </c>
      <c r="Q78" s="38"/>
      <c r="R78" s="209">
        <v>16</v>
      </c>
      <c r="S78" s="87"/>
      <c r="T78" s="209">
        <v>32</v>
      </c>
      <c r="U78" s="98"/>
      <c r="V78" s="209">
        <v>128</v>
      </c>
      <c r="W78" s="108"/>
      <c r="X78" s="209">
        <v>180</v>
      </c>
      <c r="Y78" s="119"/>
      <c r="Z78" s="275">
        <v>16</v>
      </c>
      <c r="AA78" s="140"/>
      <c r="AB78" s="209">
        <v>180</v>
      </c>
      <c r="AC78" s="323"/>
      <c r="AD78" s="209">
        <v>64</v>
      </c>
      <c r="AE78" s="6"/>
      <c r="AF78" s="329">
        <v>32</v>
      </c>
      <c r="AG78" s="209"/>
      <c r="AH78" s="275"/>
    </row>
    <row r="79" spans="1:34" x14ac:dyDescent="0.2">
      <c r="A79" s="6"/>
      <c r="B79">
        <v>90</v>
      </c>
      <c r="C79" s="13"/>
      <c r="D79">
        <v>16</v>
      </c>
      <c r="E79" s="23"/>
      <c r="F79" s="20">
        <v>300</v>
      </c>
      <c r="G79" s="38"/>
      <c r="H79">
        <v>301</v>
      </c>
      <c r="I79" s="119"/>
      <c r="J79">
        <v>45</v>
      </c>
      <c r="K79" s="140"/>
      <c r="L79" s="142">
        <v>300</v>
      </c>
      <c r="O79" s="23"/>
      <c r="P79">
        <v>22.6</v>
      </c>
      <c r="Q79" s="189" t="s">
        <v>66</v>
      </c>
      <c r="R79" s="222">
        <v>4</v>
      </c>
      <c r="S79" s="87"/>
      <c r="T79" s="209">
        <v>64</v>
      </c>
      <c r="U79" s="98"/>
      <c r="V79" s="209">
        <v>64</v>
      </c>
      <c r="W79" s="108"/>
      <c r="X79" s="209">
        <v>90</v>
      </c>
      <c r="Y79" s="119"/>
      <c r="Z79" s="275">
        <v>90</v>
      </c>
      <c r="AA79" s="140"/>
      <c r="AB79" s="209">
        <v>32</v>
      </c>
      <c r="AC79" s="323"/>
      <c r="AD79" s="209">
        <v>90</v>
      </c>
      <c r="AE79" s="6"/>
      <c r="AF79" s="329">
        <v>22.6</v>
      </c>
      <c r="AG79" s="209"/>
      <c r="AH79" s="275"/>
    </row>
    <row r="80" spans="1:34" x14ac:dyDescent="0.2">
      <c r="A80" s="6"/>
      <c r="B80">
        <v>90</v>
      </c>
      <c r="C80" s="13"/>
      <c r="D80">
        <v>64</v>
      </c>
      <c r="E80" s="23"/>
      <c r="F80" s="20">
        <v>128</v>
      </c>
      <c r="G80" s="38"/>
      <c r="H80">
        <v>128</v>
      </c>
      <c r="I80" s="119"/>
      <c r="J80">
        <v>64</v>
      </c>
      <c r="K80" s="140"/>
      <c r="L80" s="142">
        <v>90</v>
      </c>
      <c r="O80" s="23"/>
      <c r="P80">
        <v>32</v>
      </c>
      <c r="Q80" s="41" t="s">
        <v>36</v>
      </c>
      <c r="R80" s="223">
        <f>MEDIAN(R75:R78)</f>
        <v>38.5</v>
      </c>
      <c r="S80" s="87"/>
      <c r="T80" s="209">
        <v>22.6</v>
      </c>
      <c r="U80" s="98"/>
      <c r="V80" s="209">
        <v>300</v>
      </c>
      <c r="W80" s="108"/>
      <c r="X80" s="209">
        <v>128</v>
      </c>
      <c r="Y80" s="119"/>
      <c r="Z80" s="275">
        <v>32</v>
      </c>
      <c r="AA80" s="140"/>
      <c r="AB80" s="209">
        <v>180</v>
      </c>
      <c r="AC80" s="323"/>
      <c r="AD80" s="209">
        <v>64</v>
      </c>
      <c r="AE80" s="6"/>
      <c r="AF80" s="329">
        <v>32</v>
      </c>
      <c r="AG80" s="209"/>
      <c r="AH80" s="275"/>
    </row>
    <row r="81" spans="1:34" x14ac:dyDescent="0.2">
      <c r="A81" s="6"/>
      <c r="B81">
        <v>180</v>
      </c>
      <c r="C81" s="13"/>
      <c r="D81">
        <v>300</v>
      </c>
      <c r="E81" s="23"/>
      <c r="F81" s="20">
        <v>64</v>
      </c>
      <c r="G81" s="38"/>
      <c r="H81">
        <v>90</v>
      </c>
      <c r="I81" s="119"/>
      <c r="J81">
        <v>45</v>
      </c>
      <c r="K81" s="140"/>
      <c r="L81" s="142">
        <v>90</v>
      </c>
      <c r="O81" s="23"/>
      <c r="P81">
        <v>11</v>
      </c>
      <c r="Q81" s="38" t="s">
        <v>28</v>
      </c>
      <c r="R81" s="209">
        <v>22.6</v>
      </c>
      <c r="S81" s="87"/>
      <c r="T81" s="209">
        <v>128</v>
      </c>
      <c r="U81" s="98"/>
      <c r="V81" s="209">
        <v>45</v>
      </c>
      <c r="W81" s="108"/>
      <c r="X81" s="209">
        <v>300</v>
      </c>
      <c r="Y81" s="119"/>
      <c r="Z81" s="275">
        <v>64</v>
      </c>
      <c r="AA81" s="140"/>
      <c r="AB81" s="209">
        <v>128</v>
      </c>
      <c r="AC81" s="323"/>
      <c r="AD81" s="209">
        <v>128</v>
      </c>
      <c r="AE81" s="6"/>
      <c r="AF81" s="329">
        <v>16</v>
      </c>
      <c r="AG81" s="209"/>
      <c r="AH81" s="275"/>
    </row>
    <row r="82" spans="1:34" x14ac:dyDescent="0.2">
      <c r="A82" s="6"/>
      <c r="B82">
        <v>90</v>
      </c>
      <c r="C82" s="13"/>
      <c r="D82">
        <v>32</v>
      </c>
      <c r="E82" s="23"/>
      <c r="F82" s="20">
        <v>64</v>
      </c>
      <c r="G82" s="41" t="s">
        <v>34</v>
      </c>
      <c r="H82" s="12">
        <f>MEDIAN(H3:H81)</f>
        <v>90</v>
      </c>
      <c r="I82" s="119"/>
      <c r="J82">
        <v>64</v>
      </c>
      <c r="K82" s="140"/>
      <c r="L82" s="142">
        <v>64</v>
      </c>
      <c r="O82" s="23"/>
      <c r="P82">
        <v>22.6</v>
      </c>
      <c r="Q82" s="38"/>
      <c r="R82" s="209">
        <v>32</v>
      </c>
      <c r="S82" s="87"/>
      <c r="T82" s="209">
        <v>90</v>
      </c>
      <c r="U82" s="98"/>
      <c r="V82" s="209">
        <v>128</v>
      </c>
      <c r="W82" s="108"/>
      <c r="X82" s="209">
        <v>90</v>
      </c>
      <c r="Y82" s="119"/>
      <c r="Z82" s="275">
        <v>45</v>
      </c>
      <c r="AA82" s="288" t="s">
        <v>69</v>
      </c>
      <c r="AB82" s="222">
        <f>COUNT(AB70:AB81)</f>
        <v>12</v>
      </c>
      <c r="AC82" s="323"/>
      <c r="AD82" s="209">
        <v>64</v>
      </c>
      <c r="AE82" s="320" t="s">
        <v>70</v>
      </c>
      <c r="AF82" s="330">
        <f>COUNT(AF75:AF81)</f>
        <v>7</v>
      </c>
      <c r="AG82" s="209"/>
      <c r="AH82" s="275"/>
    </row>
    <row r="83" spans="1:34" ht="17" thickBot="1" x14ac:dyDescent="0.25">
      <c r="A83" s="6"/>
      <c r="B83">
        <v>128</v>
      </c>
      <c r="C83" s="15" t="s">
        <v>34</v>
      </c>
      <c r="D83" s="12">
        <f>MEDIAN(D3:D82)</f>
        <v>128</v>
      </c>
      <c r="E83" s="23"/>
      <c r="F83" s="20">
        <v>32</v>
      </c>
      <c r="G83" s="38" t="s">
        <v>29</v>
      </c>
      <c r="H83">
        <v>90</v>
      </c>
      <c r="I83" s="119"/>
      <c r="J83">
        <v>45</v>
      </c>
      <c r="K83" s="140"/>
      <c r="L83" s="142">
        <v>128</v>
      </c>
      <c r="O83" s="23"/>
      <c r="P83">
        <v>22.6</v>
      </c>
      <c r="Q83" s="38"/>
      <c r="R83" s="209">
        <v>128</v>
      </c>
      <c r="S83" s="87"/>
      <c r="T83" s="209">
        <v>180</v>
      </c>
      <c r="U83" s="98"/>
      <c r="V83" s="209">
        <v>180</v>
      </c>
      <c r="W83" s="108"/>
      <c r="X83" s="209">
        <v>128</v>
      </c>
      <c r="Y83" s="119"/>
      <c r="Z83" s="275">
        <v>128</v>
      </c>
      <c r="AA83" s="143" t="s">
        <v>56</v>
      </c>
      <c r="AB83" s="286">
        <f>MEDIAN(AB70:AB81)</f>
        <v>128</v>
      </c>
      <c r="AC83" s="323"/>
      <c r="AD83" s="209">
        <v>64</v>
      </c>
      <c r="AE83" s="8" t="s">
        <v>71</v>
      </c>
      <c r="AF83" s="9">
        <f>MEDIAN(AF75:AF81)</f>
        <v>32</v>
      </c>
      <c r="AG83" s="209"/>
      <c r="AH83" s="275"/>
    </row>
    <row r="84" spans="1:34" ht="17" thickTop="1" x14ac:dyDescent="0.2">
      <c r="A84" s="6"/>
      <c r="B84">
        <v>45</v>
      </c>
      <c r="C84" s="13" t="s">
        <v>29</v>
      </c>
      <c r="D84">
        <v>45</v>
      </c>
      <c r="E84" s="25" t="s">
        <v>34</v>
      </c>
      <c r="F84" s="12">
        <f>MEDIAN(F3:F83)</f>
        <v>128</v>
      </c>
      <c r="G84" s="38"/>
      <c r="H84">
        <v>45</v>
      </c>
      <c r="I84" s="119"/>
      <c r="J84">
        <v>90</v>
      </c>
      <c r="K84" s="140"/>
      <c r="L84" s="142">
        <v>128</v>
      </c>
      <c r="O84" s="23"/>
      <c r="P84">
        <v>22.6</v>
      </c>
      <c r="Q84" s="38"/>
      <c r="R84" s="209">
        <v>90</v>
      </c>
      <c r="S84" s="87"/>
      <c r="T84" s="209">
        <v>180</v>
      </c>
      <c r="U84" s="98"/>
      <c r="V84" s="209">
        <v>22.6</v>
      </c>
      <c r="W84" s="108"/>
      <c r="X84" s="209">
        <v>301</v>
      </c>
      <c r="Y84" s="119"/>
      <c r="Z84" s="275">
        <v>16</v>
      </c>
      <c r="AA84" s="140" t="s">
        <v>30</v>
      </c>
      <c r="AB84" s="209">
        <v>64</v>
      </c>
      <c r="AC84" s="323"/>
      <c r="AD84" s="293">
        <v>180</v>
      </c>
      <c r="AE84" s="209" t="s">
        <v>55</v>
      </c>
      <c r="AF84" s="332">
        <v>71</v>
      </c>
      <c r="AG84" s="209"/>
      <c r="AH84" s="275"/>
    </row>
    <row r="85" spans="1:34" x14ac:dyDescent="0.2">
      <c r="A85" s="6"/>
      <c r="B85">
        <v>128</v>
      </c>
      <c r="C85" s="13"/>
      <c r="D85">
        <v>180</v>
      </c>
      <c r="E85" s="23" t="s">
        <v>29</v>
      </c>
      <c r="F85" s="20">
        <v>64</v>
      </c>
      <c r="G85" s="38"/>
      <c r="H85">
        <v>32</v>
      </c>
      <c r="I85" s="126" t="s">
        <v>34</v>
      </c>
      <c r="J85" s="12">
        <f>MEDIAN(J3:J84)</f>
        <v>90</v>
      </c>
      <c r="K85" s="143" t="s">
        <v>37</v>
      </c>
      <c r="L85" s="144">
        <f>MEDIAN(L74:L84)</f>
        <v>90</v>
      </c>
      <c r="O85" s="25" t="s">
        <v>36</v>
      </c>
      <c r="P85" s="12">
        <f>MEDIAN(P74:P84)</f>
        <v>22.6</v>
      </c>
      <c r="Q85" s="189" t="s">
        <v>67</v>
      </c>
      <c r="R85" s="222">
        <v>4</v>
      </c>
      <c r="S85" s="87"/>
      <c r="T85" s="209">
        <v>90</v>
      </c>
      <c r="U85" s="98"/>
      <c r="V85" s="209">
        <v>90</v>
      </c>
      <c r="W85" s="108"/>
      <c r="X85" s="209">
        <v>128</v>
      </c>
      <c r="Y85" s="119"/>
      <c r="Z85" s="275">
        <v>45</v>
      </c>
      <c r="AA85" s="140"/>
      <c r="AB85" s="209">
        <v>90</v>
      </c>
      <c r="AC85" s="323"/>
      <c r="AD85" s="293">
        <v>32</v>
      </c>
      <c r="AE85" s="209"/>
      <c r="AG85" s="209"/>
      <c r="AH85" s="275"/>
    </row>
    <row r="86" spans="1:34" x14ac:dyDescent="0.2">
      <c r="A86" s="6"/>
      <c r="B86">
        <v>128</v>
      </c>
      <c r="C86" s="13"/>
      <c r="D86">
        <v>64</v>
      </c>
      <c r="E86" s="23"/>
      <c r="F86" s="20">
        <v>90</v>
      </c>
      <c r="G86" s="41" t="s">
        <v>36</v>
      </c>
      <c r="H86" s="12">
        <f>MEDIAN(H83:H85)</f>
        <v>45</v>
      </c>
      <c r="I86" s="119" t="s">
        <v>29</v>
      </c>
      <c r="J86">
        <v>128</v>
      </c>
      <c r="K86" s="140" t="s">
        <v>27</v>
      </c>
      <c r="L86" s="142">
        <v>64</v>
      </c>
      <c r="O86" s="23" t="s">
        <v>28</v>
      </c>
      <c r="P86">
        <v>45</v>
      </c>
      <c r="Q86" s="41" t="s">
        <v>68</v>
      </c>
      <c r="R86" s="223">
        <f>MEDIAN(R81:R84)</f>
        <v>61</v>
      </c>
      <c r="S86" s="87"/>
      <c r="T86" s="209">
        <v>64</v>
      </c>
      <c r="U86" s="98"/>
      <c r="V86" s="209">
        <v>90</v>
      </c>
      <c r="W86" s="108"/>
      <c r="X86" s="209">
        <v>180</v>
      </c>
      <c r="Y86" s="119"/>
      <c r="Z86" s="275">
        <v>90</v>
      </c>
      <c r="AA86" s="140"/>
      <c r="AB86" s="209">
        <v>45</v>
      </c>
      <c r="AC86" s="323"/>
      <c r="AD86" s="293">
        <v>128</v>
      </c>
      <c r="AE86" s="209"/>
      <c r="AG86" s="209"/>
      <c r="AH86" s="275"/>
    </row>
    <row r="87" spans="1:34" x14ac:dyDescent="0.2">
      <c r="A87" s="6"/>
      <c r="B87">
        <v>300</v>
      </c>
      <c r="C87" s="13"/>
      <c r="D87">
        <v>128</v>
      </c>
      <c r="E87" s="23"/>
      <c r="F87" s="20">
        <v>90</v>
      </c>
      <c r="G87" s="38" t="s">
        <v>28</v>
      </c>
      <c r="H87">
        <v>32</v>
      </c>
      <c r="I87" s="119"/>
      <c r="J87">
        <v>64</v>
      </c>
      <c r="K87" s="140"/>
      <c r="L87" s="142">
        <v>90</v>
      </c>
      <c r="O87" s="23"/>
      <c r="P87">
        <v>32</v>
      </c>
      <c r="Q87" s="38" t="s">
        <v>27</v>
      </c>
      <c r="R87" s="209">
        <v>180</v>
      </c>
      <c r="S87" s="87"/>
      <c r="T87" s="209">
        <v>90</v>
      </c>
      <c r="U87" s="98"/>
      <c r="V87" s="209">
        <v>128</v>
      </c>
      <c r="W87" s="265" t="s">
        <v>69</v>
      </c>
      <c r="X87" s="222">
        <f>COUNT(X73:X86)</f>
        <v>14</v>
      </c>
      <c r="Y87" s="119"/>
      <c r="Z87" s="275">
        <v>45</v>
      </c>
      <c r="AA87" s="140"/>
      <c r="AB87" s="209">
        <v>22.6</v>
      </c>
      <c r="AC87" s="323"/>
      <c r="AD87" s="293">
        <v>32</v>
      </c>
      <c r="AE87" s="209"/>
      <c r="AG87" s="209"/>
      <c r="AH87" s="275"/>
    </row>
    <row r="88" spans="1:34" x14ac:dyDescent="0.2">
      <c r="A88" s="6"/>
      <c r="B88">
        <v>32</v>
      </c>
      <c r="C88" s="13"/>
      <c r="D88">
        <v>64</v>
      </c>
      <c r="E88" s="23"/>
      <c r="F88" s="20">
        <v>32</v>
      </c>
      <c r="G88" s="38"/>
      <c r="H88">
        <v>128</v>
      </c>
      <c r="I88" s="119"/>
      <c r="J88" s="20">
        <v>128</v>
      </c>
      <c r="K88" s="140"/>
      <c r="L88" s="142">
        <v>45</v>
      </c>
      <c r="O88" s="23"/>
      <c r="P88">
        <v>64</v>
      </c>
      <c r="Q88" s="38"/>
      <c r="R88" s="209">
        <v>90</v>
      </c>
      <c r="S88" s="87"/>
      <c r="T88" s="209">
        <v>90</v>
      </c>
      <c r="U88" s="98"/>
      <c r="V88" s="209">
        <v>128</v>
      </c>
      <c r="W88" s="266" t="s">
        <v>56</v>
      </c>
      <c r="X88" s="223">
        <f>MEDIAN(X73:X86)</f>
        <v>128</v>
      </c>
      <c r="Y88" s="279" t="s">
        <v>69</v>
      </c>
      <c r="Z88" s="222">
        <f>COUNT(Z72:Z87)</f>
        <v>16</v>
      </c>
      <c r="AA88" s="140"/>
      <c r="AB88" s="209">
        <v>32</v>
      </c>
      <c r="AC88" s="323"/>
      <c r="AD88" s="293">
        <v>128</v>
      </c>
      <c r="AE88" s="209"/>
      <c r="AG88" s="209"/>
      <c r="AH88" s="275"/>
    </row>
    <row r="89" spans="1:34" x14ac:dyDescent="0.2">
      <c r="A89" s="6"/>
      <c r="B89">
        <v>90</v>
      </c>
      <c r="C89" s="13"/>
      <c r="D89">
        <v>90</v>
      </c>
      <c r="E89" s="23"/>
      <c r="F89" s="20">
        <v>90</v>
      </c>
      <c r="G89" s="38"/>
      <c r="H89">
        <v>45</v>
      </c>
      <c r="I89" s="119"/>
      <c r="J89" s="20">
        <v>90</v>
      </c>
      <c r="K89" s="140"/>
      <c r="L89" s="142">
        <v>90</v>
      </c>
      <c r="O89" s="23"/>
      <c r="P89">
        <v>16</v>
      </c>
      <c r="Q89" s="38"/>
      <c r="R89" s="209">
        <v>64</v>
      </c>
      <c r="S89" s="87"/>
      <c r="T89" s="209">
        <v>128</v>
      </c>
      <c r="U89" s="98"/>
      <c r="V89" s="209">
        <v>180</v>
      </c>
      <c r="W89" s="108" t="s">
        <v>30</v>
      </c>
      <c r="X89" s="209">
        <v>301</v>
      </c>
      <c r="Y89" s="126" t="s">
        <v>56</v>
      </c>
      <c r="Z89" s="223">
        <f>MEDIAN(Z72:Z87)</f>
        <v>54.5</v>
      </c>
      <c r="AA89" s="288" t="s">
        <v>70</v>
      </c>
      <c r="AB89" s="222">
        <f>COUNT(AB84:AB88)</f>
        <v>5</v>
      </c>
      <c r="AC89" s="325" t="s">
        <v>69</v>
      </c>
      <c r="AD89" s="303">
        <f>COUNT(AD72:AD88)</f>
        <v>17</v>
      </c>
      <c r="AE89" s="209"/>
      <c r="AF89" s="327"/>
      <c r="AG89" s="209"/>
      <c r="AH89" s="275"/>
    </row>
    <row r="90" spans="1:34" ht="17" thickBot="1" x14ac:dyDescent="0.25">
      <c r="A90" s="7" t="s">
        <v>34</v>
      </c>
      <c r="B90" s="12">
        <f>MEDIAN(B3:B89)</f>
        <v>64</v>
      </c>
      <c r="C90" s="15" t="s">
        <v>36</v>
      </c>
      <c r="D90" s="12">
        <f>MEDIAN(D84:D89)</f>
        <v>77</v>
      </c>
      <c r="E90" s="25" t="s">
        <v>36</v>
      </c>
      <c r="F90" s="12">
        <f>MEDIAN(F85:F89)</f>
        <v>90</v>
      </c>
      <c r="G90" s="42"/>
      <c r="H90">
        <v>90</v>
      </c>
      <c r="I90" s="126" t="s">
        <v>36</v>
      </c>
      <c r="J90" s="36">
        <f>MEDIAN(J86:J89)</f>
        <v>109</v>
      </c>
      <c r="K90" s="140"/>
      <c r="L90" s="142">
        <v>64</v>
      </c>
      <c r="O90" s="23"/>
      <c r="P90">
        <v>22.6</v>
      </c>
      <c r="Q90" s="38"/>
      <c r="R90" s="209">
        <v>180</v>
      </c>
      <c r="S90" s="87"/>
      <c r="T90" s="209">
        <v>90</v>
      </c>
      <c r="U90" s="98"/>
      <c r="V90" s="209">
        <v>128</v>
      </c>
      <c r="W90" s="108"/>
      <c r="X90" s="209">
        <v>16</v>
      </c>
      <c r="Y90" s="119" t="s">
        <v>30</v>
      </c>
      <c r="Z90" s="275">
        <v>301</v>
      </c>
      <c r="AA90" s="145" t="s">
        <v>71</v>
      </c>
      <c r="AB90" s="297">
        <f>MEDIAN(AB84:AB88)</f>
        <v>45</v>
      </c>
      <c r="AC90" s="324" t="s">
        <v>56</v>
      </c>
      <c r="AD90" s="302">
        <f>MEDIAN(AD72:AD88)</f>
        <v>64</v>
      </c>
      <c r="AE90" s="209"/>
      <c r="AF90" s="327"/>
      <c r="AG90" s="209"/>
      <c r="AH90" s="275"/>
    </row>
    <row r="91" spans="1:34" ht="18" thickTop="1" thickBot="1" x14ac:dyDescent="0.25">
      <c r="A91" s="6" t="s">
        <v>29</v>
      </c>
      <c r="B91">
        <v>45</v>
      </c>
      <c r="C91" s="13" t="s">
        <v>28</v>
      </c>
      <c r="D91">
        <v>90</v>
      </c>
      <c r="E91" s="23" t="s">
        <v>28</v>
      </c>
      <c r="F91" s="20">
        <v>64</v>
      </c>
      <c r="G91" s="43" t="s">
        <v>37</v>
      </c>
      <c r="H91" s="12">
        <f>MEDIAN(H87:H90)</f>
        <v>67.5</v>
      </c>
      <c r="I91" s="119" t="s">
        <v>28</v>
      </c>
      <c r="J91" s="20">
        <v>128</v>
      </c>
      <c r="K91" s="145" t="s">
        <v>56</v>
      </c>
      <c r="L91" s="146">
        <f>MEDIAN(L86:L90)</f>
        <v>64</v>
      </c>
      <c r="O91" s="25" t="s">
        <v>37</v>
      </c>
      <c r="P91" s="12">
        <f>MEDIAN(P86:P90)</f>
        <v>32</v>
      </c>
      <c r="Q91" s="38"/>
      <c r="R91" s="209">
        <v>128</v>
      </c>
      <c r="S91" s="87"/>
      <c r="T91" s="209">
        <v>22.6</v>
      </c>
      <c r="U91" s="246" t="s">
        <v>69</v>
      </c>
      <c r="V91" s="222">
        <f>COUNT(V71:V90)</f>
        <v>20</v>
      </c>
      <c r="W91" s="108"/>
      <c r="X91" s="209">
        <v>90</v>
      </c>
      <c r="Y91" s="119"/>
      <c r="Z91" s="124">
        <v>128</v>
      </c>
      <c r="AA91" s="209" t="s">
        <v>55</v>
      </c>
      <c r="AB91" s="220">
        <v>78</v>
      </c>
      <c r="AC91" s="323" t="s">
        <v>30</v>
      </c>
      <c r="AD91" s="293">
        <v>128</v>
      </c>
      <c r="AE91" s="209"/>
      <c r="AF91" s="327"/>
      <c r="AG91" s="209"/>
      <c r="AH91" s="275"/>
    </row>
    <row r="92" spans="1:34" ht="17" thickTop="1" x14ac:dyDescent="0.2">
      <c r="A92" s="6"/>
      <c r="B92">
        <v>128</v>
      </c>
      <c r="C92" s="13"/>
      <c r="D92">
        <v>128</v>
      </c>
      <c r="E92" s="23"/>
      <c r="F92" s="20">
        <v>128</v>
      </c>
      <c r="G92" s="42" t="s">
        <v>27</v>
      </c>
      <c r="H92">
        <v>180</v>
      </c>
      <c r="I92" s="119"/>
      <c r="J92" s="124">
        <v>64</v>
      </c>
      <c r="K92" t="s">
        <v>55</v>
      </c>
      <c r="L92" s="142">
        <v>85</v>
      </c>
      <c r="O92" s="23" t="s">
        <v>27</v>
      </c>
      <c r="P92">
        <v>64</v>
      </c>
      <c r="Q92" s="189" t="s">
        <v>69</v>
      </c>
      <c r="R92" s="222">
        <v>5</v>
      </c>
      <c r="S92" s="87"/>
      <c r="T92" s="209">
        <v>11</v>
      </c>
      <c r="U92" s="247" t="s">
        <v>56</v>
      </c>
      <c r="V92" s="223">
        <f>MEDIAN(V71:V90)</f>
        <v>109</v>
      </c>
      <c r="W92" s="108"/>
      <c r="X92" s="209">
        <v>301</v>
      </c>
      <c r="Y92" s="119"/>
      <c r="Z92" s="124">
        <v>90</v>
      </c>
      <c r="AA92" s="209"/>
      <c r="AB92" s="209"/>
      <c r="AC92" s="323"/>
      <c r="AD92" s="293">
        <v>22.6</v>
      </c>
      <c r="AE92" s="209"/>
      <c r="AF92" s="327"/>
      <c r="AG92" s="275"/>
      <c r="AH92" s="275"/>
    </row>
    <row r="93" spans="1:34" x14ac:dyDescent="0.2">
      <c r="A93" s="6"/>
      <c r="B93">
        <v>90</v>
      </c>
      <c r="C93" s="13"/>
      <c r="D93">
        <v>90</v>
      </c>
      <c r="E93" s="23"/>
      <c r="F93" s="20">
        <v>32</v>
      </c>
      <c r="G93" s="42"/>
      <c r="H93">
        <v>45</v>
      </c>
      <c r="I93" s="119"/>
      <c r="J93" s="124">
        <v>45</v>
      </c>
      <c r="O93" s="23"/>
      <c r="P93">
        <v>128</v>
      </c>
      <c r="Q93" s="41" t="s">
        <v>56</v>
      </c>
      <c r="R93" s="223">
        <f>MEDIAN(R87:R91)</f>
        <v>128</v>
      </c>
      <c r="S93" s="87"/>
      <c r="T93" s="209">
        <v>22.6</v>
      </c>
      <c r="U93" s="98" t="s">
        <v>30</v>
      </c>
      <c r="V93" s="209">
        <v>180</v>
      </c>
      <c r="W93" s="265" t="s">
        <v>70</v>
      </c>
      <c r="X93" s="222">
        <v>4</v>
      </c>
      <c r="Y93" s="119"/>
      <c r="Z93" s="124">
        <v>32</v>
      </c>
      <c r="AA93" s="209"/>
      <c r="AB93" s="209"/>
      <c r="AC93" s="323"/>
      <c r="AD93" s="293">
        <v>64</v>
      </c>
      <c r="AE93" s="209"/>
      <c r="AF93" s="327"/>
      <c r="AG93" s="209"/>
      <c r="AH93" s="275"/>
    </row>
    <row r="94" spans="1:34" ht="17" thickBot="1" x14ac:dyDescent="0.25">
      <c r="A94" s="6"/>
      <c r="B94">
        <v>180</v>
      </c>
      <c r="C94" s="13"/>
      <c r="D94">
        <v>64</v>
      </c>
      <c r="E94" s="23"/>
      <c r="F94" s="20">
        <v>32</v>
      </c>
      <c r="G94" s="44" t="s">
        <v>56</v>
      </c>
      <c r="H94" s="76">
        <f>MEDIAN(H92:H93)</f>
        <v>112.5</v>
      </c>
      <c r="I94" s="127" t="s">
        <v>37</v>
      </c>
      <c r="J94" s="128">
        <f>MEDIAN(J91:J93)</f>
        <v>64</v>
      </c>
      <c r="O94" s="23"/>
      <c r="P94">
        <v>32</v>
      </c>
      <c r="Q94" s="38" t="s">
        <v>30</v>
      </c>
      <c r="R94" s="209">
        <v>128</v>
      </c>
      <c r="S94" s="87"/>
      <c r="T94" s="209">
        <v>22.6</v>
      </c>
      <c r="U94" s="98"/>
      <c r="V94" s="209">
        <v>180</v>
      </c>
      <c r="W94" s="266" t="s">
        <v>71</v>
      </c>
      <c r="X94" s="223">
        <f>MEDIAN(X89:X92)</f>
        <v>195.5</v>
      </c>
      <c r="Y94" s="119"/>
      <c r="Z94" s="124">
        <v>301</v>
      </c>
      <c r="AA94" s="209"/>
      <c r="AB94" s="209"/>
      <c r="AC94" s="323"/>
      <c r="AD94" s="293">
        <v>28</v>
      </c>
      <c r="AE94" s="209"/>
      <c r="AF94" s="327"/>
      <c r="AG94" s="209"/>
      <c r="AH94" s="275"/>
    </row>
    <row r="95" spans="1:34" ht="18" thickTop="1" thickBot="1" x14ac:dyDescent="0.25">
      <c r="A95" s="6"/>
      <c r="B95">
        <v>64</v>
      </c>
      <c r="C95" s="13"/>
      <c r="D95">
        <v>90</v>
      </c>
      <c r="E95" s="23"/>
      <c r="F95" s="20">
        <v>32</v>
      </c>
      <c r="G95" s="39" t="s">
        <v>55</v>
      </c>
      <c r="H95">
        <v>88</v>
      </c>
      <c r="I95" s="38" t="s">
        <v>55</v>
      </c>
      <c r="J95" s="20">
        <v>89</v>
      </c>
      <c r="K95" s="119"/>
      <c r="O95" s="26" t="s">
        <v>56</v>
      </c>
      <c r="P95" s="188">
        <f>MEDIAN(P92:P94)</f>
        <v>64</v>
      </c>
      <c r="Q95" s="38"/>
      <c r="R95" s="209">
        <v>16</v>
      </c>
      <c r="S95" s="228" t="s">
        <v>69</v>
      </c>
      <c r="T95" s="222">
        <f>COUNT(T71:T94)</f>
        <v>24</v>
      </c>
      <c r="U95" s="98"/>
      <c r="V95" s="209">
        <v>64</v>
      </c>
      <c r="W95" s="108" t="s">
        <v>31</v>
      </c>
      <c r="X95" s="220">
        <v>45</v>
      </c>
      <c r="Y95" s="279" t="s">
        <v>70</v>
      </c>
      <c r="Z95" s="280">
        <v>5</v>
      </c>
      <c r="AA95" s="209"/>
      <c r="AB95" s="209"/>
      <c r="AC95" s="325" t="s">
        <v>70</v>
      </c>
      <c r="AD95" s="303">
        <v>4</v>
      </c>
      <c r="AE95" s="209"/>
      <c r="AF95" s="327"/>
      <c r="AG95" s="275"/>
      <c r="AH95" s="275"/>
    </row>
    <row r="96" spans="1:34" ht="18" thickTop="1" thickBot="1" x14ac:dyDescent="0.25">
      <c r="A96" s="6"/>
      <c r="B96">
        <v>128</v>
      </c>
      <c r="C96" s="13"/>
      <c r="D96">
        <v>128</v>
      </c>
      <c r="E96" s="23"/>
      <c r="F96" s="24">
        <v>64</v>
      </c>
      <c r="J96" s="20"/>
      <c r="O96" s="23" t="s">
        <v>55</v>
      </c>
      <c r="P96">
        <v>89</v>
      </c>
      <c r="Q96" s="38"/>
      <c r="R96" s="209">
        <v>45</v>
      </c>
      <c r="S96" s="230" t="s">
        <v>56</v>
      </c>
      <c r="T96" s="223">
        <f>MEDIAN(T71:T94)</f>
        <v>90</v>
      </c>
      <c r="U96" s="246" t="s">
        <v>70</v>
      </c>
      <c r="V96" s="222">
        <v>3</v>
      </c>
      <c r="W96" s="265" t="s">
        <v>74</v>
      </c>
      <c r="X96" s="222">
        <v>1</v>
      </c>
      <c r="Y96" s="127" t="s">
        <v>71</v>
      </c>
      <c r="Z96" s="281">
        <f>MEDIAN(Z90:Z94)</f>
        <v>128</v>
      </c>
      <c r="AA96" s="209"/>
      <c r="AB96" s="209"/>
      <c r="AC96" s="326" t="s">
        <v>71</v>
      </c>
      <c r="AD96" s="305">
        <f>MEDIAN(AD91:AD94)</f>
        <v>46</v>
      </c>
      <c r="AF96" s="327"/>
      <c r="AG96" s="209"/>
      <c r="AH96" s="275"/>
    </row>
    <row r="97" spans="1:34" ht="18" thickTop="1" thickBot="1" x14ac:dyDescent="0.25">
      <c r="A97" s="7" t="s">
        <v>36</v>
      </c>
      <c r="B97" s="12">
        <f>MEDIAN(B91:B96)</f>
        <v>109</v>
      </c>
      <c r="C97" s="13"/>
      <c r="D97">
        <v>180</v>
      </c>
      <c r="E97" s="23"/>
      <c r="F97" s="24">
        <v>128</v>
      </c>
      <c r="J97" s="20"/>
      <c r="Q97" s="189" t="s">
        <v>70</v>
      </c>
      <c r="R97" s="222">
        <v>3</v>
      </c>
      <c r="S97" s="87" t="s">
        <v>30</v>
      </c>
      <c r="T97" s="209">
        <v>300</v>
      </c>
      <c r="U97" s="248" t="s">
        <v>71</v>
      </c>
      <c r="V97" s="262">
        <f>MEDIAN(V93:V95)</f>
        <v>180</v>
      </c>
      <c r="W97" s="267" t="s">
        <v>75</v>
      </c>
      <c r="X97" s="268">
        <v>45</v>
      </c>
      <c r="Y97" s="209" t="s">
        <v>55</v>
      </c>
      <c r="Z97" s="282">
        <v>84</v>
      </c>
      <c r="AA97" s="209"/>
      <c r="AB97" s="209"/>
      <c r="AC97" s="210" t="s">
        <v>55</v>
      </c>
      <c r="AD97" s="300">
        <v>84</v>
      </c>
      <c r="AE97" s="209"/>
      <c r="AF97" s="327"/>
      <c r="AG97" s="209"/>
      <c r="AH97" s="275"/>
    </row>
    <row r="98" spans="1:34" ht="18" thickTop="1" thickBot="1" x14ac:dyDescent="0.25">
      <c r="A98" s="6" t="s">
        <v>28</v>
      </c>
      <c r="B98">
        <v>64</v>
      </c>
      <c r="C98" s="13"/>
      <c r="D98">
        <v>128</v>
      </c>
      <c r="E98" s="26" t="s">
        <v>37</v>
      </c>
      <c r="F98" s="27">
        <f>MEDIAN(F91:F97)</f>
        <v>64</v>
      </c>
      <c r="J98" s="20"/>
      <c r="Q98" s="190" t="s">
        <v>71</v>
      </c>
      <c r="R98" s="76">
        <f>MEDIAN(R94:R96)</f>
        <v>45</v>
      </c>
      <c r="S98" s="228" t="s">
        <v>70</v>
      </c>
      <c r="T98" s="229">
        <v>1</v>
      </c>
      <c r="U98" t="s">
        <v>55</v>
      </c>
      <c r="V98" s="249">
        <v>85</v>
      </c>
      <c r="W98" s="209" t="s">
        <v>55</v>
      </c>
      <c r="X98" s="256">
        <v>83</v>
      </c>
      <c r="Y98" s="209"/>
      <c r="Z98" s="209"/>
      <c r="AA98" s="209"/>
      <c r="AB98" s="209"/>
      <c r="AC98" s="210"/>
      <c r="AD98" s="209"/>
      <c r="AE98" s="209"/>
      <c r="AF98" s="327"/>
      <c r="AG98" s="209"/>
      <c r="AH98" s="275"/>
    </row>
    <row r="99" spans="1:34" ht="18" thickTop="1" thickBot="1" x14ac:dyDescent="0.25">
      <c r="A99" s="6"/>
      <c r="B99">
        <v>90</v>
      </c>
      <c r="C99" s="16" t="s">
        <v>37</v>
      </c>
      <c r="D99" s="17">
        <f>MEDIAN(D91:D98)</f>
        <v>109</v>
      </c>
      <c r="E99" t="s">
        <v>55</v>
      </c>
      <c r="F99" s="24">
        <v>93</v>
      </c>
      <c r="I99" s="20"/>
      <c r="J99" s="20"/>
      <c r="Q99" s="38" t="s">
        <v>55</v>
      </c>
      <c r="R99" s="209">
        <v>86</v>
      </c>
      <c r="S99" s="232" t="s">
        <v>71</v>
      </c>
      <c r="T99" s="231">
        <v>300</v>
      </c>
      <c r="V99" s="209"/>
      <c r="W99" s="209"/>
      <c r="X99" s="209"/>
      <c r="Y99" s="209"/>
      <c r="Z99" s="209"/>
      <c r="AA99" s="209"/>
      <c r="AB99" s="209"/>
      <c r="AC99" s="210"/>
      <c r="AD99" s="209"/>
      <c r="AE99" s="209"/>
      <c r="AF99" s="327"/>
      <c r="AG99" s="209"/>
      <c r="AH99" s="275"/>
    </row>
    <row r="100" spans="1:34" ht="18" thickTop="1" thickBot="1" x14ac:dyDescent="0.25">
      <c r="A100" s="8" t="s">
        <v>37</v>
      </c>
      <c r="B100" s="9">
        <f>MEDIAN(B98:B99)</f>
        <v>77</v>
      </c>
      <c r="C100" t="s">
        <v>55</v>
      </c>
      <c r="D100" s="34">
        <v>94</v>
      </c>
      <c r="J100" s="20"/>
      <c r="S100" s="83" t="s">
        <v>55</v>
      </c>
      <c r="T100" s="213">
        <v>87</v>
      </c>
      <c r="V100" s="209"/>
      <c r="W100" s="209"/>
      <c r="X100" s="209"/>
      <c r="Y100" s="209"/>
      <c r="Z100" s="209"/>
      <c r="AA100" s="209"/>
      <c r="AB100" s="209"/>
      <c r="AC100" s="210"/>
      <c r="AD100" s="209"/>
      <c r="AE100" s="209"/>
      <c r="AF100" s="327"/>
      <c r="AG100" s="275"/>
      <c r="AH100" s="275"/>
    </row>
    <row r="101" spans="1:34" ht="17" thickTop="1" x14ac:dyDescent="0.2">
      <c r="A101" s="6" t="s">
        <v>55</v>
      </c>
      <c r="B101" s="35">
        <v>95</v>
      </c>
      <c r="J101" s="20"/>
      <c r="V101" s="209"/>
      <c r="W101" s="209"/>
      <c r="X101" s="209"/>
      <c r="Y101" s="209"/>
      <c r="Z101" s="209"/>
      <c r="AA101" s="209"/>
      <c r="AB101" s="209"/>
      <c r="AC101" s="210"/>
      <c r="AD101" s="209"/>
      <c r="AE101" s="209"/>
      <c r="AF101" s="327"/>
      <c r="AG101" s="275"/>
      <c r="AH101" s="275"/>
    </row>
    <row r="102" spans="1:34" x14ac:dyDescent="0.2">
      <c r="J102" s="20"/>
      <c r="V102" s="209"/>
      <c r="W102" s="209"/>
      <c r="Y102" s="209"/>
      <c r="Z102" s="209"/>
      <c r="AA102" s="209"/>
      <c r="AB102" s="209"/>
      <c r="AC102" s="210"/>
      <c r="AD102" s="209"/>
      <c r="AE102" s="209"/>
      <c r="AF102" s="327"/>
      <c r="AG102" s="209"/>
      <c r="AH102" s="275"/>
    </row>
    <row r="103" spans="1:34" x14ac:dyDescent="0.2">
      <c r="J103" s="20"/>
      <c r="V103" s="209"/>
      <c r="W103" s="209"/>
      <c r="X103" s="209"/>
      <c r="Y103" s="209"/>
      <c r="Z103" s="209"/>
      <c r="AA103" s="209"/>
      <c r="AB103" s="209"/>
      <c r="AC103" s="210"/>
      <c r="AD103" s="209"/>
      <c r="AE103" s="209"/>
      <c r="AF103" s="327"/>
      <c r="AG103" s="275"/>
      <c r="AH103" s="275"/>
    </row>
    <row r="104" spans="1:34" x14ac:dyDescent="0.2">
      <c r="J104" s="20"/>
      <c r="V104" s="209"/>
      <c r="W104" s="209"/>
      <c r="X104" s="209"/>
      <c r="Y104" s="209"/>
      <c r="Z104" s="209"/>
      <c r="AA104" s="209"/>
      <c r="AB104" s="209"/>
      <c r="AC104" s="210"/>
      <c r="AD104" s="209"/>
      <c r="AE104" s="209"/>
      <c r="AF104" s="327"/>
      <c r="AG104" s="275"/>
      <c r="AH104" s="275"/>
    </row>
    <row r="105" spans="1:34" x14ac:dyDescent="0.2">
      <c r="J105" s="20"/>
      <c r="X105" s="209"/>
      <c r="Y105" s="209"/>
      <c r="Z105" s="209"/>
      <c r="AA105" s="209"/>
      <c r="AB105" s="209"/>
      <c r="AC105" s="327"/>
      <c r="AD105" s="209"/>
      <c r="AF105" s="327"/>
      <c r="AG105" s="275"/>
      <c r="AH105" s="275"/>
    </row>
    <row r="106" spans="1:34" x14ac:dyDescent="0.2">
      <c r="I106" s="20"/>
      <c r="J106" s="20"/>
      <c r="X106" s="209"/>
      <c r="Y106" s="209"/>
      <c r="Z106" s="209"/>
      <c r="AA106" s="209"/>
      <c r="AB106" s="209"/>
      <c r="AF106" s="327"/>
      <c r="AG106" s="209"/>
      <c r="AH106" s="275"/>
    </row>
    <row r="107" spans="1:34" x14ac:dyDescent="0.2">
      <c r="J107" s="20"/>
      <c r="X107" s="209"/>
      <c r="Y107" s="209"/>
      <c r="Z107" s="209"/>
      <c r="AA107" s="209"/>
      <c r="AB107" s="209"/>
      <c r="AF107" s="327"/>
      <c r="AG107" s="209"/>
      <c r="AH107" s="275"/>
    </row>
    <row r="108" spans="1:34" x14ac:dyDescent="0.2">
      <c r="J108" s="20"/>
      <c r="X108" s="209"/>
      <c r="Y108" s="209"/>
      <c r="Z108" s="209"/>
      <c r="AA108" s="209"/>
      <c r="AB108" s="209"/>
      <c r="AF108" s="327"/>
      <c r="AG108" s="209"/>
      <c r="AH108" s="275"/>
    </row>
    <row r="109" spans="1:34" x14ac:dyDescent="0.2">
      <c r="J109" s="20"/>
      <c r="X109" s="209"/>
      <c r="Y109" s="209"/>
      <c r="Z109" s="209"/>
      <c r="AA109" s="209"/>
      <c r="AB109" s="209"/>
      <c r="AF109" s="327"/>
      <c r="AG109" s="209"/>
      <c r="AH109" s="275"/>
    </row>
    <row r="110" spans="1:34" x14ac:dyDescent="0.2">
      <c r="J110" s="20"/>
      <c r="X110" s="209"/>
      <c r="Y110" s="209"/>
      <c r="Z110" s="209"/>
      <c r="AA110" s="209"/>
      <c r="AB110" s="209"/>
      <c r="AF110" s="327"/>
      <c r="AG110" s="209"/>
      <c r="AH110" s="275"/>
    </row>
    <row r="111" spans="1:34" x14ac:dyDescent="0.2">
      <c r="X111" s="209"/>
      <c r="Y111" s="209"/>
      <c r="Z111" s="209"/>
      <c r="AA111" s="209"/>
      <c r="AB111" s="209"/>
      <c r="AF111" s="327"/>
      <c r="AG111" s="209"/>
      <c r="AH111" s="275"/>
    </row>
    <row r="112" spans="1:34" x14ac:dyDescent="0.2">
      <c r="X112" s="209"/>
      <c r="Y112" s="209"/>
      <c r="Z112" s="209"/>
      <c r="AA112" s="209"/>
      <c r="AB112" s="209"/>
      <c r="AF112" s="327"/>
      <c r="AG112" s="209"/>
      <c r="AH112" s="275"/>
    </row>
    <row r="113" spans="24:34" x14ac:dyDescent="0.2">
      <c r="X113" s="209"/>
      <c r="Y113" s="209"/>
      <c r="Z113" s="209"/>
      <c r="AA113" s="209"/>
      <c r="AB113" s="209"/>
      <c r="AF113" s="327"/>
      <c r="AG113" s="209"/>
      <c r="AH113" s="209"/>
    </row>
    <row r="114" spans="24:34" x14ac:dyDescent="0.2">
      <c r="X114" s="209"/>
      <c r="Y114" s="209"/>
      <c r="Z114" s="209"/>
      <c r="AA114" s="209"/>
      <c r="AB114" s="209"/>
      <c r="AF114" s="327"/>
      <c r="AG114" s="209"/>
    </row>
    <row r="115" spans="24:34" x14ac:dyDescent="0.2">
      <c r="X115" s="209"/>
      <c r="Y115" s="209"/>
      <c r="Z115" s="209"/>
      <c r="AA115" s="209"/>
      <c r="AB115" s="209"/>
    </row>
    <row r="116" spans="24:34" x14ac:dyDescent="0.2">
      <c r="X116" s="209"/>
      <c r="Y116" s="209"/>
      <c r="Z116" s="209"/>
      <c r="AA116" s="209"/>
      <c r="AB116" s="209"/>
    </row>
    <row r="117" spans="24:34" x14ac:dyDescent="0.2">
      <c r="Y117" s="209"/>
      <c r="Z117" s="209"/>
      <c r="AA117" s="209"/>
      <c r="AB117" s="209"/>
    </row>
    <row r="118" spans="24:34" x14ac:dyDescent="0.2">
      <c r="Y118" s="209"/>
      <c r="Z118" s="209"/>
      <c r="AA118" s="209"/>
      <c r="AB118" s="209"/>
    </row>
    <row r="119" spans="24:34" x14ac:dyDescent="0.2">
      <c r="Y119" s="209"/>
      <c r="Z119" s="209"/>
      <c r="AA119" s="209"/>
      <c r="AB119" s="209"/>
    </row>
    <row r="120" spans="24:34" x14ac:dyDescent="0.2">
      <c r="Y120" s="209"/>
      <c r="Z120" s="209"/>
      <c r="AA120" s="209"/>
      <c r="AB120" s="209"/>
    </row>
    <row r="121" spans="24:34" x14ac:dyDescent="0.2">
      <c r="Y121" s="209"/>
      <c r="Z121" s="209"/>
      <c r="AA121" s="209"/>
      <c r="AB121" s="209"/>
    </row>
    <row r="122" spans="24:34" x14ac:dyDescent="0.2">
      <c r="Y122" s="209"/>
      <c r="Z122" s="209"/>
      <c r="AA122" s="209"/>
      <c r="AB122" s="209"/>
    </row>
    <row r="123" spans="24:34" x14ac:dyDescent="0.2">
      <c r="Y123" s="209"/>
      <c r="Z123" s="209"/>
      <c r="AA123" s="209"/>
      <c r="AB123" s="209"/>
    </row>
    <row r="124" spans="24:34" x14ac:dyDescent="0.2">
      <c r="Y124" s="209"/>
      <c r="Z124" s="209"/>
      <c r="AA124" s="209"/>
      <c r="AB124" s="209"/>
    </row>
  </sheetData>
  <mergeCells count="16">
    <mergeCell ref="AC1:AD1"/>
    <mergeCell ref="AE1:AF1"/>
    <mergeCell ref="S1:T1"/>
    <mergeCell ref="U1:V1"/>
    <mergeCell ref="W1:X1"/>
    <mergeCell ref="Y1:Z1"/>
    <mergeCell ref="AA1:AB1"/>
    <mergeCell ref="O1:P1"/>
    <mergeCell ref="Q1:R1"/>
    <mergeCell ref="K1:L1"/>
    <mergeCell ref="M1:N1"/>
    <mergeCell ref="A1:B1"/>
    <mergeCell ref="C1:D1"/>
    <mergeCell ref="E1:F1"/>
    <mergeCell ref="G1:H1"/>
    <mergeCell ref="I1:J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6370D1-0879-4E49-A91A-AFF1EAC9A22E}">
  <dimension ref="A1:AI54"/>
  <sheetViews>
    <sheetView topLeftCell="R1" zoomScale="120" zoomScaleNormal="120" workbookViewId="0">
      <selection activeCell="AE35" sqref="AE35"/>
    </sheetView>
  </sheetViews>
  <sheetFormatPr baseColWidth="10" defaultRowHeight="16" x14ac:dyDescent="0.2"/>
  <cols>
    <col min="1" max="1" width="20.5" bestFit="1" customWidth="1"/>
    <col min="3" max="3" width="20.5" bestFit="1" customWidth="1"/>
    <col min="4" max="4" width="10.1640625" bestFit="1" customWidth="1"/>
    <col min="5" max="5" width="20.5" bestFit="1" customWidth="1"/>
    <col min="6" max="6" width="12.1640625" bestFit="1" customWidth="1"/>
    <col min="7" max="7" width="20.5" bestFit="1" customWidth="1"/>
    <col min="8" max="8" width="10.1640625" bestFit="1" customWidth="1"/>
    <col min="9" max="9" width="20.1640625" bestFit="1" customWidth="1"/>
    <col min="11" max="11" width="20.5" bestFit="1" customWidth="1"/>
    <col min="13" max="13" width="20.5" bestFit="1" customWidth="1"/>
    <col min="15" max="15" width="20.1640625" bestFit="1" customWidth="1"/>
    <col min="17" max="17" width="20.1640625" bestFit="1" customWidth="1"/>
    <col min="19" max="19" width="20.5" bestFit="1" customWidth="1"/>
    <col min="21" max="21" width="20.1640625" bestFit="1" customWidth="1"/>
    <col min="23" max="23" width="20.5" bestFit="1" customWidth="1"/>
    <col min="25" max="25" width="20.5" bestFit="1" customWidth="1"/>
    <col min="27" max="27" width="20.1640625" bestFit="1" customWidth="1"/>
    <col min="29" max="29" width="20.5" bestFit="1" customWidth="1"/>
    <col min="31" max="31" width="20.5" bestFit="1" customWidth="1"/>
  </cols>
  <sheetData>
    <row r="1" spans="1:35" ht="22" thickTop="1" x14ac:dyDescent="0.25">
      <c r="A1" s="203" t="s">
        <v>25</v>
      </c>
      <c r="B1" s="204"/>
      <c r="C1" s="196" t="s">
        <v>24</v>
      </c>
      <c r="D1" s="197"/>
      <c r="E1" s="191" t="s">
        <v>23</v>
      </c>
      <c r="F1" s="192"/>
      <c r="G1" s="193" t="s">
        <v>22</v>
      </c>
      <c r="H1" s="200"/>
      <c r="I1" s="201" t="s">
        <v>18</v>
      </c>
      <c r="J1" s="202"/>
      <c r="K1" s="194" t="s">
        <v>17</v>
      </c>
      <c r="L1" s="195"/>
      <c r="M1" s="196" t="s">
        <v>14</v>
      </c>
      <c r="N1" s="197"/>
      <c r="O1" s="191" t="s">
        <v>13</v>
      </c>
      <c r="P1" s="192"/>
      <c r="Q1" s="193" t="s">
        <v>12</v>
      </c>
      <c r="R1" s="200"/>
      <c r="S1" s="226" t="s">
        <v>11</v>
      </c>
      <c r="T1" s="243"/>
      <c r="U1" s="244" t="s">
        <v>10</v>
      </c>
      <c r="V1" s="261"/>
      <c r="W1" s="263" t="s">
        <v>9</v>
      </c>
      <c r="X1" s="277"/>
      <c r="Y1" s="201" t="s">
        <v>8</v>
      </c>
      <c r="Z1" s="202"/>
      <c r="AA1" s="298" t="s">
        <v>7</v>
      </c>
      <c r="AB1" s="307"/>
      <c r="AC1" s="298" t="s">
        <v>6</v>
      </c>
      <c r="AD1" s="307"/>
      <c r="AE1" s="198" t="s">
        <v>5</v>
      </c>
      <c r="AF1" s="317"/>
    </row>
    <row r="2" spans="1:35" x14ac:dyDescent="0.2">
      <c r="A2" s="5" t="s">
        <v>39</v>
      </c>
      <c r="B2" s="1" t="s">
        <v>38</v>
      </c>
      <c r="C2" s="18" t="s">
        <v>39</v>
      </c>
      <c r="D2" s="1" t="s">
        <v>38</v>
      </c>
      <c r="E2" s="22" t="s">
        <v>39</v>
      </c>
      <c r="F2" s="1" t="s">
        <v>38</v>
      </c>
      <c r="G2" s="40" t="s">
        <v>39</v>
      </c>
      <c r="H2" s="1" t="s">
        <v>38</v>
      </c>
      <c r="I2" s="122" t="s">
        <v>39</v>
      </c>
      <c r="J2" s="1" t="s">
        <v>38</v>
      </c>
      <c r="K2" s="141" t="s">
        <v>39</v>
      </c>
      <c r="L2" s="1" t="s">
        <v>38</v>
      </c>
      <c r="M2" s="18" t="s">
        <v>39</v>
      </c>
      <c r="N2" s="1" t="s">
        <v>38</v>
      </c>
      <c r="O2" s="22" t="s">
        <v>39</v>
      </c>
      <c r="P2" s="1" t="s">
        <v>38</v>
      </c>
      <c r="Q2" s="40" t="s">
        <v>39</v>
      </c>
      <c r="R2" s="211" t="s">
        <v>38</v>
      </c>
      <c r="S2" s="227" t="s">
        <v>39</v>
      </c>
      <c r="T2" s="221" t="s">
        <v>38</v>
      </c>
      <c r="U2" s="245" t="s">
        <v>39</v>
      </c>
      <c r="V2" s="221" t="s">
        <v>38</v>
      </c>
      <c r="W2" s="264" t="s">
        <v>39</v>
      </c>
      <c r="X2" s="221" t="s">
        <v>38</v>
      </c>
      <c r="Y2" s="278" t="s">
        <v>39</v>
      </c>
      <c r="Z2" s="221" t="s">
        <v>38</v>
      </c>
      <c r="AA2" s="299" t="s">
        <v>39</v>
      </c>
      <c r="AB2" s="221" t="s">
        <v>38</v>
      </c>
      <c r="AC2" s="299" t="s">
        <v>76</v>
      </c>
      <c r="AD2" s="221" t="s">
        <v>38</v>
      </c>
      <c r="AE2" s="318" t="s">
        <v>39</v>
      </c>
      <c r="AF2" s="319" t="s">
        <v>38</v>
      </c>
    </row>
    <row r="3" spans="1:35" x14ac:dyDescent="0.2">
      <c r="A3" s="6">
        <v>0</v>
      </c>
      <c r="B3">
        <v>0</v>
      </c>
      <c r="C3" s="13">
        <v>0</v>
      </c>
      <c r="D3">
        <v>0</v>
      </c>
      <c r="E3" s="23">
        <v>0</v>
      </c>
      <c r="F3">
        <v>0</v>
      </c>
      <c r="G3" s="38">
        <v>0</v>
      </c>
      <c r="H3">
        <v>0</v>
      </c>
      <c r="I3" s="119">
        <v>0</v>
      </c>
      <c r="J3">
        <v>0</v>
      </c>
      <c r="K3" s="140">
        <v>0</v>
      </c>
      <c r="L3">
        <v>0</v>
      </c>
      <c r="M3" s="13">
        <v>0</v>
      </c>
      <c r="N3">
        <v>0</v>
      </c>
      <c r="O3" s="23">
        <v>0</v>
      </c>
      <c r="P3">
        <v>0</v>
      </c>
      <c r="Q3" s="38">
        <v>0</v>
      </c>
      <c r="R3" s="209">
        <v>0</v>
      </c>
      <c r="S3" s="87">
        <v>0</v>
      </c>
      <c r="T3" s="209">
        <v>0</v>
      </c>
      <c r="U3" s="98">
        <v>0</v>
      </c>
      <c r="V3" s="209">
        <v>0</v>
      </c>
      <c r="W3" s="108">
        <v>0</v>
      </c>
      <c r="X3" s="209">
        <v>0</v>
      </c>
      <c r="Y3" s="119">
        <v>0</v>
      </c>
      <c r="Z3" s="209">
        <v>0</v>
      </c>
      <c r="AA3" s="140">
        <v>0</v>
      </c>
      <c r="AB3" s="209">
        <v>0</v>
      </c>
      <c r="AC3" s="158">
        <v>0</v>
      </c>
      <c r="AD3" s="209">
        <v>0</v>
      </c>
      <c r="AE3" s="6">
        <v>0</v>
      </c>
      <c r="AF3" s="28">
        <v>0</v>
      </c>
    </row>
    <row r="4" spans="1:35" x14ac:dyDescent="0.2">
      <c r="A4" s="6">
        <v>0.5</v>
      </c>
      <c r="B4">
        <v>20</v>
      </c>
      <c r="C4" s="13">
        <v>0.5</v>
      </c>
      <c r="D4">
        <v>20</v>
      </c>
      <c r="E4" s="23">
        <v>0.5</v>
      </c>
      <c r="F4">
        <v>45</v>
      </c>
      <c r="G4" s="38">
        <v>0.5</v>
      </c>
      <c r="H4">
        <v>35</v>
      </c>
      <c r="I4" s="119">
        <v>0.5</v>
      </c>
      <c r="J4">
        <v>15</v>
      </c>
      <c r="K4" s="140">
        <v>0.5</v>
      </c>
      <c r="L4">
        <v>55</v>
      </c>
      <c r="M4" s="13">
        <v>0.5</v>
      </c>
      <c r="N4">
        <v>95</v>
      </c>
      <c r="O4" s="23">
        <v>0.5</v>
      </c>
      <c r="P4">
        <v>80</v>
      </c>
      <c r="Q4" s="38">
        <v>0.5</v>
      </c>
      <c r="R4" s="209">
        <v>50</v>
      </c>
      <c r="S4" s="87">
        <v>0.5</v>
      </c>
      <c r="T4" s="209">
        <v>50</v>
      </c>
      <c r="U4" s="98">
        <v>0.5</v>
      </c>
      <c r="V4" s="209">
        <v>30</v>
      </c>
      <c r="W4" s="108">
        <v>0.5</v>
      </c>
      <c r="X4" s="209">
        <v>30</v>
      </c>
      <c r="Y4" s="119">
        <v>0.5</v>
      </c>
      <c r="Z4" s="209">
        <v>25</v>
      </c>
      <c r="AA4" s="140">
        <v>0.5</v>
      </c>
      <c r="AB4" s="209">
        <v>10</v>
      </c>
      <c r="AC4" s="158">
        <v>0.5</v>
      </c>
      <c r="AD4" s="209">
        <v>10</v>
      </c>
      <c r="AE4" s="6">
        <v>0.5</v>
      </c>
      <c r="AF4" s="28">
        <v>10</v>
      </c>
    </row>
    <row r="5" spans="1:35" x14ac:dyDescent="0.2">
      <c r="A5" s="6">
        <v>1</v>
      </c>
      <c r="B5">
        <v>50</v>
      </c>
      <c r="C5" s="13">
        <v>1</v>
      </c>
      <c r="D5">
        <v>30</v>
      </c>
      <c r="E5" s="23">
        <v>1</v>
      </c>
      <c r="F5">
        <v>40</v>
      </c>
      <c r="G5" s="38">
        <v>1</v>
      </c>
      <c r="H5">
        <v>50</v>
      </c>
      <c r="I5" s="119">
        <v>1</v>
      </c>
      <c r="J5">
        <v>70</v>
      </c>
      <c r="K5" s="140">
        <v>1</v>
      </c>
      <c r="L5">
        <v>55</v>
      </c>
      <c r="M5" s="13">
        <v>1</v>
      </c>
      <c r="N5">
        <v>115</v>
      </c>
      <c r="O5" s="23">
        <v>1</v>
      </c>
      <c r="P5">
        <v>90</v>
      </c>
      <c r="Q5" s="38">
        <v>1</v>
      </c>
      <c r="R5" s="209">
        <v>55</v>
      </c>
      <c r="S5" s="87">
        <v>1</v>
      </c>
      <c r="T5" s="209">
        <v>60</v>
      </c>
      <c r="U5" s="98">
        <v>1</v>
      </c>
      <c r="V5" s="209">
        <v>55</v>
      </c>
      <c r="W5" s="108">
        <v>1</v>
      </c>
      <c r="X5" s="209">
        <v>55</v>
      </c>
      <c r="Y5" s="119">
        <v>1</v>
      </c>
      <c r="Z5" s="209">
        <v>25</v>
      </c>
      <c r="AA5" s="140">
        <v>1</v>
      </c>
      <c r="AB5" s="209">
        <v>15</v>
      </c>
      <c r="AC5" s="158">
        <v>1</v>
      </c>
      <c r="AD5" s="209">
        <v>15</v>
      </c>
      <c r="AE5" s="6">
        <v>1</v>
      </c>
      <c r="AF5" s="28">
        <v>20</v>
      </c>
    </row>
    <row r="6" spans="1:35" x14ac:dyDescent="0.2">
      <c r="A6" s="6">
        <v>1.5</v>
      </c>
      <c r="B6">
        <v>70</v>
      </c>
      <c r="C6" s="13">
        <v>1.5</v>
      </c>
      <c r="D6">
        <v>50</v>
      </c>
      <c r="E6" s="23">
        <v>1.5</v>
      </c>
      <c r="F6">
        <v>120</v>
      </c>
      <c r="G6" s="38">
        <v>1.5</v>
      </c>
      <c r="H6">
        <v>95</v>
      </c>
      <c r="I6" s="119">
        <v>1.5</v>
      </c>
      <c r="J6">
        <v>130</v>
      </c>
      <c r="K6" s="140">
        <v>1.5</v>
      </c>
      <c r="L6">
        <v>75</v>
      </c>
      <c r="M6" s="13">
        <v>1.5</v>
      </c>
      <c r="N6">
        <v>115</v>
      </c>
      <c r="O6" s="23">
        <v>1.5</v>
      </c>
      <c r="P6">
        <v>80</v>
      </c>
      <c r="Q6" s="38">
        <v>1.5</v>
      </c>
      <c r="R6" s="209">
        <v>65</v>
      </c>
      <c r="S6" s="87">
        <v>1.5</v>
      </c>
      <c r="T6" s="209">
        <v>70</v>
      </c>
      <c r="U6" s="98">
        <v>1.5</v>
      </c>
      <c r="V6" s="209">
        <v>75</v>
      </c>
      <c r="W6" s="108">
        <v>1.5</v>
      </c>
      <c r="X6" s="209">
        <v>80</v>
      </c>
      <c r="Y6" s="119">
        <v>1.5</v>
      </c>
      <c r="Z6" s="209">
        <v>35</v>
      </c>
      <c r="AA6" s="140">
        <v>1.5</v>
      </c>
      <c r="AB6" s="209">
        <v>20</v>
      </c>
      <c r="AC6" s="158">
        <v>1.5</v>
      </c>
      <c r="AD6" s="209">
        <v>20</v>
      </c>
      <c r="AE6" s="6">
        <v>1.5</v>
      </c>
      <c r="AF6" s="28">
        <v>65</v>
      </c>
    </row>
    <row r="7" spans="1:35" x14ac:dyDescent="0.2">
      <c r="A7" s="6">
        <v>2</v>
      </c>
      <c r="B7">
        <v>70</v>
      </c>
      <c r="C7" s="13">
        <v>2</v>
      </c>
      <c r="D7">
        <v>55</v>
      </c>
      <c r="E7" s="23">
        <v>2</v>
      </c>
      <c r="F7">
        <v>135</v>
      </c>
      <c r="G7" s="38">
        <v>2</v>
      </c>
      <c r="H7">
        <v>90</v>
      </c>
      <c r="I7" s="119">
        <v>2</v>
      </c>
      <c r="J7">
        <v>145</v>
      </c>
      <c r="K7" s="140">
        <v>2</v>
      </c>
      <c r="L7">
        <v>90</v>
      </c>
      <c r="M7" s="13">
        <v>2</v>
      </c>
      <c r="N7">
        <v>160</v>
      </c>
      <c r="O7" s="23">
        <v>2</v>
      </c>
      <c r="P7">
        <v>115</v>
      </c>
      <c r="Q7" s="38">
        <v>2</v>
      </c>
      <c r="R7" s="209">
        <v>75</v>
      </c>
      <c r="S7" s="87">
        <v>2</v>
      </c>
      <c r="T7" s="209">
        <v>80</v>
      </c>
      <c r="U7" s="98">
        <v>2</v>
      </c>
      <c r="V7" s="209">
        <v>95</v>
      </c>
      <c r="W7" s="108">
        <v>2</v>
      </c>
      <c r="X7" s="209">
        <v>95</v>
      </c>
      <c r="Y7" s="119">
        <v>2</v>
      </c>
      <c r="Z7" s="209">
        <v>50</v>
      </c>
      <c r="AA7" s="140">
        <v>2</v>
      </c>
      <c r="AB7" s="209">
        <v>25</v>
      </c>
      <c r="AC7" s="158">
        <v>2</v>
      </c>
      <c r="AD7" s="209">
        <v>25</v>
      </c>
      <c r="AE7" s="6">
        <v>2</v>
      </c>
      <c r="AF7" s="28">
        <v>90</v>
      </c>
    </row>
    <row r="8" spans="1:35" x14ac:dyDescent="0.2">
      <c r="A8" s="6">
        <v>2.5</v>
      </c>
      <c r="B8">
        <v>30</v>
      </c>
      <c r="C8" s="13">
        <v>2.5</v>
      </c>
      <c r="D8">
        <v>75</v>
      </c>
      <c r="E8" s="23">
        <v>2.5</v>
      </c>
      <c r="F8">
        <v>130</v>
      </c>
      <c r="G8" s="38">
        <v>2.5</v>
      </c>
      <c r="H8">
        <v>100</v>
      </c>
      <c r="I8" s="119">
        <v>2.5</v>
      </c>
      <c r="J8">
        <v>145</v>
      </c>
      <c r="K8" s="140">
        <v>2.5</v>
      </c>
      <c r="L8">
        <v>100</v>
      </c>
      <c r="M8" s="13">
        <v>2.5</v>
      </c>
      <c r="N8">
        <v>170</v>
      </c>
      <c r="O8" s="23">
        <v>2.5</v>
      </c>
      <c r="P8">
        <v>100</v>
      </c>
      <c r="Q8" s="38">
        <v>2.5</v>
      </c>
      <c r="R8" s="209">
        <v>80</v>
      </c>
      <c r="S8" s="87">
        <v>2.5</v>
      </c>
      <c r="T8" s="209">
        <v>80</v>
      </c>
      <c r="U8" s="98">
        <v>2.5</v>
      </c>
      <c r="V8" s="209">
        <v>110</v>
      </c>
      <c r="W8" s="108">
        <v>2.5</v>
      </c>
      <c r="X8" s="209">
        <v>105</v>
      </c>
      <c r="Y8" s="119">
        <v>2.5</v>
      </c>
      <c r="Z8" s="209">
        <v>75</v>
      </c>
      <c r="AA8" s="140">
        <v>2.5</v>
      </c>
      <c r="AB8" s="209">
        <v>20</v>
      </c>
      <c r="AC8" s="158">
        <v>2.5</v>
      </c>
      <c r="AD8" s="209">
        <v>35</v>
      </c>
      <c r="AE8" s="6">
        <v>2.5</v>
      </c>
      <c r="AF8" s="28">
        <v>95</v>
      </c>
      <c r="AH8" s="209"/>
      <c r="AI8" s="209"/>
    </row>
    <row r="9" spans="1:35" x14ac:dyDescent="0.2">
      <c r="A9" s="6">
        <v>3</v>
      </c>
      <c r="B9">
        <v>105</v>
      </c>
      <c r="C9" s="13">
        <v>3</v>
      </c>
      <c r="D9">
        <v>70</v>
      </c>
      <c r="E9" s="23">
        <v>3</v>
      </c>
      <c r="F9">
        <v>125</v>
      </c>
      <c r="G9" s="38">
        <v>3</v>
      </c>
      <c r="H9">
        <v>110</v>
      </c>
      <c r="I9" s="119">
        <v>3</v>
      </c>
      <c r="J9">
        <v>150</v>
      </c>
      <c r="K9" s="140">
        <v>3</v>
      </c>
      <c r="L9">
        <v>100</v>
      </c>
      <c r="M9" s="13">
        <v>3</v>
      </c>
      <c r="N9">
        <v>175</v>
      </c>
      <c r="O9" s="23">
        <v>3</v>
      </c>
      <c r="P9">
        <v>100</v>
      </c>
      <c r="Q9" s="38">
        <v>3</v>
      </c>
      <c r="R9" s="209">
        <v>85</v>
      </c>
      <c r="S9" s="87">
        <v>3</v>
      </c>
      <c r="T9" s="209">
        <v>95</v>
      </c>
      <c r="U9" s="98">
        <v>3</v>
      </c>
      <c r="V9" s="209">
        <v>110</v>
      </c>
      <c r="W9" s="108">
        <v>3</v>
      </c>
      <c r="X9" s="209">
        <v>115</v>
      </c>
      <c r="Y9" s="119">
        <v>3</v>
      </c>
      <c r="Z9" s="209">
        <v>90</v>
      </c>
      <c r="AA9" s="140">
        <v>3</v>
      </c>
      <c r="AB9" s="209">
        <v>30</v>
      </c>
      <c r="AC9" s="158">
        <v>3</v>
      </c>
      <c r="AD9" s="209">
        <v>50</v>
      </c>
      <c r="AE9" s="6">
        <v>3</v>
      </c>
      <c r="AF9" s="28">
        <v>80</v>
      </c>
    </row>
    <row r="10" spans="1:35" x14ac:dyDescent="0.2">
      <c r="A10" s="6">
        <v>3.5</v>
      </c>
      <c r="B10">
        <v>105</v>
      </c>
      <c r="C10" s="13">
        <v>3.5</v>
      </c>
      <c r="D10">
        <v>50</v>
      </c>
      <c r="E10" s="23">
        <v>3.5</v>
      </c>
      <c r="F10">
        <v>115</v>
      </c>
      <c r="G10" s="38">
        <v>3.5</v>
      </c>
      <c r="H10">
        <v>120</v>
      </c>
      <c r="I10" s="119">
        <v>3.5</v>
      </c>
      <c r="J10">
        <v>125</v>
      </c>
      <c r="K10" s="140">
        <v>3.5</v>
      </c>
      <c r="L10">
        <v>105</v>
      </c>
      <c r="M10" s="13">
        <v>3.5</v>
      </c>
      <c r="N10">
        <v>160</v>
      </c>
      <c r="O10" s="23">
        <v>3.5</v>
      </c>
      <c r="P10">
        <v>110</v>
      </c>
      <c r="Q10" s="38">
        <v>3.5</v>
      </c>
      <c r="R10" s="209">
        <v>90</v>
      </c>
      <c r="S10" s="87">
        <v>3.5</v>
      </c>
      <c r="T10" s="209">
        <v>100</v>
      </c>
      <c r="U10" s="98">
        <v>3.5</v>
      </c>
      <c r="V10" s="209">
        <v>115</v>
      </c>
      <c r="W10" s="108">
        <v>3.5</v>
      </c>
      <c r="X10" s="209">
        <v>125</v>
      </c>
      <c r="Y10" s="119">
        <v>3.5</v>
      </c>
      <c r="Z10" s="209">
        <v>110</v>
      </c>
      <c r="AA10" s="140">
        <v>3.5</v>
      </c>
      <c r="AB10" s="209">
        <v>50</v>
      </c>
      <c r="AC10" s="158">
        <v>3.5</v>
      </c>
      <c r="AD10" s="209">
        <v>50</v>
      </c>
      <c r="AE10" s="6">
        <v>3.5</v>
      </c>
      <c r="AF10" s="28">
        <v>75</v>
      </c>
    </row>
    <row r="11" spans="1:35" x14ac:dyDescent="0.2">
      <c r="A11" s="6">
        <v>4</v>
      </c>
      <c r="B11">
        <v>90</v>
      </c>
      <c r="C11" s="13">
        <v>4</v>
      </c>
      <c r="D11">
        <v>0</v>
      </c>
      <c r="E11" s="23">
        <v>4</v>
      </c>
      <c r="F11">
        <v>125</v>
      </c>
      <c r="G11" s="38">
        <v>4</v>
      </c>
      <c r="H11">
        <v>125</v>
      </c>
      <c r="I11" s="119">
        <v>4</v>
      </c>
      <c r="J11">
        <v>120</v>
      </c>
      <c r="K11" s="140">
        <v>4</v>
      </c>
      <c r="L11">
        <v>95</v>
      </c>
      <c r="M11" s="13">
        <v>4</v>
      </c>
      <c r="N11">
        <v>150</v>
      </c>
      <c r="O11" s="23">
        <v>4</v>
      </c>
      <c r="P11">
        <v>110</v>
      </c>
      <c r="Q11" s="38">
        <v>4</v>
      </c>
      <c r="R11" s="209">
        <v>90</v>
      </c>
      <c r="S11" s="87">
        <v>4</v>
      </c>
      <c r="T11" s="209">
        <v>100</v>
      </c>
      <c r="U11" s="98">
        <v>4</v>
      </c>
      <c r="V11" s="209">
        <v>125</v>
      </c>
      <c r="W11" s="108">
        <v>4</v>
      </c>
      <c r="X11" s="209">
        <v>125</v>
      </c>
      <c r="Y11" s="119">
        <v>4</v>
      </c>
      <c r="Z11" s="209">
        <v>115</v>
      </c>
      <c r="AA11" s="140">
        <v>4</v>
      </c>
      <c r="AB11" s="209">
        <v>45</v>
      </c>
      <c r="AC11" s="158">
        <v>4</v>
      </c>
      <c r="AD11" s="209">
        <v>50</v>
      </c>
      <c r="AE11" s="6">
        <v>4</v>
      </c>
      <c r="AF11" s="28">
        <v>70</v>
      </c>
    </row>
    <row r="12" spans="1:35" x14ac:dyDescent="0.2">
      <c r="A12" s="6">
        <v>4.5</v>
      </c>
      <c r="B12">
        <v>80</v>
      </c>
      <c r="C12" s="13">
        <v>4.5</v>
      </c>
      <c r="D12">
        <v>65</v>
      </c>
      <c r="E12" s="23">
        <v>4.5</v>
      </c>
      <c r="F12">
        <v>125</v>
      </c>
      <c r="G12" s="38">
        <v>4.5</v>
      </c>
      <c r="H12">
        <v>115</v>
      </c>
      <c r="I12" s="119">
        <v>4.5</v>
      </c>
      <c r="J12">
        <v>125</v>
      </c>
      <c r="K12" s="140">
        <v>4.5</v>
      </c>
      <c r="L12">
        <v>100</v>
      </c>
      <c r="M12" s="13">
        <v>4.5</v>
      </c>
      <c r="N12">
        <v>145</v>
      </c>
      <c r="O12" s="23">
        <v>4.5</v>
      </c>
      <c r="P12">
        <v>100</v>
      </c>
      <c r="Q12" s="38">
        <v>4.5</v>
      </c>
      <c r="R12" s="209">
        <v>90</v>
      </c>
      <c r="S12" s="87">
        <v>4.5</v>
      </c>
      <c r="T12" s="209">
        <v>105</v>
      </c>
      <c r="U12" s="98">
        <v>4.5</v>
      </c>
      <c r="V12" s="209">
        <v>115</v>
      </c>
      <c r="W12" s="108">
        <v>4.5</v>
      </c>
      <c r="X12" s="209">
        <v>125</v>
      </c>
      <c r="Y12" s="119">
        <v>4.5</v>
      </c>
      <c r="Z12" s="209">
        <v>120</v>
      </c>
      <c r="AA12" s="140">
        <v>4.5</v>
      </c>
      <c r="AB12" s="209">
        <v>45</v>
      </c>
      <c r="AC12" s="158">
        <v>4.5</v>
      </c>
      <c r="AD12" s="209">
        <v>45</v>
      </c>
      <c r="AE12" s="6">
        <v>4.5</v>
      </c>
      <c r="AF12" s="28">
        <v>55</v>
      </c>
    </row>
    <row r="13" spans="1:35" x14ac:dyDescent="0.2">
      <c r="A13" s="6">
        <v>5</v>
      </c>
      <c r="B13">
        <v>70</v>
      </c>
      <c r="C13" s="13">
        <v>5</v>
      </c>
      <c r="D13">
        <v>65</v>
      </c>
      <c r="E13" s="23">
        <v>5</v>
      </c>
      <c r="F13">
        <v>135</v>
      </c>
      <c r="G13" s="38">
        <v>5</v>
      </c>
      <c r="H13">
        <v>100</v>
      </c>
      <c r="I13" s="119">
        <v>5</v>
      </c>
      <c r="J13">
        <v>115</v>
      </c>
      <c r="K13" s="140">
        <v>5</v>
      </c>
      <c r="L13">
        <v>95</v>
      </c>
      <c r="M13" s="13">
        <v>5</v>
      </c>
      <c r="N13">
        <v>145</v>
      </c>
      <c r="O13" s="23">
        <v>5</v>
      </c>
      <c r="P13">
        <v>90</v>
      </c>
      <c r="Q13" s="38">
        <v>5</v>
      </c>
      <c r="R13" s="209">
        <v>95</v>
      </c>
      <c r="S13" s="87">
        <v>5</v>
      </c>
      <c r="T13" s="209">
        <v>105</v>
      </c>
      <c r="U13" s="98">
        <v>5</v>
      </c>
      <c r="V13" s="209">
        <v>115</v>
      </c>
      <c r="W13" s="108">
        <v>5</v>
      </c>
      <c r="X13" s="209">
        <v>125</v>
      </c>
      <c r="Y13" s="119">
        <v>5</v>
      </c>
      <c r="Z13" s="209">
        <v>120</v>
      </c>
      <c r="AA13" s="140">
        <v>5</v>
      </c>
      <c r="AB13" s="209">
        <v>45</v>
      </c>
      <c r="AC13" s="158">
        <v>5</v>
      </c>
      <c r="AD13" s="209">
        <v>45</v>
      </c>
      <c r="AE13" s="6">
        <v>5</v>
      </c>
      <c r="AF13" s="28">
        <v>60</v>
      </c>
    </row>
    <row r="14" spans="1:35" x14ac:dyDescent="0.2">
      <c r="A14" s="6">
        <v>5.5</v>
      </c>
      <c r="B14">
        <v>70</v>
      </c>
      <c r="C14" s="13">
        <v>5.5</v>
      </c>
      <c r="D14">
        <v>30</v>
      </c>
      <c r="E14" s="23">
        <v>5.5</v>
      </c>
      <c r="F14">
        <v>80</v>
      </c>
      <c r="G14" s="38">
        <v>5.5</v>
      </c>
      <c r="H14">
        <v>95</v>
      </c>
      <c r="I14" s="119">
        <v>5.5</v>
      </c>
      <c r="J14">
        <v>115</v>
      </c>
      <c r="K14" s="140">
        <v>5.5</v>
      </c>
      <c r="L14">
        <v>105</v>
      </c>
      <c r="M14" s="13">
        <v>5.5</v>
      </c>
      <c r="N14">
        <v>135</v>
      </c>
      <c r="O14" s="23">
        <v>5.5</v>
      </c>
      <c r="P14">
        <v>110</v>
      </c>
      <c r="Q14" s="38">
        <v>5.5</v>
      </c>
      <c r="R14" s="209">
        <v>85</v>
      </c>
      <c r="S14" s="87">
        <v>5.5</v>
      </c>
      <c r="T14" s="209">
        <v>110</v>
      </c>
      <c r="U14" s="98">
        <v>5.5</v>
      </c>
      <c r="V14" s="209">
        <v>115</v>
      </c>
      <c r="W14" s="108">
        <v>5.5</v>
      </c>
      <c r="X14" s="209">
        <v>115</v>
      </c>
      <c r="Y14" s="119">
        <v>5.5</v>
      </c>
      <c r="Z14" s="209">
        <v>125</v>
      </c>
      <c r="AA14" s="140">
        <v>5.5</v>
      </c>
      <c r="AB14" s="209">
        <v>45</v>
      </c>
      <c r="AC14" s="158">
        <v>5.5</v>
      </c>
      <c r="AD14" s="209">
        <v>40</v>
      </c>
      <c r="AE14" s="6">
        <v>5.5</v>
      </c>
      <c r="AF14" s="28">
        <v>60</v>
      </c>
    </row>
    <row r="15" spans="1:35" x14ac:dyDescent="0.2">
      <c r="A15" s="6">
        <v>6</v>
      </c>
      <c r="B15">
        <v>70</v>
      </c>
      <c r="C15" s="13">
        <v>6</v>
      </c>
      <c r="D15">
        <v>10</v>
      </c>
      <c r="E15" s="23">
        <v>6</v>
      </c>
      <c r="F15">
        <v>70</v>
      </c>
      <c r="G15" s="38">
        <v>6</v>
      </c>
      <c r="H15">
        <v>90</v>
      </c>
      <c r="I15" s="119">
        <v>6</v>
      </c>
      <c r="J15">
        <v>115</v>
      </c>
      <c r="K15" s="140">
        <v>6</v>
      </c>
      <c r="L15">
        <v>110</v>
      </c>
      <c r="M15" s="13">
        <v>6</v>
      </c>
      <c r="N15">
        <v>130</v>
      </c>
      <c r="O15" s="23">
        <v>6</v>
      </c>
      <c r="P15">
        <v>100</v>
      </c>
      <c r="Q15" s="38">
        <v>6</v>
      </c>
      <c r="R15" s="209">
        <v>90</v>
      </c>
      <c r="S15" s="87">
        <v>6</v>
      </c>
      <c r="T15" s="209">
        <v>105</v>
      </c>
      <c r="U15" s="98">
        <v>6</v>
      </c>
      <c r="V15" s="209">
        <v>110</v>
      </c>
      <c r="W15" s="108">
        <v>6</v>
      </c>
      <c r="X15" s="209">
        <v>115</v>
      </c>
      <c r="Y15" s="119">
        <v>6</v>
      </c>
      <c r="Z15" s="209">
        <v>125</v>
      </c>
      <c r="AA15" s="140">
        <v>6</v>
      </c>
      <c r="AB15" s="209">
        <v>45</v>
      </c>
      <c r="AC15" s="158">
        <v>6</v>
      </c>
      <c r="AD15" s="209">
        <v>45</v>
      </c>
      <c r="AE15" s="6">
        <v>6</v>
      </c>
      <c r="AF15" s="28">
        <v>60</v>
      </c>
    </row>
    <row r="16" spans="1:35" x14ac:dyDescent="0.2">
      <c r="A16" s="6">
        <v>6.5</v>
      </c>
      <c r="B16">
        <v>75</v>
      </c>
      <c r="C16" s="13">
        <v>6.5</v>
      </c>
      <c r="D16">
        <v>40</v>
      </c>
      <c r="E16" s="23">
        <v>6.5</v>
      </c>
      <c r="F16">
        <v>95</v>
      </c>
      <c r="G16" s="38">
        <v>6.5</v>
      </c>
      <c r="H16">
        <v>115</v>
      </c>
      <c r="I16" s="119">
        <v>6.5</v>
      </c>
      <c r="J16">
        <v>110</v>
      </c>
      <c r="K16" s="140">
        <v>6.5</v>
      </c>
      <c r="L16">
        <v>115</v>
      </c>
      <c r="M16" s="13">
        <v>6.5</v>
      </c>
      <c r="N16">
        <v>135</v>
      </c>
      <c r="O16" s="23">
        <v>6.5</v>
      </c>
      <c r="P16">
        <v>100</v>
      </c>
      <c r="Q16" s="38">
        <v>6.5</v>
      </c>
      <c r="R16" s="209">
        <v>95</v>
      </c>
      <c r="S16" s="87">
        <v>6.5</v>
      </c>
      <c r="T16" s="209">
        <v>110</v>
      </c>
      <c r="U16" s="98">
        <v>6.5</v>
      </c>
      <c r="V16" s="209">
        <v>100</v>
      </c>
      <c r="W16" s="108">
        <v>6.5</v>
      </c>
      <c r="X16" s="209">
        <v>105</v>
      </c>
      <c r="Y16" s="119">
        <v>6.5</v>
      </c>
      <c r="Z16" s="209">
        <v>125</v>
      </c>
      <c r="AA16" s="140">
        <v>6.5</v>
      </c>
      <c r="AB16" s="209">
        <v>45</v>
      </c>
      <c r="AC16" s="158">
        <v>6.5</v>
      </c>
      <c r="AD16" s="209">
        <v>45</v>
      </c>
      <c r="AE16" s="6">
        <v>6.5</v>
      </c>
      <c r="AF16" s="28">
        <v>60</v>
      </c>
    </row>
    <row r="17" spans="1:32" x14ac:dyDescent="0.2">
      <c r="A17" s="6">
        <v>7</v>
      </c>
      <c r="B17">
        <v>85</v>
      </c>
      <c r="C17" s="13">
        <v>7</v>
      </c>
      <c r="D17">
        <v>75</v>
      </c>
      <c r="E17" s="23">
        <v>7</v>
      </c>
      <c r="F17">
        <v>100</v>
      </c>
      <c r="G17" s="38">
        <v>7</v>
      </c>
      <c r="H17">
        <v>125</v>
      </c>
      <c r="I17" s="119">
        <v>7</v>
      </c>
      <c r="J17">
        <v>110</v>
      </c>
      <c r="K17" s="140">
        <v>7</v>
      </c>
      <c r="L17">
        <v>110</v>
      </c>
      <c r="M17" s="13">
        <v>7</v>
      </c>
      <c r="N17">
        <v>145</v>
      </c>
      <c r="O17" s="23">
        <v>7</v>
      </c>
      <c r="P17">
        <v>105</v>
      </c>
      <c r="Q17" s="38">
        <v>7</v>
      </c>
      <c r="R17" s="209">
        <v>95</v>
      </c>
      <c r="S17" s="87">
        <v>7</v>
      </c>
      <c r="T17" s="209">
        <v>110</v>
      </c>
      <c r="U17" s="98">
        <v>7</v>
      </c>
      <c r="V17" s="209">
        <v>90</v>
      </c>
      <c r="W17" s="108">
        <v>7</v>
      </c>
      <c r="X17" s="209">
        <v>110</v>
      </c>
      <c r="Y17" s="119">
        <v>7</v>
      </c>
      <c r="Z17" s="209">
        <v>120</v>
      </c>
      <c r="AA17" s="140">
        <v>7</v>
      </c>
      <c r="AB17" s="209">
        <v>45</v>
      </c>
      <c r="AC17" s="158">
        <v>7</v>
      </c>
      <c r="AD17" s="209">
        <v>50</v>
      </c>
      <c r="AE17" s="6">
        <v>7</v>
      </c>
      <c r="AF17" s="28">
        <v>60</v>
      </c>
    </row>
    <row r="18" spans="1:32" x14ac:dyDescent="0.2">
      <c r="A18" s="6">
        <v>7.5</v>
      </c>
      <c r="B18">
        <v>85</v>
      </c>
      <c r="C18" s="13">
        <v>7.5</v>
      </c>
      <c r="D18">
        <v>60</v>
      </c>
      <c r="E18" s="23">
        <v>7.5</v>
      </c>
      <c r="F18">
        <v>90</v>
      </c>
      <c r="G18" s="38">
        <v>7.5</v>
      </c>
      <c r="H18">
        <v>140</v>
      </c>
      <c r="I18" s="119">
        <v>7.5</v>
      </c>
      <c r="J18">
        <v>105</v>
      </c>
      <c r="K18" s="140">
        <v>7.5</v>
      </c>
      <c r="L18">
        <v>110</v>
      </c>
      <c r="M18" s="13">
        <v>7.5</v>
      </c>
      <c r="N18">
        <v>150</v>
      </c>
      <c r="O18" s="23">
        <v>7.5</v>
      </c>
      <c r="P18">
        <v>115</v>
      </c>
      <c r="Q18" s="38">
        <v>7.5</v>
      </c>
      <c r="R18" s="209">
        <v>95</v>
      </c>
      <c r="S18" s="87">
        <v>7.5</v>
      </c>
      <c r="T18" s="209">
        <v>120</v>
      </c>
      <c r="U18" s="98">
        <v>7.5</v>
      </c>
      <c r="V18" s="209">
        <v>80</v>
      </c>
      <c r="W18" s="108">
        <v>7.5</v>
      </c>
      <c r="X18" s="209">
        <v>115</v>
      </c>
      <c r="Y18" s="119">
        <v>7.5</v>
      </c>
      <c r="Z18" s="209">
        <v>120</v>
      </c>
      <c r="AA18" s="140">
        <v>7.5</v>
      </c>
      <c r="AB18" s="209">
        <v>55</v>
      </c>
      <c r="AC18" s="158">
        <v>7.5</v>
      </c>
      <c r="AD18" s="209">
        <v>50</v>
      </c>
      <c r="AE18" s="6">
        <v>7.5</v>
      </c>
      <c r="AF18" s="28">
        <v>55</v>
      </c>
    </row>
    <row r="19" spans="1:32" x14ac:dyDescent="0.2">
      <c r="A19" s="6">
        <v>8</v>
      </c>
      <c r="B19">
        <v>70</v>
      </c>
      <c r="C19" s="13">
        <v>8</v>
      </c>
      <c r="D19">
        <v>60</v>
      </c>
      <c r="E19" s="23">
        <v>8</v>
      </c>
      <c r="F19">
        <v>80</v>
      </c>
      <c r="G19" s="38">
        <v>8</v>
      </c>
      <c r="H19">
        <v>140</v>
      </c>
      <c r="I19" s="119">
        <v>8</v>
      </c>
      <c r="J19">
        <v>110</v>
      </c>
      <c r="K19" s="140">
        <v>8</v>
      </c>
      <c r="L19">
        <v>100</v>
      </c>
      <c r="M19" s="13">
        <v>8</v>
      </c>
      <c r="N19">
        <v>155</v>
      </c>
      <c r="O19" s="23">
        <v>8</v>
      </c>
      <c r="P19">
        <v>105</v>
      </c>
      <c r="Q19" s="38">
        <v>8</v>
      </c>
      <c r="R19" s="209">
        <v>105</v>
      </c>
      <c r="S19" s="87">
        <v>8</v>
      </c>
      <c r="T19" s="209">
        <v>120</v>
      </c>
      <c r="U19" s="98">
        <v>8</v>
      </c>
      <c r="V19" s="209">
        <v>65</v>
      </c>
      <c r="W19" s="108">
        <v>8</v>
      </c>
      <c r="X19" s="209">
        <v>115</v>
      </c>
      <c r="Y19" s="119">
        <v>8</v>
      </c>
      <c r="Z19" s="209">
        <v>120</v>
      </c>
      <c r="AA19" s="140">
        <v>8</v>
      </c>
      <c r="AB19" s="209">
        <v>50</v>
      </c>
      <c r="AC19" s="158">
        <v>8</v>
      </c>
      <c r="AD19" s="209">
        <v>45</v>
      </c>
      <c r="AE19" s="6">
        <v>8</v>
      </c>
      <c r="AF19" s="28">
        <v>55</v>
      </c>
    </row>
    <row r="20" spans="1:32" x14ac:dyDescent="0.2">
      <c r="A20" s="6">
        <v>8.5</v>
      </c>
      <c r="B20">
        <v>55</v>
      </c>
      <c r="C20" s="13">
        <v>8.5</v>
      </c>
      <c r="D20">
        <v>50</v>
      </c>
      <c r="E20" s="23">
        <v>8.5</v>
      </c>
      <c r="F20">
        <v>80</v>
      </c>
      <c r="G20" s="38">
        <v>8.5</v>
      </c>
      <c r="H20">
        <v>140</v>
      </c>
      <c r="I20" s="119">
        <v>8.5</v>
      </c>
      <c r="J20">
        <v>115</v>
      </c>
      <c r="K20" s="140">
        <v>8.5</v>
      </c>
      <c r="L20">
        <v>105</v>
      </c>
      <c r="M20" s="13">
        <v>8.5</v>
      </c>
      <c r="N20">
        <v>160</v>
      </c>
      <c r="O20" s="23">
        <v>8.5</v>
      </c>
      <c r="P20">
        <v>110</v>
      </c>
      <c r="Q20" s="38">
        <v>8.5</v>
      </c>
      <c r="R20" s="209">
        <v>105</v>
      </c>
      <c r="S20" s="87">
        <v>8.5</v>
      </c>
      <c r="T20" s="209">
        <v>120</v>
      </c>
      <c r="U20" s="98">
        <v>8.5</v>
      </c>
      <c r="V20" s="209">
        <v>50</v>
      </c>
      <c r="W20" s="108">
        <v>8.5</v>
      </c>
      <c r="X20" s="209">
        <v>110</v>
      </c>
      <c r="Y20" s="119">
        <v>8.5</v>
      </c>
      <c r="Z20" s="209">
        <v>120</v>
      </c>
      <c r="AA20" s="140">
        <v>8.5</v>
      </c>
      <c r="AB20" s="209">
        <v>50</v>
      </c>
      <c r="AC20" s="158">
        <v>8.5</v>
      </c>
      <c r="AD20" s="209">
        <v>60</v>
      </c>
      <c r="AE20" s="6">
        <v>8.5</v>
      </c>
      <c r="AF20" s="28">
        <v>55</v>
      </c>
    </row>
    <row r="21" spans="1:32" x14ac:dyDescent="0.2">
      <c r="A21" s="6">
        <v>9</v>
      </c>
      <c r="B21">
        <v>60</v>
      </c>
      <c r="C21" s="13">
        <v>9</v>
      </c>
      <c r="D21">
        <v>60</v>
      </c>
      <c r="E21" s="23">
        <v>9</v>
      </c>
      <c r="F21">
        <v>50</v>
      </c>
      <c r="G21" s="38">
        <v>9</v>
      </c>
      <c r="H21">
        <v>135</v>
      </c>
      <c r="I21" s="119">
        <v>9</v>
      </c>
      <c r="J21">
        <v>125</v>
      </c>
      <c r="K21" s="140">
        <v>9</v>
      </c>
      <c r="L21">
        <v>100</v>
      </c>
      <c r="M21" s="13">
        <v>9</v>
      </c>
      <c r="N21">
        <v>165</v>
      </c>
      <c r="O21" s="23">
        <v>9</v>
      </c>
      <c r="P21">
        <v>100</v>
      </c>
      <c r="Q21" s="38">
        <v>9</v>
      </c>
      <c r="R21" s="209">
        <v>100</v>
      </c>
      <c r="S21" s="87">
        <v>9</v>
      </c>
      <c r="T21" s="209">
        <v>125</v>
      </c>
      <c r="U21" s="98">
        <v>9</v>
      </c>
      <c r="V21" s="209">
        <v>20</v>
      </c>
      <c r="W21" s="108">
        <v>9</v>
      </c>
      <c r="X21" s="209">
        <v>105</v>
      </c>
      <c r="Y21" s="119">
        <v>9</v>
      </c>
      <c r="Z21" s="209">
        <v>115</v>
      </c>
      <c r="AA21" s="140">
        <v>9</v>
      </c>
      <c r="AB21" s="209">
        <v>55</v>
      </c>
      <c r="AC21" s="158">
        <v>9</v>
      </c>
      <c r="AD21" s="209">
        <v>60</v>
      </c>
      <c r="AE21" s="6">
        <v>9</v>
      </c>
      <c r="AF21" s="28">
        <v>60</v>
      </c>
    </row>
    <row r="22" spans="1:32" x14ac:dyDescent="0.2">
      <c r="A22" s="6">
        <v>9.5</v>
      </c>
      <c r="B22">
        <v>30</v>
      </c>
      <c r="C22" s="13">
        <v>9.5</v>
      </c>
      <c r="D22">
        <v>65</v>
      </c>
      <c r="E22" s="23">
        <v>9.5</v>
      </c>
      <c r="F22">
        <v>50</v>
      </c>
      <c r="G22" s="38">
        <v>9.5</v>
      </c>
      <c r="H22">
        <v>160</v>
      </c>
      <c r="I22" s="119">
        <v>9.5</v>
      </c>
      <c r="J22">
        <v>125</v>
      </c>
      <c r="K22" s="140">
        <v>9.5</v>
      </c>
      <c r="L22">
        <v>95</v>
      </c>
      <c r="M22" s="13">
        <v>9.5</v>
      </c>
      <c r="N22">
        <v>170</v>
      </c>
      <c r="O22" s="23">
        <v>9.5</v>
      </c>
      <c r="P22">
        <v>105</v>
      </c>
      <c r="Q22" s="38">
        <v>9.5</v>
      </c>
      <c r="R22" s="209">
        <v>95</v>
      </c>
      <c r="S22" s="87">
        <v>9.5</v>
      </c>
      <c r="T22" s="209">
        <v>135</v>
      </c>
      <c r="U22" s="98">
        <v>9.1999999999999993</v>
      </c>
      <c r="V22" s="209">
        <v>0</v>
      </c>
      <c r="W22" s="108">
        <v>9.5</v>
      </c>
      <c r="X22" s="209">
        <v>95</v>
      </c>
      <c r="Y22" s="119">
        <v>9.5</v>
      </c>
      <c r="Z22" s="209">
        <v>115</v>
      </c>
      <c r="AA22" s="140">
        <v>9.5</v>
      </c>
      <c r="AB22" s="209">
        <v>60</v>
      </c>
      <c r="AC22" s="158">
        <v>9.5</v>
      </c>
      <c r="AD22" s="209">
        <v>65</v>
      </c>
      <c r="AE22" s="6">
        <v>9.5</v>
      </c>
      <c r="AF22" s="28">
        <v>50</v>
      </c>
    </row>
    <row r="23" spans="1:32" x14ac:dyDescent="0.2">
      <c r="A23" s="6">
        <v>10</v>
      </c>
      <c r="B23">
        <v>40</v>
      </c>
      <c r="C23" s="13">
        <v>10</v>
      </c>
      <c r="D23">
        <v>55</v>
      </c>
      <c r="E23" s="23">
        <v>10</v>
      </c>
      <c r="F23">
        <v>10</v>
      </c>
      <c r="G23" s="38">
        <v>10</v>
      </c>
      <c r="H23">
        <v>150</v>
      </c>
      <c r="I23" s="119">
        <v>10</v>
      </c>
      <c r="J23">
        <v>130</v>
      </c>
      <c r="K23" s="140">
        <v>10</v>
      </c>
      <c r="L23">
        <v>95</v>
      </c>
      <c r="M23" s="13">
        <v>10</v>
      </c>
      <c r="N23">
        <v>170</v>
      </c>
      <c r="O23" s="23">
        <v>10</v>
      </c>
      <c r="P23">
        <v>105</v>
      </c>
      <c r="Q23" s="38">
        <v>10</v>
      </c>
      <c r="R23" s="209">
        <v>110</v>
      </c>
      <c r="S23" s="87">
        <v>10</v>
      </c>
      <c r="T23" s="209">
        <v>140</v>
      </c>
      <c r="U23" s="251" t="s">
        <v>52</v>
      </c>
      <c r="V23" s="209">
        <f>AVERAGE(V3:V22)</f>
        <v>78.75</v>
      </c>
      <c r="W23" s="108">
        <v>10</v>
      </c>
      <c r="X23" s="209">
        <v>105</v>
      </c>
      <c r="Y23" s="119">
        <v>10</v>
      </c>
      <c r="Z23" s="209">
        <v>115</v>
      </c>
      <c r="AA23" s="140">
        <v>10</v>
      </c>
      <c r="AB23" s="209">
        <v>60</v>
      </c>
      <c r="AC23" s="158">
        <v>10</v>
      </c>
      <c r="AD23" s="209">
        <v>65</v>
      </c>
      <c r="AE23" s="6">
        <v>10</v>
      </c>
      <c r="AF23" s="28">
        <v>35</v>
      </c>
    </row>
    <row r="24" spans="1:32" ht="17" thickBot="1" x14ac:dyDescent="0.25">
      <c r="A24" s="6">
        <v>10.5</v>
      </c>
      <c r="B24">
        <v>50</v>
      </c>
      <c r="C24" s="13">
        <v>10.5</v>
      </c>
      <c r="D24">
        <v>55</v>
      </c>
      <c r="E24" s="23">
        <v>10.5</v>
      </c>
      <c r="F24">
        <v>0</v>
      </c>
      <c r="G24" s="38">
        <v>10.5</v>
      </c>
      <c r="H24">
        <v>145</v>
      </c>
      <c r="I24" s="119">
        <v>10.5</v>
      </c>
      <c r="J24">
        <v>125</v>
      </c>
      <c r="K24" s="140">
        <v>10.5</v>
      </c>
      <c r="L24">
        <v>85</v>
      </c>
      <c r="M24" s="13">
        <v>10.5</v>
      </c>
      <c r="N24">
        <v>175</v>
      </c>
      <c r="O24" s="23">
        <v>10.5</v>
      </c>
      <c r="P24">
        <v>110</v>
      </c>
      <c r="Q24" s="38">
        <v>10.5</v>
      </c>
      <c r="R24" s="209">
        <v>110</v>
      </c>
      <c r="S24" s="87">
        <v>10.5</v>
      </c>
      <c r="T24" s="209">
        <v>145</v>
      </c>
      <c r="U24" s="252" t="s">
        <v>51</v>
      </c>
      <c r="V24" s="240">
        <f>AVERAGE(V4:V21)</f>
        <v>87.5</v>
      </c>
      <c r="W24" s="108">
        <v>10.5</v>
      </c>
      <c r="X24" s="209">
        <v>110</v>
      </c>
      <c r="Y24" s="119">
        <v>10.5</v>
      </c>
      <c r="Z24" s="209">
        <v>90</v>
      </c>
      <c r="AA24" s="140">
        <v>10.5</v>
      </c>
      <c r="AB24" s="209">
        <v>60</v>
      </c>
      <c r="AC24" s="158">
        <v>10.5</v>
      </c>
      <c r="AD24" s="209">
        <v>35</v>
      </c>
      <c r="AE24" s="6">
        <v>10.5</v>
      </c>
      <c r="AF24" s="28">
        <v>25</v>
      </c>
    </row>
    <row r="25" spans="1:32" ht="17" thickTop="1" x14ac:dyDescent="0.2">
      <c r="A25" s="6">
        <v>11</v>
      </c>
      <c r="B25">
        <v>60</v>
      </c>
      <c r="C25" s="13">
        <v>11</v>
      </c>
      <c r="D25">
        <v>60</v>
      </c>
      <c r="E25" s="23">
        <v>11</v>
      </c>
      <c r="G25" s="38">
        <v>11</v>
      </c>
      <c r="H25">
        <v>115</v>
      </c>
      <c r="I25" s="119">
        <v>11</v>
      </c>
      <c r="J25">
        <v>115</v>
      </c>
      <c r="K25" s="140">
        <v>11</v>
      </c>
      <c r="L25">
        <v>90</v>
      </c>
      <c r="M25" s="13">
        <v>11</v>
      </c>
      <c r="N25">
        <v>175</v>
      </c>
      <c r="O25" s="23">
        <v>11</v>
      </c>
      <c r="P25">
        <v>110</v>
      </c>
      <c r="Q25" s="38">
        <v>11</v>
      </c>
      <c r="R25" s="209">
        <v>105</v>
      </c>
      <c r="S25" s="87">
        <v>11</v>
      </c>
      <c r="T25" s="214">
        <v>140</v>
      </c>
      <c r="W25" s="108">
        <v>11</v>
      </c>
      <c r="X25" s="209">
        <v>110</v>
      </c>
      <c r="Y25" s="119">
        <v>11</v>
      </c>
      <c r="Z25" s="209">
        <v>90</v>
      </c>
      <c r="AA25" s="140">
        <v>11</v>
      </c>
      <c r="AB25" s="209">
        <v>55</v>
      </c>
      <c r="AC25" s="158">
        <v>11</v>
      </c>
      <c r="AD25" s="209">
        <v>0</v>
      </c>
      <c r="AE25" s="6">
        <v>11</v>
      </c>
      <c r="AF25" s="28">
        <v>0</v>
      </c>
    </row>
    <row r="26" spans="1:32" x14ac:dyDescent="0.2">
      <c r="A26" s="6">
        <v>11.5</v>
      </c>
      <c r="B26">
        <v>40</v>
      </c>
      <c r="C26" s="13">
        <v>11.5</v>
      </c>
      <c r="D26">
        <v>55</v>
      </c>
      <c r="E26" s="23">
        <v>11.5</v>
      </c>
      <c r="G26" s="38">
        <v>11.5</v>
      </c>
      <c r="H26">
        <v>105</v>
      </c>
      <c r="I26" s="119">
        <v>11.5</v>
      </c>
      <c r="J26">
        <v>110</v>
      </c>
      <c r="K26" s="140">
        <v>11.5</v>
      </c>
      <c r="L26">
        <v>80</v>
      </c>
      <c r="M26" s="13">
        <v>11.5</v>
      </c>
      <c r="N26">
        <v>175</v>
      </c>
      <c r="O26" s="23">
        <v>11.5</v>
      </c>
      <c r="P26">
        <v>110</v>
      </c>
      <c r="Q26" s="38">
        <v>11.5</v>
      </c>
      <c r="R26" s="209">
        <v>105</v>
      </c>
      <c r="S26" s="87">
        <v>11.5</v>
      </c>
      <c r="T26" s="214">
        <v>125</v>
      </c>
      <c r="W26" s="108">
        <v>11.5</v>
      </c>
      <c r="X26" s="209">
        <v>105</v>
      </c>
      <c r="Y26" s="119">
        <v>11.5</v>
      </c>
      <c r="Z26" s="209">
        <v>70</v>
      </c>
      <c r="AA26" s="140">
        <v>11.5</v>
      </c>
      <c r="AB26" s="209">
        <v>45</v>
      </c>
      <c r="AC26" s="308" t="s">
        <v>52</v>
      </c>
      <c r="AD26" s="209">
        <f>AVERAGE(AD3:AD25)</f>
        <v>39.347826086956523</v>
      </c>
      <c r="AE26" s="5" t="s">
        <v>52</v>
      </c>
      <c r="AF26" s="28">
        <f>AVERAGE(AF3:AF25)</f>
        <v>51.956521739130437</v>
      </c>
    </row>
    <row r="27" spans="1:32" ht="17" thickBot="1" x14ac:dyDescent="0.25">
      <c r="A27" s="6">
        <v>12</v>
      </c>
      <c r="B27">
        <v>15</v>
      </c>
      <c r="C27" s="13">
        <v>12</v>
      </c>
      <c r="D27">
        <v>60</v>
      </c>
      <c r="E27" s="23">
        <v>12</v>
      </c>
      <c r="G27" s="38">
        <v>12</v>
      </c>
      <c r="H27">
        <v>15</v>
      </c>
      <c r="I27" s="119">
        <v>12</v>
      </c>
      <c r="J27">
        <v>100</v>
      </c>
      <c r="K27" s="140">
        <v>12</v>
      </c>
      <c r="L27">
        <v>85</v>
      </c>
      <c r="M27" s="13">
        <v>12</v>
      </c>
      <c r="N27">
        <v>170</v>
      </c>
      <c r="O27" s="23">
        <v>12</v>
      </c>
      <c r="P27">
        <v>115</v>
      </c>
      <c r="Q27" s="38">
        <v>12</v>
      </c>
      <c r="R27" s="209">
        <v>85</v>
      </c>
      <c r="S27" s="87">
        <v>12</v>
      </c>
      <c r="T27" s="214">
        <v>115</v>
      </c>
      <c r="W27" s="108">
        <v>12</v>
      </c>
      <c r="X27" s="209">
        <v>100</v>
      </c>
      <c r="Y27" s="119">
        <v>12</v>
      </c>
      <c r="Z27" s="209">
        <v>60</v>
      </c>
      <c r="AA27" s="140">
        <v>12</v>
      </c>
      <c r="AB27" s="209">
        <v>25</v>
      </c>
      <c r="AC27" s="309" t="s">
        <v>51</v>
      </c>
      <c r="AD27" s="294">
        <f>AVERAGE(AD4:AD24)</f>
        <v>43.095238095238095</v>
      </c>
      <c r="AE27" s="29" t="s">
        <v>51</v>
      </c>
      <c r="AF27" s="312">
        <f>AVERAGE(AF4:AF24)</f>
        <v>56.904761904761905</v>
      </c>
    </row>
    <row r="28" spans="1:32" ht="17" thickTop="1" x14ac:dyDescent="0.2">
      <c r="A28" s="6">
        <v>12.5</v>
      </c>
      <c r="B28">
        <v>55</v>
      </c>
      <c r="C28" s="13">
        <v>12.5</v>
      </c>
      <c r="D28">
        <v>60</v>
      </c>
      <c r="E28" s="23">
        <v>12.5</v>
      </c>
      <c r="G28" s="38">
        <v>12.5</v>
      </c>
      <c r="H28">
        <v>50</v>
      </c>
      <c r="I28" s="119">
        <v>12.5</v>
      </c>
      <c r="J28">
        <v>40</v>
      </c>
      <c r="K28" s="140">
        <v>12.5</v>
      </c>
      <c r="L28">
        <v>75</v>
      </c>
      <c r="M28" s="13">
        <v>12.5</v>
      </c>
      <c r="N28">
        <v>160</v>
      </c>
      <c r="O28" s="23">
        <v>12.5</v>
      </c>
      <c r="P28">
        <v>110</v>
      </c>
      <c r="Q28" s="38">
        <v>12.5</v>
      </c>
      <c r="R28" s="209">
        <v>105</v>
      </c>
      <c r="S28" s="87">
        <v>12.5</v>
      </c>
      <c r="T28" s="214">
        <v>110</v>
      </c>
      <c r="W28" s="108">
        <v>12.5</v>
      </c>
      <c r="X28" s="209">
        <v>90</v>
      </c>
      <c r="Y28" s="119">
        <v>12.5</v>
      </c>
      <c r="Z28" s="209">
        <v>55</v>
      </c>
      <c r="AA28" s="140">
        <v>12.5</v>
      </c>
      <c r="AB28" s="142">
        <v>0</v>
      </c>
    </row>
    <row r="29" spans="1:32" x14ac:dyDescent="0.2">
      <c r="A29" s="6">
        <v>13</v>
      </c>
      <c r="B29">
        <v>40</v>
      </c>
      <c r="C29" s="13">
        <v>13</v>
      </c>
      <c r="D29">
        <v>60</v>
      </c>
      <c r="E29" s="23">
        <v>13</v>
      </c>
      <c r="G29" s="38">
        <v>13</v>
      </c>
      <c r="H29">
        <v>0</v>
      </c>
      <c r="I29" s="119">
        <v>13</v>
      </c>
      <c r="J29">
        <v>30</v>
      </c>
      <c r="K29" s="140">
        <v>13</v>
      </c>
      <c r="L29">
        <v>65</v>
      </c>
      <c r="M29" s="13">
        <v>13</v>
      </c>
      <c r="N29">
        <v>165</v>
      </c>
      <c r="O29" s="23">
        <v>13</v>
      </c>
      <c r="P29">
        <v>95</v>
      </c>
      <c r="Q29" s="38">
        <v>13</v>
      </c>
      <c r="R29" s="209">
        <v>100</v>
      </c>
      <c r="S29" s="87">
        <v>13</v>
      </c>
      <c r="T29" s="214">
        <v>90</v>
      </c>
      <c r="W29" s="108">
        <v>13</v>
      </c>
      <c r="X29" s="209">
        <v>85</v>
      </c>
      <c r="Y29" s="119">
        <v>13</v>
      </c>
      <c r="Z29" s="209">
        <v>45</v>
      </c>
      <c r="AA29" s="140">
        <v>13</v>
      </c>
      <c r="AB29" s="142">
        <v>0</v>
      </c>
    </row>
    <row r="30" spans="1:32" x14ac:dyDescent="0.2">
      <c r="A30" s="6">
        <v>13.5</v>
      </c>
      <c r="B30">
        <v>50</v>
      </c>
      <c r="C30" s="13">
        <v>13.5</v>
      </c>
      <c r="D30">
        <v>30</v>
      </c>
      <c r="E30" s="23">
        <v>13.5</v>
      </c>
      <c r="G30" s="38">
        <v>13.5</v>
      </c>
      <c r="I30" s="119">
        <v>13.5</v>
      </c>
      <c r="J30">
        <v>0</v>
      </c>
      <c r="K30" s="140">
        <v>13.5</v>
      </c>
      <c r="L30">
        <v>55</v>
      </c>
      <c r="M30" s="13">
        <v>13.5</v>
      </c>
      <c r="N30">
        <v>155</v>
      </c>
      <c r="O30" s="23">
        <v>13.5</v>
      </c>
      <c r="P30">
        <v>110</v>
      </c>
      <c r="Q30" s="38">
        <v>13.5</v>
      </c>
      <c r="R30" s="209">
        <v>95</v>
      </c>
      <c r="S30" s="87">
        <v>13.5</v>
      </c>
      <c r="T30" s="214">
        <v>60</v>
      </c>
      <c r="W30" s="108">
        <v>13.5</v>
      </c>
      <c r="X30" s="209">
        <v>80</v>
      </c>
      <c r="Y30" s="119">
        <v>13.5</v>
      </c>
      <c r="Z30" s="209">
        <v>40</v>
      </c>
      <c r="AA30" s="140">
        <v>13.5</v>
      </c>
      <c r="AB30" s="142">
        <v>10</v>
      </c>
    </row>
    <row r="31" spans="1:32" x14ac:dyDescent="0.2">
      <c r="A31" s="6">
        <v>14</v>
      </c>
      <c r="B31">
        <v>10</v>
      </c>
      <c r="C31" s="13">
        <v>14</v>
      </c>
      <c r="D31">
        <v>0</v>
      </c>
      <c r="E31" s="23">
        <v>14</v>
      </c>
      <c r="G31" s="38">
        <v>14</v>
      </c>
      <c r="I31" s="119">
        <v>14</v>
      </c>
      <c r="K31" s="140">
        <v>14</v>
      </c>
      <c r="L31">
        <v>60</v>
      </c>
      <c r="M31" s="13">
        <v>14</v>
      </c>
      <c r="N31">
        <v>130</v>
      </c>
      <c r="O31" s="23">
        <v>14</v>
      </c>
      <c r="P31">
        <v>120</v>
      </c>
      <c r="Q31" s="38">
        <v>14</v>
      </c>
      <c r="R31" s="209">
        <v>75</v>
      </c>
      <c r="S31" s="87">
        <v>14</v>
      </c>
      <c r="T31" s="214">
        <v>0</v>
      </c>
      <c r="W31" s="108">
        <v>14</v>
      </c>
      <c r="X31" s="209">
        <v>75</v>
      </c>
      <c r="Y31" s="119">
        <v>14</v>
      </c>
      <c r="Z31" s="209">
        <v>30</v>
      </c>
      <c r="AA31" s="140">
        <v>14</v>
      </c>
      <c r="AB31" s="142">
        <v>25</v>
      </c>
    </row>
    <row r="32" spans="1:32" x14ac:dyDescent="0.2">
      <c r="A32" s="6">
        <v>14.5</v>
      </c>
      <c r="B32">
        <v>60</v>
      </c>
      <c r="C32" s="13">
        <v>14.5</v>
      </c>
      <c r="E32" s="23">
        <v>14.5</v>
      </c>
      <c r="G32" s="38">
        <v>14.5</v>
      </c>
      <c r="I32" s="119">
        <v>14.5</v>
      </c>
      <c r="K32" s="140">
        <v>14.5</v>
      </c>
      <c r="L32">
        <v>60</v>
      </c>
      <c r="M32" s="13">
        <v>14.5</v>
      </c>
      <c r="N32">
        <v>130</v>
      </c>
      <c r="O32" s="23">
        <v>14.5</v>
      </c>
      <c r="P32">
        <v>120</v>
      </c>
      <c r="Q32" s="38">
        <v>14.5</v>
      </c>
      <c r="R32" s="209">
        <v>90</v>
      </c>
      <c r="S32" s="234" t="s">
        <v>52</v>
      </c>
      <c r="T32" s="214">
        <f>AVERAGE(T3:T31)</f>
        <v>97.41379310344827</v>
      </c>
      <c r="W32" s="108">
        <v>14.5</v>
      </c>
      <c r="X32" s="209">
        <v>0</v>
      </c>
      <c r="Y32" s="119">
        <v>14.5</v>
      </c>
      <c r="Z32" s="209">
        <v>0</v>
      </c>
      <c r="AA32" s="140">
        <v>14.5</v>
      </c>
      <c r="AB32" s="142">
        <v>20</v>
      </c>
    </row>
    <row r="33" spans="1:28" ht="17" thickBot="1" x14ac:dyDescent="0.25">
      <c r="A33" s="6">
        <v>15</v>
      </c>
      <c r="B33">
        <v>40</v>
      </c>
      <c r="C33" s="13">
        <v>15</v>
      </c>
      <c r="E33" s="23">
        <v>15</v>
      </c>
      <c r="G33" s="38">
        <v>15</v>
      </c>
      <c r="I33" s="119">
        <v>15</v>
      </c>
      <c r="K33" s="140">
        <v>15</v>
      </c>
      <c r="L33">
        <v>60</v>
      </c>
      <c r="M33" s="13">
        <v>15</v>
      </c>
      <c r="N33">
        <v>150</v>
      </c>
      <c r="O33" s="23">
        <v>15</v>
      </c>
      <c r="P33">
        <v>120</v>
      </c>
      <c r="Q33" s="38">
        <v>15</v>
      </c>
      <c r="R33" s="209">
        <v>95</v>
      </c>
      <c r="S33" s="215" t="s">
        <v>51</v>
      </c>
      <c r="T33" s="235">
        <f>AVERAGE(T4:T30)</f>
        <v>104.62962962962963</v>
      </c>
      <c r="W33" s="270" t="s">
        <v>52</v>
      </c>
      <c r="X33" s="209">
        <f>AVERAGE(X3:X32)</f>
        <v>94.166666666666671</v>
      </c>
      <c r="Y33" s="122" t="s">
        <v>52</v>
      </c>
      <c r="Z33" s="209">
        <f>AVERAGE(Z3:Z32)</f>
        <v>81.5</v>
      </c>
      <c r="AA33" s="140">
        <v>15</v>
      </c>
      <c r="AB33" s="142">
        <v>25</v>
      </c>
    </row>
    <row r="34" spans="1:28" ht="18" thickTop="1" thickBot="1" x14ac:dyDescent="0.25">
      <c r="A34" s="6">
        <v>15.5</v>
      </c>
      <c r="B34">
        <v>35</v>
      </c>
      <c r="C34" s="13">
        <v>15.5</v>
      </c>
      <c r="E34" s="23">
        <v>15.5</v>
      </c>
      <c r="G34" s="38">
        <v>15.5</v>
      </c>
      <c r="I34" s="119">
        <v>15.5</v>
      </c>
      <c r="K34" s="140">
        <v>15.5</v>
      </c>
      <c r="L34">
        <v>65</v>
      </c>
      <c r="M34" s="13">
        <v>15.5</v>
      </c>
      <c r="N34">
        <v>105</v>
      </c>
      <c r="O34" s="23">
        <v>15.5</v>
      </c>
      <c r="P34">
        <v>115</v>
      </c>
      <c r="Q34" s="38">
        <v>15.5</v>
      </c>
      <c r="R34" s="73">
        <v>100</v>
      </c>
      <c r="W34" s="271" t="s">
        <v>51</v>
      </c>
      <c r="X34" s="258">
        <f>AVERAGE(X4:X31)</f>
        <v>100.89285714285714</v>
      </c>
      <c r="Y34" s="125" t="s">
        <v>51</v>
      </c>
      <c r="Z34" s="120">
        <f>AVERAGE(Z4:Z31)</f>
        <v>87.321428571428569</v>
      </c>
      <c r="AA34" s="140">
        <v>15.5</v>
      </c>
      <c r="AB34" s="142">
        <v>20</v>
      </c>
    </row>
    <row r="35" spans="1:28" ht="17" thickTop="1" x14ac:dyDescent="0.2">
      <c r="A35" s="6">
        <v>16</v>
      </c>
      <c r="B35">
        <v>10</v>
      </c>
      <c r="C35" s="13">
        <v>16</v>
      </c>
      <c r="E35" s="23">
        <v>16</v>
      </c>
      <c r="G35" s="38">
        <v>16</v>
      </c>
      <c r="I35" s="119">
        <v>16</v>
      </c>
      <c r="K35" s="140">
        <v>16</v>
      </c>
      <c r="L35">
        <v>75</v>
      </c>
      <c r="M35" s="13">
        <v>16</v>
      </c>
      <c r="N35">
        <v>95</v>
      </c>
      <c r="O35" s="23">
        <v>16</v>
      </c>
      <c r="P35">
        <v>110</v>
      </c>
      <c r="Q35" s="38">
        <v>16</v>
      </c>
      <c r="R35" s="73">
        <v>85</v>
      </c>
      <c r="W35" s="209"/>
      <c r="X35" s="209"/>
      <c r="Y35" s="209"/>
      <c r="AA35" s="140">
        <v>16</v>
      </c>
      <c r="AB35" s="142">
        <v>10</v>
      </c>
    </row>
    <row r="36" spans="1:28" x14ac:dyDescent="0.2">
      <c r="A36" s="6">
        <v>16.5</v>
      </c>
      <c r="B36">
        <v>35</v>
      </c>
      <c r="C36" s="13">
        <v>16.5</v>
      </c>
      <c r="E36" s="23">
        <v>16.5</v>
      </c>
      <c r="G36" s="38">
        <v>16.5</v>
      </c>
      <c r="I36" s="119">
        <v>16.5</v>
      </c>
      <c r="K36" s="140">
        <v>16.5</v>
      </c>
      <c r="L36">
        <v>90</v>
      </c>
      <c r="M36" s="13">
        <v>16.5</v>
      </c>
      <c r="N36">
        <v>90</v>
      </c>
      <c r="O36" s="23">
        <v>16.5</v>
      </c>
      <c r="P36">
        <v>110</v>
      </c>
      <c r="Q36" s="38">
        <v>16.5</v>
      </c>
      <c r="R36" s="73">
        <v>80</v>
      </c>
      <c r="W36" s="209"/>
      <c r="X36" s="209"/>
      <c r="Y36" s="209"/>
      <c r="Z36" s="209"/>
      <c r="AA36" s="140">
        <v>16.5</v>
      </c>
      <c r="AB36" s="142">
        <v>0</v>
      </c>
    </row>
    <row r="37" spans="1:28" x14ac:dyDescent="0.2">
      <c r="A37" s="6">
        <v>17</v>
      </c>
      <c r="B37">
        <v>10</v>
      </c>
      <c r="C37" s="13">
        <v>17</v>
      </c>
      <c r="E37" s="23">
        <v>17</v>
      </c>
      <c r="G37" s="38">
        <v>17</v>
      </c>
      <c r="I37" s="119">
        <v>17</v>
      </c>
      <c r="K37" s="140">
        <v>17</v>
      </c>
      <c r="L37">
        <v>90</v>
      </c>
      <c r="M37" s="13">
        <v>17</v>
      </c>
      <c r="N37">
        <v>50</v>
      </c>
      <c r="O37" s="23">
        <v>17</v>
      </c>
      <c r="P37">
        <v>140</v>
      </c>
      <c r="Q37" s="38">
        <v>17</v>
      </c>
      <c r="R37" s="73">
        <v>75</v>
      </c>
      <c r="W37" s="209"/>
      <c r="X37" s="209"/>
      <c r="Y37" s="209"/>
      <c r="Z37" s="209"/>
      <c r="AA37" s="141" t="s">
        <v>52</v>
      </c>
      <c r="AB37" s="142">
        <f>AVERAGE(AB3:AB36)</f>
        <v>32.647058823529413</v>
      </c>
    </row>
    <row r="38" spans="1:28" ht="17" thickBot="1" x14ac:dyDescent="0.25">
      <c r="A38" s="6">
        <v>17.25</v>
      </c>
      <c r="B38">
        <v>0</v>
      </c>
      <c r="C38" s="13">
        <v>17.5</v>
      </c>
      <c r="E38" s="23">
        <v>17.5</v>
      </c>
      <c r="G38" s="38">
        <v>17.5</v>
      </c>
      <c r="I38" s="119">
        <v>17.5</v>
      </c>
      <c r="K38" s="140">
        <v>17.5</v>
      </c>
      <c r="L38">
        <v>100</v>
      </c>
      <c r="M38" s="13">
        <v>17.5</v>
      </c>
      <c r="N38">
        <v>45</v>
      </c>
      <c r="O38" s="23">
        <v>17.5</v>
      </c>
      <c r="P38">
        <v>0</v>
      </c>
      <c r="Q38" s="38">
        <v>17.5</v>
      </c>
      <c r="R38" s="73">
        <v>45</v>
      </c>
      <c r="W38" s="209"/>
      <c r="X38" s="209"/>
      <c r="Y38" s="209"/>
      <c r="Z38" s="209"/>
      <c r="AA38" s="149" t="s">
        <v>51</v>
      </c>
      <c r="AB38" s="150">
        <f>AVERAGE(AB4:AB35)</f>
        <v>34.6875</v>
      </c>
    </row>
    <row r="39" spans="1:28" ht="17" thickTop="1" x14ac:dyDescent="0.2">
      <c r="A39" s="5" t="s">
        <v>52</v>
      </c>
      <c r="B39">
        <f>AVERAGE(B3:B38)</f>
        <v>51.111111111111114</v>
      </c>
      <c r="C39" s="13">
        <v>18</v>
      </c>
      <c r="E39" s="23">
        <v>18</v>
      </c>
      <c r="G39" s="38">
        <v>18</v>
      </c>
      <c r="I39" s="119">
        <v>18</v>
      </c>
      <c r="K39" s="140">
        <v>18</v>
      </c>
      <c r="L39">
        <v>105</v>
      </c>
      <c r="M39" s="13">
        <v>18</v>
      </c>
      <c r="N39">
        <v>15</v>
      </c>
      <c r="O39" s="22" t="s">
        <v>52</v>
      </c>
      <c r="P39">
        <f>AVERAGE(P3:P38)</f>
        <v>100.69444444444444</v>
      </c>
      <c r="Q39" s="38">
        <v>18</v>
      </c>
      <c r="R39" s="73">
        <v>0</v>
      </c>
      <c r="W39" s="209"/>
      <c r="X39" s="209"/>
      <c r="Y39" s="209"/>
      <c r="Z39" s="209"/>
    </row>
    <row r="40" spans="1:28" ht="17" thickBot="1" x14ac:dyDescent="0.25">
      <c r="A40" s="29" t="s">
        <v>51</v>
      </c>
      <c r="B40" s="31">
        <f>AVERAGE(B4:B37)</f>
        <v>54.117647058823529</v>
      </c>
      <c r="C40" s="13">
        <v>18.5</v>
      </c>
      <c r="E40" s="23">
        <v>18.5</v>
      </c>
      <c r="G40" s="38">
        <v>18.5</v>
      </c>
      <c r="I40" s="119">
        <v>18.5</v>
      </c>
      <c r="K40" s="140">
        <v>18.5</v>
      </c>
      <c r="L40">
        <v>105</v>
      </c>
      <c r="M40" s="13">
        <v>18.5</v>
      </c>
      <c r="N40">
        <v>20</v>
      </c>
      <c r="O40" s="33" t="s">
        <v>51</v>
      </c>
      <c r="P40" s="21">
        <f>AVERAGE(P4:P37)</f>
        <v>106.61764705882354</v>
      </c>
      <c r="Q40" s="40" t="s">
        <v>52</v>
      </c>
      <c r="R40" s="73">
        <f>AVERAGE(R3:R39)</f>
        <v>83.78378378378379</v>
      </c>
      <c r="W40" s="209"/>
      <c r="X40" s="209"/>
      <c r="Y40" s="209"/>
      <c r="Z40" s="209"/>
    </row>
    <row r="41" spans="1:28" ht="18" thickTop="1" thickBot="1" x14ac:dyDescent="0.25">
      <c r="C41" s="13">
        <v>19</v>
      </c>
      <c r="E41" s="23">
        <v>19</v>
      </c>
      <c r="G41" s="38">
        <v>19</v>
      </c>
      <c r="I41" s="119">
        <v>19</v>
      </c>
      <c r="K41" s="140">
        <v>19</v>
      </c>
      <c r="L41">
        <v>95</v>
      </c>
      <c r="M41" s="13">
        <v>19</v>
      </c>
      <c r="N41">
        <v>10</v>
      </c>
      <c r="Q41" s="45" t="s">
        <v>51</v>
      </c>
      <c r="R41" s="185">
        <f>AVERAGE(R4:R38)</f>
        <v>88.571428571428569</v>
      </c>
      <c r="W41" s="209"/>
      <c r="X41" s="209"/>
      <c r="Y41" s="209"/>
      <c r="Z41" s="209"/>
    </row>
    <row r="42" spans="1:28" ht="17" thickTop="1" x14ac:dyDescent="0.2">
      <c r="C42" s="13">
        <v>19.5</v>
      </c>
      <c r="E42" s="23">
        <v>19.5</v>
      </c>
      <c r="G42" s="38">
        <v>19.5</v>
      </c>
      <c r="I42" s="119">
        <v>19.5</v>
      </c>
      <c r="K42" s="140">
        <v>19.5</v>
      </c>
      <c r="L42">
        <v>110</v>
      </c>
      <c r="M42" s="13">
        <v>19.5</v>
      </c>
      <c r="N42">
        <v>10</v>
      </c>
      <c r="W42" s="209"/>
      <c r="X42" s="209"/>
      <c r="Y42" s="209"/>
      <c r="Z42" s="209"/>
    </row>
    <row r="43" spans="1:28" x14ac:dyDescent="0.2">
      <c r="C43" s="13">
        <v>20</v>
      </c>
      <c r="E43" s="23">
        <v>20</v>
      </c>
      <c r="G43" s="38">
        <v>20</v>
      </c>
      <c r="I43" s="119">
        <v>20</v>
      </c>
      <c r="K43" s="140">
        <v>20</v>
      </c>
      <c r="L43">
        <v>105</v>
      </c>
      <c r="M43" s="13">
        <v>20</v>
      </c>
      <c r="N43">
        <v>0</v>
      </c>
      <c r="W43" s="209"/>
      <c r="X43" s="209"/>
      <c r="Y43" s="209"/>
      <c r="Z43" s="209"/>
    </row>
    <row r="44" spans="1:28" x14ac:dyDescent="0.2">
      <c r="C44" s="13">
        <v>20.5</v>
      </c>
      <c r="E44" s="23">
        <v>20.5</v>
      </c>
      <c r="G44" s="38">
        <v>20.5</v>
      </c>
      <c r="I44" s="119">
        <v>20.5</v>
      </c>
      <c r="K44" s="140">
        <v>20.5</v>
      </c>
      <c r="L44">
        <v>75</v>
      </c>
      <c r="M44" s="18" t="s">
        <v>52</v>
      </c>
      <c r="N44">
        <f>AVERAGE(N3:N43)</f>
        <v>121.21951219512195</v>
      </c>
      <c r="W44" s="209"/>
      <c r="X44" s="209"/>
      <c r="Y44" s="209"/>
      <c r="Z44" s="209"/>
    </row>
    <row r="45" spans="1:28" ht="17" thickBot="1" x14ac:dyDescent="0.25">
      <c r="C45" s="13">
        <v>21</v>
      </c>
      <c r="E45" s="23">
        <v>21</v>
      </c>
      <c r="G45" s="38">
        <v>21</v>
      </c>
      <c r="I45" s="119">
        <v>21</v>
      </c>
      <c r="K45" s="140">
        <v>21</v>
      </c>
      <c r="L45">
        <v>50</v>
      </c>
      <c r="M45" s="19" t="s">
        <v>51</v>
      </c>
      <c r="N45" s="32">
        <f>AVERAGE(N4:N42)</f>
        <v>127.43589743589743</v>
      </c>
      <c r="W45" s="209"/>
      <c r="X45" s="209"/>
      <c r="Y45" s="209"/>
      <c r="Z45" s="209"/>
    </row>
    <row r="46" spans="1:28" ht="17" thickTop="1" x14ac:dyDescent="0.2">
      <c r="C46" s="13">
        <v>21.5</v>
      </c>
      <c r="E46" s="23">
        <v>21.5</v>
      </c>
      <c r="G46" s="38">
        <v>21.5</v>
      </c>
      <c r="I46" s="119">
        <v>21.5</v>
      </c>
      <c r="K46" s="140">
        <v>21.5</v>
      </c>
      <c r="L46" s="142">
        <v>80</v>
      </c>
      <c r="W46" s="209"/>
      <c r="X46" s="209"/>
      <c r="Y46" s="209"/>
      <c r="Z46" s="209"/>
    </row>
    <row r="47" spans="1:28" x14ac:dyDescent="0.2">
      <c r="C47" s="13">
        <v>22</v>
      </c>
      <c r="E47" s="23">
        <v>22</v>
      </c>
      <c r="G47" s="38">
        <v>22</v>
      </c>
      <c r="I47" s="119">
        <v>22</v>
      </c>
      <c r="K47" s="140">
        <v>22</v>
      </c>
      <c r="L47" s="142">
        <v>50</v>
      </c>
      <c r="W47" s="209"/>
      <c r="X47" s="209"/>
      <c r="Y47" s="209"/>
      <c r="Z47" s="209"/>
    </row>
    <row r="48" spans="1:28" x14ac:dyDescent="0.2">
      <c r="C48" s="13">
        <v>22.5</v>
      </c>
      <c r="E48" s="23">
        <v>22.5</v>
      </c>
      <c r="G48" s="38">
        <v>22.5</v>
      </c>
      <c r="I48" s="119">
        <v>22.5</v>
      </c>
      <c r="K48" s="140">
        <v>22.5</v>
      </c>
      <c r="L48" s="142">
        <v>70</v>
      </c>
      <c r="W48" s="209"/>
      <c r="X48" s="209"/>
      <c r="Y48" s="209"/>
      <c r="Z48" s="209"/>
    </row>
    <row r="49" spans="3:26" x14ac:dyDescent="0.2">
      <c r="C49" s="13">
        <v>23</v>
      </c>
      <c r="E49" s="23">
        <v>23</v>
      </c>
      <c r="G49" s="38">
        <v>23</v>
      </c>
      <c r="I49" s="119">
        <v>23</v>
      </c>
      <c r="K49" s="140">
        <v>23</v>
      </c>
      <c r="L49" s="142">
        <v>0</v>
      </c>
      <c r="W49" s="209"/>
      <c r="X49" s="209"/>
      <c r="Y49" s="209"/>
      <c r="Z49" s="209"/>
    </row>
    <row r="50" spans="3:26" x14ac:dyDescent="0.2">
      <c r="C50" s="18" t="s">
        <v>52</v>
      </c>
      <c r="D50">
        <f>AVERAGE(D3:D31)</f>
        <v>47.068965517241381</v>
      </c>
      <c r="E50" s="22" t="s">
        <v>52</v>
      </c>
      <c r="F50">
        <f>AVERAGE(F3:F24)</f>
        <v>81.818181818181813</v>
      </c>
      <c r="G50" s="40" t="s">
        <v>52</v>
      </c>
      <c r="H50">
        <f>AVERAGE(H3:H29)</f>
        <v>98.518518518518519</v>
      </c>
      <c r="I50" s="122" t="s">
        <v>52</v>
      </c>
      <c r="J50">
        <f>AVERAGE(J3:J30)</f>
        <v>100.71428571428571</v>
      </c>
      <c r="K50" s="141" t="s">
        <v>52</v>
      </c>
      <c r="L50" s="142">
        <f>AVERAGE(L3:L49)</f>
        <v>82.872340425531917</v>
      </c>
      <c r="W50" s="209"/>
      <c r="X50" s="209"/>
      <c r="Y50" s="209"/>
      <c r="Z50" s="209"/>
    </row>
    <row r="51" spans="3:26" ht="17" thickBot="1" x14ac:dyDescent="0.25">
      <c r="C51" s="19" t="s">
        <v>51</v>
      </c>
      <c r="D51" s="32">
        <f>AVERAGE(D4:D30)</f>
        <v>50.555555555555557</v>
      </c>
      <c r="E51" s="33" t="s">
        <v>51</v>
      </c>
      <c r="F51" s="21">
        <f>AVERAGE(F4:F23)</f>
        <v>90</v>
      </c>
      <c r="G51" s="45" t="s">
        <v>51</v>
      </c>
      <c r="H51" s="37">
        <f>AVERAGE(H4:H28)</f>
        <v>106.4</v>
      </c>
      <c r="I51" s="125" t="s">
        <v>51</v>
      </c>
      <c r="J51" s="120">
        <f>AVERAGE(J4:J29)</f>
        <v>108.46153846153847</v>
      </c>
      <c r="K51" s="149" t="s">
        <v>51</v>
      </c>
      <c r="L51" s="150">
        <f>AVERAGE(L4:L48)</f>
        <v>86.555555555555557</v>
      </c>
      <c r="W51" s="209"/>
      <c r="X51" s="209"/>
      <c r="Y51" s="209"/>
      <c r="Z51" s="209"/>
    </row>
    <row r="52" spans="3:26" ht="17" thickTop="1" x14ac:dyDescent="0.2">
      <c r="X52" s="209"/>
      <c r="Y52" s="209"/>
    </row>
    <row r="53" spans="3:26" x14ac:dyDescent="0.2">
      <c r="X53" s="209"/>
      <c r="Y53" s="209"/>
    </row>
    <row r="54" spans="3:26" x14ac:dyDescent="0.2">
      <c r="X54" s="209"/>
      <c r="Y54" s="209"/>
    </row>
  </sheetData>
  <mergeCells count="16">
    <mergeCell ref="AC1:AD1"/>
    <mergeCell ref="AE1:AF1"/>
    <mergeCell ref="S1:T1"/>
    <mergeCell ref="U1:V1"/>
    <mergeCell ref="W1:X1"/>
    <mergeCell ref="Y1:Z1"/>
    <mergeCell ref="AA1:AB1"/>
    <mergeCell ref="O1:P1"/>
    <mergeCell ref="Q1:R1"/>
    <mergeCell ref="K1:L1"/>
    <mergeCell ref="M1:N1"/>
    <mergeCell ref="A1:B1"/>
    <mergeCell ref="C1:D1"/>
    <mergeCell ref="E1:F1"/>
    <mergeCell ref="G1:H1"/>
    <mergeCell ref="I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Pre-flood transport data</vt:lpstr>
      <vt:lpstr>Plotting</vt:lpstr>
      <vt:lpstr>D50 number crunching</vt:lpstr>
      <vt:lpstr>Channel width number crunching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Vanessa Gabel</cp:lastModifiedBy>
  <dcterms:created xsi:type="dcterms:W3CDTF">2023-08-23T22:20:26Z</dcterms:created>
  <dcterms:modified xsi:type="dcterms:W3CDTF">2023-09-25T21:57:22Z</dcterms:modified>
</cp:coreProperties>
</file>