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49" activeTab="1"/>
  </bookViews>
  <sheets>
    <sheet name="پنل" sheetId="11" r:id="rId1"/>
    <sheet name="سود و زیان" sheetId="1" r:id="rId2"/>
    <sheet name="ترازنامه" sheetId="2" r:id="rId3"/>
    <sheet name="تفاوت سود قطعی و علی الخساب" sheetId="4" r:id="rId4"/>
    <sheet name="درآمد" sheetId="5" r:id="rId5"/>
    <sheet name="ذخیره مطالبات " sheetId="6" r:id="rId6"/>
    <sheet name="هزینه عمومی اداری" sheetId="7" r:id="rId7"/>
    <sheet name="متغیرهای کلان تاریخی" sheetId="8" r:id="rId8"/>
    <sheet name="متغیرهای کلان 1400" sheetId="10" r:id="rId9"/>
    <sheet name="متغیرهای کلان 1401" sheetId="9" r:id="rId10"/>
    <sheet name="شعب" sheetId="3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4" i="1"/>
  <c r="E16" i="1"/>
  <c r="E15" i="1"/>
  <c r="B29" i="6"/>
  <c r="B26" i="6"/>
  <c r="E13" i="1"/>
  <c r="D4" i="7"/>
  <c r="D3" i="7"/>
  <c r="D2" i="7"/>
  <c r="D3" i="4" l="1"/>
  <c r="E4" i="11"/>
  <c r="E12" i="1" l="1"/>
  <c r="E10" i="1"/>
  <c r="E9" i="1"/>
  <c r="E7" i="1"/>
  <c r="E6" i="1"/>
  <c r="E28" i="1"/>
  <c r="E27" i="1"/>
  <c r="D28" i="1"/>
  <c r="C28" i="1"/>
  <c r="E5" i="1"/>
  <c r="D27" i="1"/>
  <c r="C27" i="1"/>
  <c r="K5" i="5"/>
  <c r="K4" i="5"/>
  <c r="K3" i="5"/>
  <c r="H4" i="5"/>
  <c r="H5" i="5"/>
  <c r="H3" i="5"/>
  <c r="G5" i="5"/>
  <c r="C5" i="5"/>
  <c r="B5" i="5"/>
  <c r="F5" i="5"/>
  <c r="D4" i="5"/>
  <c r="D5" i="5" s="1"/>
  <c r="D3" i="5"/>
  <c r="D66" i="4"/>
  <c r="C73" i="4"/>
  <c r="C74" i="4"/>
  <c r="C75" i="4"/>
  <c r="C81" i="4"/>
  <c r="C82" i="4"/>
  <c r="C83" i="4"/>
  <c r="B74" i="4"/>
  <c r="D74" i="4" s="1"/>
  <c r="B75" i="4"/>
  <c r="D75" i="4" s="1"/>
  <c r="B81" i="4"/>
  <c r="D81" i="4" s="1"/>
  <c r="B82" i="4"/>
  <c r="D82" i="4" s="1"/>
  <c r="B83" i="4"/>
  <c r="D83" i="4" s="1"/>
  <c r="B73" i="4"/>
  <c r="D73" i="4" s="1"/>
  <c r="C92" i="4"/>
  <c r="C9" i="4"/>
  <c r="G22" i="8"/>
  <c r="F13" i="10"/>
  <c r="F12" i="10"/>
  <c r="F11" i="10"/>
  <c r="F10" i="10"/>
  <c r="F9" i="10"/>
  <c r="F8" i="10"/>
  <c r="F7" i="10"/>
  <c r="F6" i="10"/>
  <c r="F5" i="10"/>
  <c r="F4" i="10"/>
  <c r="C15" i="4" l="1"/>
  <c r="C14" i="4"/>
  <c r="B15" i="4"/>
  <c r="B14" i="4"/>
  <c r="C13" i="4"/>
  <c r="B13" i="4"/>
  <c r="D13" i="4" s="1"/>
  <c r="D56" i="4" l="1"/>
  <c r="J3" i="5" s="1"/>
  <c r="D58" i="4"/>
  <c r="E8" i="1" s="1"/>
  <c r="D57" i="4"/>
  <c r="J4" i="5" s="1"/>
  <c r="L4" i="5" s="1"/>
  <c r="D64" i="4"/>
  <c r="D15" i="4"/>
  <c r="D14" i="4"/>
  <c r="C19" i="7"/>
  <c r="B19" i="7"/>
  <c r="B9" i="7"/>
  <c r="B8" i="7"/>
  <c r="C4" i="7"/>
  <c r="B10" i="7" s="1"/>
  <c r="B4" i="7"/>
  <c r="J5" i="5" l="1"/>
  <c r="L5" i="5" s="1"/>
  <c r="E2" i="1" s="1"/>
  <c r="L3" i="5"/>
  <c r="D59" i="4"/>
  <c r="E26" i="6"/>
  <c r="D26" i="6"/>
  <c r="C26" i="6"/>
  <c r="B27" i="6"/>
  <c r="E19" i="6"/>
  <c r="D12" i="6"/>
  <c r="B9" i="6"/>
  <c r="E4" i="6"/>
  <c r="B92" i="4"/>
  <c r="D92" i="4" s="1"/>
  <c r="B68" i="4"/>
  <c r="C68" i="4"/>
  <c r="B67" i="4"/>
  <c r="B84" i="4" s="1"/>
  <c r="C67" i="4"/>
  <c r="C84" i="4" s="1"/>
  <c r="B59" i="4"/>
  <c r="B76" i="4" s="1"/>
  <c r="D76" i="4" s="1"/>
  <c r="C59" i="4"/>
  <c r="C76" i="4" s="1"/>
  <c r="B42" i="4"/>
  <c r="B91" i="4" s="1"/>
  <c r="C42" i="4"/>
  <c r="P19" i="6" l="1"/>
  <c r="B20" i="6"/>
  <c r="K19" i="6" s="1"/>
  <c r="M19" i="6"/>
  <c r="Q19" i="6"/>
  <c r="N19" i="6"/>
  <c r="O19" i="6"/>
  <c r="B11" i="6"/>
  <c r="B12" i="6"/>
  <c r="B6" i="6"/>
  <c r="K4" i="6" s="1"/>
  <c r="Q4" i="6"/>
  <c r="P4" i="6"/>
  <c r="O4" i="6"/>
  <c r="M4" i="6"/>
  <c r="N4" i="6"/>
  <c r="B28" i="6"/>
  <c r="B69" i="4"/>
  <c r="B86" i="4" s="1"/>
  <c r="B85" i="4"/>
  <c r="D85" i="4" s="1"/>
  <c r="D84" i="4"/>
  <c r="C69" i="4"/>
  <c r="C86" i="4" s="1"/>
  <c r="C85" i="4"/>
  <c r="B51" i="4"/>
  <c r="C48" i="4"/>
  <c r="C90" i="4"/>
  <c r="C91" i="4"/>
  <c r="D91" i="4" s="1"/>
  <c r="B49" i="4"/>
  <c r="C50" i="4"/>
  <c r="B48" i="4"/>
  <c r="C51" i="4"/>
  <c r="B46" i="4"/>
  <c r="C47" i="4"/>
  <c r="B52" i="4"/>
  <c r="B47" i="4"/>
  <c r="C46" i="4"/>
  <c r="C49" i="4"/>
  <c r="B90" i="4"/>
  <c r="B50" i="4"/>
  <c r="C52" i="4"/>
  <c r="B24" i="4"/>
  <c r="C24" i="4"/>
  <c r="B9" i="4"/>
  <c r="D9" i="4" s="1"/>
  <c r="B6" i="4"/>
  <c r="C6" i="4"/>
  <c r="C16" i="4" s="1"/>
  <c r="D7" i="3"/>
  <c r="D3" i="3"/>
  <c r="D4" i="3"/>
  <c r="D5" i="3"/>
  <c r="D6" i="3"/>
  <c r="D2" i="3"/>
  <c r="C7" i="3"/>
  <c r="B7" i="3"/>
  <c r="G19" i="6" l="1"/>
  <c r="F24" i="6" s="1"/>
  <c r="I19" i="6"/>
  <c r="H25" i="6" s="1"/>
  <c r="H19" i="6"/>
  <c r="G25" i="6" s="1"/>
  <c r="J19" i="6"/>
  <c r="I25" i="6" s="1"/>
  <c r="I4" i="6"/>
  <c r="G10" i="6" s="1"/>
  <c r="H4" i="6"/>
  <c r="J4" i="6"/>
  <c r="G4" i="6"/>
  <c r="E9" i="6" s="1"/>
  <c r="D50" i="4"/>
  <c r="D47" i="4"/>
  <c r="D52" i="4"/>
  <c r="D48" i="4"/>
  <c r="D86" i="4"/>
  <c r="C30" i="4"/>
  <c r="C28" i="4"/>
  <c r="B31" i="4"/>
  <c r="D90" i="4"/>
  <c r="B62" i="4"/>
  <c r="B79" i="4" s="1"/>
  <c r="B16" i="4"/>
  <c r="D16" i="4" s="1"/>
  <c r="B30" i="4"/>
  <c r="D46" i="4"/>
  <c r="D49" i="4"/>
  <c r="D51" i="4"/>
  <c r="C29" i="4"/>
  <c r="B29" i="4"/>
  <c r="C7" i="4"/>
  <c r="C8" i="4" s="1"/>
  <c r="C62" i="4"/>
  <c r="C79" i="4" s="1"/>
  <c r="C31" i="4"/>
  <c r="B28" i="4"/>
  <c r="D28" i="4" s="1"/>
  <c r="D21" i="4" s="1"/>
  <c r="B7" i="4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2" i="1"/>
  <c r="O23" i="1"/>
  <c r="O24" i="1"/>
  <c r="O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J16" i="1"/>
  <c r="J17" i="1"/>
  <c r="J18" i="1"/>
  <c r="J19" i="1"/>
  <c r="J20" i="1"/>
  <c r="J6" i="1"/>
  <c r="J7" i="1"/>
  <c r="J8" i="1"/>
  <c r="J9" i="1"/>
  <c r="J10" i="1"/>
  <c r="J11" i="1"/>
  <c r="J12" i="1"/>
  <c r="J13" i="1"/>
  <c r="J14" i="1"/>
  <c r="J15" i="1"/>
  <c r="J3" i="1"/>
  <c r="J4" i="1"/>
  <c r="J5" i="1"/>
  <c r="J2" i="1"/>
  <c r="F27" i="6" l="1"/>
  <c r="G11" i="6"/>
  <c r="B13" i="6" s="1"/>
  <c r="D79" i="4"/>
  <c r="D31" i="4"/>
  <c r="D24" i="4" s="1"/>
  <c r="D29" i="4"/>
  <c r="D22" i="4" s="1"/>
  <c r="B8" i="4"/>
  <c r="D8" i="4" s="1"/>
  <c r="B17" i="4"/>
  <c r="D30" i="4"/>
  <c r="D23" i="4" s="1"/>
  <c r="C60" i="4"/>
  <c r="C17" i="4"/>
  <c r="D17" i="4" s="1"/>
  <c r="C61" i="4" l="1"/>
  <c r="C77" i="4"/>
  <c r="D7" i="4"/>
  <c r="D4" i="4" s="1"/>
  <c r="D37" i="4" s="1"/>
  <c r="D60" i="4"/>
  <c r="D61" i="4" s="1"/>
  <c r="B60" i="4"/>
  <c r="D35" i="4" l="1"/>
  <c r="D5" i="4"/>
  <c r="D6" i="4" s="1"/>
  <c r="D62" i="4" s="1"/>
  <c r="D63" i="4"/>
  <c r="D65" i="4" s="1"/>
  <c r="D67" i="4" s="1"/>
  <c r="E3" i="1" s="1"/>
  <c r="E4" i="1" s="1"/>
  <c r="E11" i="1" s="1"/>
  <c r="D40" i="4"/>
  <c r="D38" i="4"/>
  <c r="B61" i="4"/>
  <c r="B77" i="4"/>
  <c r="D77" i="4" s="1"/>
  <c r="D39" i="4"/>
  <c r="D36" i="4"/>
  <c r="D41" i="4"/>
  <c r="C78" i="4"/>
  <c r="C63" i="4"/>
  <c r="C80" i="4" s="1"/>
  <c r="D42" i="4" l="1"/>
  <c r="B63" i="4"/>
  <c r="B80" i="4" s="1"/>
  <c r="D80" i="4" s="1"/>
  <c r="B78" i="4"/>
  <c r="D78" i="4" s="1"/>
</calcChain>
</file>

<file path=xl/comments1.xml><?xml version="1.0" encoding="utf-8"?>
<comments xmlns="http://schemas.openxmlformats.org/spreadsheetml/2006/main">
  <authors>
    <author>Author</author>
  </authors>
  <commentList>
    <comment ref="D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6 میلیارد تراز ارزی مثبت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6 میلیارد تراز ارزی مثبت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هزینه اکچوئری هم اینجا میاد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هزینه اکچوئری هم اینجا میاد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وثایق تملیکی  اقلام در راه و امثالهم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سپرده های جاری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سپرده های بلند مدت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3" authorId="0" shapeId="0">
      <text>
        <r>
          <rPr>
            <b/>
            <sz val="9"/>
            <color indexed="81"/>
            <rFont val="Tahoma"/>
            <family val="2"/>
          </rPr>
          <t>VAHID: بیشترش ارزیه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VAHID: بیشترش ارزیه</t>
        </r>
      </text>
    </comment>
  </commentList>
</comments>
</file>

<file path=xl/sharedStrings.xml><?xml version="1.0" encoding="utf-8"?>
<sst xmlns="http://schemas.openxmlformats.org/spreadsheetml/2006/main" count="397" uniqueCount="156">
  <si>
    <t>شرح</t>
  </si>
  <si>
    <t>دوره منتهي به ۱۴۰۰/۱۲/۲۹</t>
  </si>
  <si>
    <t xml:space="preserve">درآمد تسهيلات اعطايي و سپرده گذاری و اوراق بدهی </t>
  </si>
  <si>
    <t xml:space="preserve">هزينه سود سپرده‌ها </t>
  </si>
  <si>
    <t xml:space="preserve">خالص درآمد تسهیلات و سپرده گذاری </t>
  </si>
  <si>
    <t xml:space="preserve">درآمد کارمزد </t>
  </si>
  <si>
    <t xml:space="preserve">هزينه کارمزد </t>
  </si>
  <si>
    <t xml:space="preserve">خالص درآمد کارمزد </t>
  </si>
  <si>
    <t xml:space="preserve">خالص سود (زیان) سرمایه گذاری‌ها </t>
  </si>
  <si>
    <t xml:space="preserve">خالص سود (زيان) مبادلات و معاملات ارزي </t>
  </si>
  <si>
    <t xml:space="preserve">ساير درآمدها و هزینه های عملياتي </t>
  </si>
  <si>
    <t xml:space="preserve">جمع درآمدهاي عملياتي </t>
  </si>
  <si>
    <t xml:space="preserve">خالص ساير درآمدها و هزینه‌ها </t>
  </si>
  <si>
    <t xml:space="preserve">هزينه‌هاي اداري و عمومي </t>
  </si>
  <si>
    <t xml:space="preserve">هزينه مطالبات مشکوک الوصول </t>
  </si>
  <si>
    <t xml:space="preserve">هزينه‌هاي مالي </t>
  </si>
  <si>
    <t xml:space="preserve">هزينه استهلاک </t>
  </si>
  <si>
    <t xml:space="preserve">سود(زیان) عملیات در حال تداوم قبل از مالیات </t>
  </si>
  <si>
    <t xml:space="preserve">ماليات بر درآمد سال جاری </t>
  </si>
  <si>
    <t xml:space="preserve">ماليات بر درآمد سال های قبل </t>
  </si>
  <si>
    <t xml:space="preserve">سود (زيان) خالص عملیات در حال تداوم </t>
  </si>
  <si>
    <t xml:space="preserve">عملیات متوقف شده: </t>
  </si>
  <si>
    <t xml:space="preserve">سود(زیان) خالص </t>
  </si>
  <si>
    <t xml:space="preserve">سود (زیان) خالص هر سهم– ریال </t>
  </si>
  <si>
    <t xml:space="preserve">سرمایه </t>
  </si>
  <si>
    <t>واحد</t>
  </si>
  <si>
    <t>م.ر</t>
  </si>
  <si>
    <t>1399/12</t>
  </si>
  <si>
    <t>تجدید ارائه شده ۱۳۹۹/۱۲/۳۰</t>
  </si>
  <si>
    <t xml:space="preserve">دارایی های ثابت مشهود </t>
  </si>
  <si>
    <t xml:space="preserve">دارایی ها نامشهود </t>
  </si>
  <si>
    <t xml:space="preserve">مطالبات از شرکت های فرعی و وابسته </t>
  </si>
  <si>
    <t xml:space="preserve">سرمایه گذاری در سهام و سایر اوراق بهادار </t>
  </si>
  <si>
    <t xml:space="preserve">سایر حساب های دریافتنی </t>
  </si>
  <si>
    <t xml:space="preserve">سایر دارایی ها </t>
  </si>
  <si>
    <t xml:space="preserve">تسهیلات اعطایی و مطالبات از اشخاص غیر دولتی </t>
  </si>
  <si>
    <t xml:space="preserve">تسهیلات اعطایی و مطالبات از اشخاص دولتی </t>
  </si>
  <si>
    <t xml:space="preserve">مطالبات از بانک ها و سایر موسسات اعتباری </t>
  </si>
  <si>
    <t xml:space="preserve">سپرده قانونی </t>
  </si>
  <si>
    <t xml:space="preserve">موجودی نقد </t>
  </si>
  <si>
    <t xml:space="preserve">جمع دارایی‌ها </t>
  </si>
  <si>
    <t xml:space="preserve">سرمايه </t>
  </si>
  <si>
    <t xml:space="preserve">اندوخته قانوني </t>
  </si>
  <si>
    <t xml:space="preserve">ساير اندوخته‌ها </t>
  </si>
  <si>
    <t xml:space="preserve">تفاوت تسعیر ارز عملیات خارجی </t>
  </si>
  <si>
    <t xml:space="preserve">سود (زيان) انباشته </t>
  </si>
  <si>
    <t xml:space="preserve">سهام خزانه </t>
  </si>
  <si>
    <t xml:space="preserve">جمع حقوق مالکانه </t>
  </si>
  <si>
    <t xml:space="preserve">بدهی‌ها </t>
  </si>
  <si>
    <t xml:space="preserve">ذخيره مزاياي پايان خدمت و تعهدات بازنشستگی کارکنان </t>
  </si>
  <si>
    <t xml:space="preserve">ذخایر و سایر بدهی ها </t>
  </si>
  <si>
    <t xml:space="preserve">ذخیره مالیات عملکرد </t>
  </si>
  <si>
    <t xml:space="preserve">سود سهام پرداختنی </t>
  </si>
  <si>
    <t xml:space="preserve">اوراق بدهی </t>
  </si>
  <si>
    <t xml:space="preserve">سپرده های مشتریان </t>
  </si>
  <si>
    <t xml:space="preserve">بدهی به بانک ها و سایر موسسات اعتباری </t>
  </si>
  <si>
    <t xml:space="preserve">جمع بدهی های قبل از حقوق صاحبان سپرده های سرمایه گذاری </t>
  </si>
  <si>
    <t xml:space="preserve">حقوق صاحبان سپرده‌های سرمایه‌گذاری </t>
  </si>
  <si>
    <t xml:space="preserve">جمع بدهی‌ها </t>
  </si>
  <si>
    <t xml:space="preserve">جمع بدهی‌ها و حقوق مالکانه </t>
  </si>
  <si>
    <t>دارایی ها</t>
  </si>
  <si>
    <t>تهران</t>
  </si>
  <si>
    <t>سایر استان</t>
  </si>
  <si>
    <t>مناطق آزاد</t>
  </si>
  <si>
    <t>خارج کشور</t>
  </si>
  <si>
    <t>جمع</t>
  </si>
  <si>
    <t>تعداد</t>
  </si>
  <si>
    <t>اشتغال</t>
  </si>
  <si>
    <t>دفتر مرکزی</t>
  </si>
  <si>
    <t>میانگین</t>
  </si>
  <si>
    <t>میانگین مصارف مشاع</t>
  </si>
  <si>
    <t>میانگین مانده سپرده های سرمایه گزاری</t>
  </si>
  <si>
    <t>میانگین سپرده های قانونی سرمایه گزارن</t>
  </si>
  <si>
    <t>درصد  سپرده قانونی</t>
  </si>
  <si>
    <t>منابع آزادسپرده های سرمایه گزاری</t>
  </si>
  <si>
    <t>سهم بانک از مصرف مشاع</t>
  </si>
  <si>
    <t>درصد بانک از کل مشاع</t>
  </si>
  <si>
    <t>توزیع منابع و مصارف مشاع</t>
  </si>
  <si>
    <t>خالص مصارف مربوط به سپرده گزاری نزد بانکها</t>
  </si>
  <si>
    <t>خالص مصارف مربوط به سرمایه گزاری در سهام و سایر اوراق بهادار</t>
  </si>
  <si>
    <t>جمع مصارف مربوط به عملیات مشاع</t>
  </si>
  <si>
    <t>درصد مصارف</t>
  </si>
  <si>
    <t>خالص مصارف مربوط به تسهیلات و مطالبات</t>
  </si>
  <si>
    <t>سپرده های کوتاه مدت عادی</t>
  </si>
  <si>
    <t>سپرده های کوتاه مدت ویژه</t>
  </si>
  <si>
    <t>گواهی سپرده</t>
  </si>
  <si>
    <t>یکساله</t>
  </si>
  <si>
    <t>دوساله</t>
  </si>
  <si>
    <t>پنج ساله</t>
  </si>
  <si>
    <t>سپرده سرمایه گزاری دریافتی از بانک ها و سایر موسسات</t>
  </si>
  <si>
    <t>توزیع مانده سپرده های سرمایه گزاری</t>
  </si>
  <si>
    <t>توزیع درآمدهای مشاع</t>
  </si>
  <si>
    <t>درآمد تسهیلات اعطایی</t>
  </si>
  <si>
    <t>درآمد سپرده گزاری و اوراق بدهی</t>
  </si>
  <si>
    <t>خالص سود سرمایه گزاری ها</t>
  </si>
  <si>
    <t>جمع درآمدهای مشاع</t>
  </si>
  <si>
    <t>سهم بانک از درآمد مشاع</t>
  </si>
  <si>
    <t>حق الوکاله</t>
  </si>
  <si>
    <t>سهم سپرده گزاران از درآمدهای مشاع قبل از کسر حق الوکاله</t>
  </si>
  <si>
    <t xml:space="preserve">سهم سپرده گزاران از درآمدهای مشاع </t>
  </si>
  <si>
    <t>جایزه سپرده های قانونی</t>
  </si>
  <si>
    <t>سود قطعی</t>
  </si>
  <si>
    <t>سود سپرده های ارزی</t>
  </si>
  <si>
    <t>جمع عزینه سود سپرده ها</t>
  </si>
  <si>
    <t>سود علی الحساب</t>
  </si>
  <si>
    <t>مابه التفاوت سود علی الحساب و قطعی</t>
  </si>
  <si>
    <t>درصد سود و تسهیلات</t>
  </si>
  <si>
    <t>درصد سود علی الحساب به سپرده های نزد بانک</t>
  </si>
  <si>
    <t>درصد سود قطعی به سپرده های نزد بانک</t>
  </si>
  <si>
    <t xml:space="preserve">درصد سود تسهیلات </t>
  </si>
  <si>
    <t>مشاع</t>
  </si>
  <si>
    <t>غیر مشاع</t>
  </si>
  <si>
    <t xml:space="preserve"> </t>
  </si>
  <si>
    <t>مطالبات از دولت</t>
  </si>
  <si>
    <t>تسهیلات دولتی</t>
  </si>
  <si>
    <t>جاری</t>
  </si>
  <si>
    <t>سررسید گذشته</t>
  </si>
  <si>
    <t>معوق</t>
  </si>
  <si>
    <t>مشکوک الوصول</t>
  </si>
  <si>
    <t>ذخایر</t>
  </si>
  <si>
    <t>ذخیره عمومی</t>
  </si>
  <si>
    <t>ذخیره اختصاصی</t>
  </si>
  <si>
    <t>درصد ذخیره گیری</t>
  </si>
  <si>
    <t>جمع ذخایر</t>
  </si>
  <si>
    <t>تسهیلات به اشخاص غیر دولتی</t>
  </si>
  <si>
    <t>تسهیلات به اشخاص غیر دولتی با کسر ذخیره</t>
  </si>
  <si>
    <t>هزینه کارکنان</t>
  </si>
  <si>
    <t>هزیه اداری</t>
  </si>
  <si>
    <t>رشد هزینه ها</t>
  </si>
  <si>
    <t>حقوق و دستمزد</t>
  </si>
  <si>
    <t>بیمه کارفرما</t>
  </si>
  <si>
    <t>مزایای پایان خدمت و بازنشستگی</t>
  </si>
  <si>
    <t>سفر و ماموریت</t>
  </si>
  <si>
    <t>جمع هزینه های کارکنان</t>
  </si>
  <si>
    <t>سایر</t>
  </si>
  <si>
    <t>سال</t>
  </si>
  <si>
    <t>نرخ ارز (ریال)</t>
  </si>
  <si>
    <t>پایه پولی (هزار میلیارد ریال)</t>
  </si>
  <si>
    <t>اسکناس</t>
  </si>
  <si>
    <t>سپرده های دیداری (هزار میلیارد ریال)</t>
  </si>
  <si>
    <t>سپرده های غیر دیداری (هزار میلیارد ریال)</t>
  </si>
  <si>
    <t>نقدینگی (هزار میلیارد ریال)</t>
  </si>
  <si>
    <t>نسبت مصارف مشاع به نقدینگی</t>
  </si>
  <si>
    <t>ماه</t>
  </si>
  <si>
    <t>نسبت درآمدهای مشاع به مصارف مشاع</t>
  </si>
  <si>
    <t>1401/12/29</t>
  </si>
  <si>
    <t>در آمد تسهیلات اعطایی</t>
  </si>
  <si>
    <t>درآمد کارمزد به نقدینگی</t>
  </si>
  <si>
    <t>هزینه کارمزد به درآمد کارمزد</t>
  </si>
  <si>
    <t>نرخ دلار</t>
  </si>
  <si>
    <t>تورم</t>
  </si>
  <si>
    <t>نقدینگی</t>
  </si>
  <si>
    <t>افزایش حقوق</t>
  </si>
  <si>
    <t>نسبت تسهیلات دولتی به نقدینگی</t>
  </si>
  <si>
    <t>افزایش ذخایر</t>
  </si>
  <si>
    <t>نسبت تسهیلات غیر دولتی به نقدینگی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</si>
</sst>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[$-3000401]#,##0"/>
    <numFmt numFmtId="167" formatCode="[$-3000401]0"/>
    <numFmt numFmtId="168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0"/>
      <name val="B Nazanin"/>
      <charset val="17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B Nazanin"/>
      <charset val="178"/>
    </font>
    <font>
      <b/>
      <sz val="14"/>
      <color theme="1"/>
      <name val="B Nazanin"/>
      <charset val="178"/>
    </font>
    <font>
      <sz val="11"/>
      <color theme="0"/>
      <name val="B Nazanin"/>
      <charset val="178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3" fillId="2" borderId="1" xfId="0" applyFont="1" applyFill="1" applyBorder="1"/>
    <xf numFmtId="164" fontId="3" fillId="2" borderId="1" xfId="1" applyNumberFormat="1" applyFont="1" applyFill="1" applyBorder="1"/>
    <xf numFmtId="0" fontId="2" fillId="0" borderId="1" xfId="0" applyFont="1" applyBorder="1"/>
    <xf numFmtId="164" fontId="2" fillId="0" borderId="1" xfId="1" applyNumberFormat="1" applyFont="1" applyBorder="1"/>
    <xf numFmtId="165" fontId="2" fillId="0" borderId="1" xfId="2" applyNumberFormat="1" applyFont="1" applyBorder="1"/>
    <xf numFmtId="0" fontId="2" fillId="0" borderId="0" xfId="0" applyFont="1"/>
    <xf numFmtId="166" fontId="2" fillId="0" borderId="0" xfId="0" applyNumberFormat="1" applyFont="1"/>
    <xf numFmtId="166" fontId="2" fillId="0" borderId="1" xfId="0" applyNumberFormat="1" applyFont="1" applyBorder="1"/>
    <xf numFmtId="167" fontId="2" fillId="0" borderId="1" xfId="0" applyNumberFormat="1" applyFont="1" applyBorder="1"/>
    <xf numFmtId="0" fontId="2" fillId="5" borderId="1" xfId="0" applyFont="1" applyFill="1" applyBorder="1"/>
    <xf numFmtId="166" fontId="2" fillId="5" borderId="1" xfId="0" applyNumberFormat="1" applyFont="1" applyFill="1" applyBorder="1"/>
    <xf numFmtId="0" fontId="6" fillId="3" borderId="1" xfId="0" applyFont="1" applyFill="1" applyBorder="1"/>
    <xf numFmtId="0" fontId="7" fillId="3" borderId="1" xfId="0" applyFont="1" applyFill="1" applyBorder="1"/>
    <xf numFmtId="0" fontId="6" fillId="4" borderId="1" xfId="0" applyFont="1" applyFill="1" applyBorder="1"/>
    <xf numFmtId="166" fontId="6" fillId="4" borderId="1" xfId="0" applyNumberFormat="1" applyFont="1" applyFill="1" applyBorder="1"/>
    <xf numFmtId="164" fontId="2" fillId="5" borderId="1" xfId="1" applyNumberFormat="1" applyFont="1" applyFill="1" applyBorder="1"/>
    <xf numFmtId="164" fontId="2" fillId="0" borderId="0" xfId="1" applyNumberFormat="1" applyFont="1"/>
    <xf numFmtId="2" fontId="2" fillId="0" borderId="1" xfId="0" applyNumberFormat="1" applyFont="1" applyBorder="1"/>
    <xf numFmtId="43" fontId="2" fillId="0" borderId="1" xfId="0" applyNumberFormat="1" applyFont="1" applyBorder="1"/>
    <xf numFmtId="0" fontId="6" fillId="0" borderId="0" xfId="0" applyFont="1"/>
    <xf numFmtId="10" fontId="2" fillId="0" borderId="1" xfId="2" applyNumberFormat="1" applyFont="1" applyBorder="1"/>
    <xf numFmtId="164" fontId="2" fillId="0" borderId="0" xfId="0" applyNumberFormat="1" applyFont="1"/>
    <xf numFmtId="165" fontId="2" fillId="0" borderId="0" xfId="2" applyNumberFormat="1" applyFont="1"/>
    <xf numFmtId="164" fontId="2" fillId="0" borderId="1" xfId="0" applyNumberFormat="1" applyFont="1" applyBorder="1"/>
    <xf numFmtId="164" fontId="6" fillId="0" borderId="0" xfId="1" applyNumberFormat="1" applyFont="1"/>
    <xf numFmtId="1" fontId="3" fillId="2" borderId="1" xfId="1" applyNumberFormat="1" applyFont="1" applyFill="1" applyBorder="1"/>
    <xf numFmtId="1" fontId="3" fillId="2" borderId="2" xfId="1" applyNumberFormat="1" applyFont="1" applyFill="1" applyBorder="1"/>
    <xf numFmtId="1" fontId="3" fillId="2" borderId="4" xfId="1" applyNumberFormat="1" applyFont="1" applyFill="1" applyBorder="1"/>
    <xf numFmtId="0" fontId="2" fillId="0" borderId="0" xfId="0" applyFont="1" applyBorder="1"/>
    <xf numFmtId="165" fontId="2" fillId="0" borderId="0" xfId="2" applyNumberFormat="1" applyFont="1" applyBorder="1"/>
    <xf numFmtId="0" fontId="6" fillId="0" borderId="0" xfId="0" applyFont="1" applyBorder="1"/>
    <xf numFmtId="0" fontId="3" fillId="6" borderId="1" xfId="0" applyFont="1" applyFill="1" applyBorder="1"/>
    <xf numFmtId="168" fontId="3" fillId="6" borderId="1" xfId="1" applyNumberFormat="1" applyFont="1" applyFill="1" applyBorder="1"/>
    <xf numFmtId="164" fontId="3" fillId="6" borderId="1" xfId="1" applyNumberFormat="1" applyFont="1" applyFill="1" applyBorder="1"/>
    <xf numFmtId="164" fontId="2" fillId="0" borderId="0" xfId="0" applyNumberFormat="1" applyFont="1" applyBorder="1"/>
    <xf numFmtId="164" fontId="2" fillId="0" borderId="0" xfId="1" applyNumberFormat="1" applyFont="1" applyBorder="1"/>
    <xf numFmtId="0" fontId="3" fillId="2" borderId="3" xfId="0" applyFont="1" applyFill="1" applyBorder="1"/>
    <xf numFmtId="0" fontId="3" fillId="2" borderId="2" xfId="0" applyFont="1" applyFill="1" applyBorder="1"/>
    <xf numFmtId="0" fontId="3" fillId="2" borderId="4" xfId="0" applyFont="1" applyFill="1" applyBorder="1"/>
    <xf numFmtId="0" fontId="3" fillId="3" borderId="5" xfId="0" applyFont="1" applyFill="1" applyBorder="1"/>
    <xf numFmtId="164" fontId="2" fillId="3" borderId="6" xfId="1" applyNumberFormat="1" applyFont="1" applyFill="1" applyBorder="1"/>
    <xf numFmtId="0" fontId="2" fillId="3" borderId="7" xfId="0" applyFont="1" applyFill="1" applyBorder="1"/>
    <xf numFmtId="164" fontId="2" fillId="3" borderId="7" xfId="1" applyNumberFormat="1" applyFont="1" applyFill="1" applyBorder="1"/>
    <xf numFmtId="0" fontId="2" fillId="3" borderId="0" xfId="0" applyFont="1" applyFill="1"/>
    <xf numFmtId="0" fontId="3" fillId="6" borderId="4" xfId="0" applyFont="1" applyFill="1" applyBorder="1"/>
    <xf numFmtId="1" fontId="3" fillId="6" borderId="1" xfId="1" applyNumberFormat="1" applyFont="1" applyFill="1" applyBorder="1"/>
    <xf numFmtId="0" fontId="2" fillId="0" borderId="1" xfId="0" applyFont="1" applyFill="1" applyBorder="1"/>
    <xf numFmtId="43" fontId="2" fillId="0" borderId="1" xfId="1" applyNumberFormat="1" applyFont="1" applyBorder="1"/>
    <xf numFmtId="9" fontId="2" fillId="0" borderId="1" xfId="2" applyFont="1" applyBorder="1"/>
    <xf numFmtId="164" fontId="6" fillId="0" borderId="0" xfId="1" applyNumberFormat="1" applyFont="1" applyBorder="1"/>
    <xf numFmtId="1" fontId="3" fillId="3" borderId="8" xfId="1" applyNumberFormat="1" applyFont="1" applyFill="1" applyBorder="1"/>
    <xf numFmtId="1" fontId="3" fillId="3" borderId="7" xfId="1" applyNumberFormat="1" applyFont="1" applyFill="1" applyBorder="1"/>
    <xf numFmtId="1" fontId="3" fillId="6" borderId="2" xfId="1" applyNumberFormat="1" applyFont="1" applyFill="1" applyBorder="1"/>
    <xf numFmtId="1" fontId="3" fillId="6" borderId="4" xfId="1" applyNumberFormat="1" applyFont="1" applyFill="1" applyBorder="1"/>
    <xf numFmtId="164" fontId="8" fillId="2" borderId="0" xfId="1" applyNumberFormat="1" applyFont="1" applyFill="1"/>
    <xf numFmtId="1" fontId="3" fillId="2" borderId="0" xfId="1" applyNumberFormat="1" applyFont="1" applyFill="1"/>
    <xf numFmtId="164" fontId="8" fillId="6" borderId="0" xfId="1" applyNumberFormat="1" applyFont="1" applyFill="1"/>
    <xf numFmtId="1" fontId="3" fillId="6" borderId="0" xfId="1" applyNumberFormat="1" applyFont="1" applyFill="1"/>
    <xf numFmtId="164" fontId="2" fillId="7" borderId="1" xfId="1" applyNumberFormat="1" applyFont="1" applyFill="1" applyBorder="1"/>
    <xf numFmtId="1" fontId="3" fillId="2" borderId="3" xfId="1" applyNumberFormat="1" applyFont="1" applyFill="1" applyBorder="1"/>
    <xf numFmtId="1" fontId="3" fillId="6" borderId="3" xfId="1" applyNumberFormat="1" applyFont="1" applyFill="1" applyBorder="1"/>
    <xf numFmtId="0" fontId="2" fillId="7" borderId="1" xfId="0" applyFont="1" applyFill="1" applyBorder="1"/>
    <xf numFmtId="164" fontId="2" fillId="7" borderId="1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rightToLeft="1" workbookViewId="0">
      <selection activeCell="E5" sqref="E5"/>
    </sheetView>
  </sheetViews>
  <sheetFormatPr defaultRowHeight="18" x14ac:dyDescent="0.45"/>
  <cols>
    <col min="1" max="1" width="9.85546875" style="6" bestFit="1" customWidth="1"/>
    <col min="2" max="2" width="4.7109375" style="6" bestFit="1" customWidth="1"/>
    <col min="3" max="3" width="9.85546875" style="6" bestFit="1" customWidth="1"/>
    <col min="4" max="4" width="25.28515625" style="6" bestFit="1" customWidth="1"/>
    <col min="5" max="5" width="12.7109375" style="6" bestFit="1" customWidth="1"/>
    <col min="6" max="16384" width="9.140625" style="6"/>
  </cols>
  <sheetData>
    <row r="1" spans="1:5" x14ac:dyDescent="0.45">
      <c r="A1" s="1" t="s">
        <v>0</v>
      </c>
      <c r="B1" s="1" t="s">
        <v>25</v>
      </c>
      <c r="C1" s="2" t="s">
        <v>27</v>
      </c>
      <c r="D1" s="2" t="s">
        <v>1</v>
      </c>
      <c r="E1" s="34" t="s">
        <v>145</v>
      </c>
    </row>
    <row r="2" spans="1:5" x14ac:dyDescent="0.45">
      <c r="A2" s="3" t="s">
        <v>149</v>
      </c>
      <c r="B2" s="3"/>
      <c r="C2" s="4"/>
      <c r="D2" s="4">
        <v>250000</v>
      </c>
      <c r="E2" s="4">
        <v>280000</v>
      </c>
    </row>
    <row r="3" spans="1:5" x14ac:dyDescent="0.45">
      <c r="A3" s="3" t="s">
        <v>150</v>
      </c>
      <c r="B3" s="3"/>
      <c r="C3" s="3"/>
      <c r="D3" s="3"/>
      <c r="E3" s="5">
        <v>0.4</v>
      </c>
    </row>
    <row r="4" spans="1:5" x14ac:dyDescent="0.45">
      <c r="A4" s="3" t="s">
        <v>151</v>
      </c>
      <c r="B4" s="3"/>
      <c r="C4" s="3"/>
      <c r="D4" s="3"/>
      <c r="E4" s="3">
        <f>'متغیرهای کلان تاریخی'!G22</f>
        <v>66416.542865669457</v>
      </c>
    </row>
    <row r="5" spans="1:5" x14ac:dyDescent="0.45">
      <c r="A5" s="3" t="s">
        <v>152</v>
      </c>
      <c r="B5" s="3"/>
      <c r="C5" s="3"/>
      <c r="D5" s="3"/>
      <c r="E5" s="49">
        <v>0.2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rightToLeft="1" workbookViewId="0">
      <selection activeCell="H5" sqref="H5"/>
    </sheetView>
  </sheetViews>
  <sheetFormatPr defaultRowHeight="18" x14ac:dyDescent="0.45"/>
  <cols>
    <col min="1" max="1" width="3.42578125" style="6" bestFit="1" customWidth="1"/>
    <col min="2" max="2" width="24.42578125" style="6" bestFit="1" customWidth="1"/>
    <col min="3" max="3" width="7.28515625" style="6" bestFit="1" customWidth="1"/>
    <col min="4" max="4" width="33" style="6" bestFit="1" customWidth="1"/>
    <col min="5" max="5" width="36.5703125" style="6" bestFit="1" customWidth="1"/>
    <col min="6" max="6" width="23.7109375" style="6" bestFit="1" customWidth="1"/>
    <col min="7" max="16384" width="9.140625" style="6"/>
  </cols>
  <sheetData>
    <row r="1" spans="1:6" x14ac:dyDescent="0.45">
      <c r="A1" s="1" t="s">
        <v>143</v>
      </c>
      <c r="B1" s="1" t="s">
        <v>137</v>
      </c>
      <c r="C1" s="1" t="s">
        <v>138</v>
      </c>
      <c r="D1" s="1" t="s">
        <v>139</v>
      </c>
      <c r="E1" s="1" t="s">
        <v>140</v>
      </c>
      <c r="F1" s="1" t="s">
        <v>141</v>
      </c>
    </row>
    <row r="2" spans="1:6" x14ac:dyDescent="0.45">
      <c r="A2" s="3">
        <v>1</v>
      </c>
      <c r="B2" s="4">
        <v>6117.8</v>
      </c>
      <c r="C2" s="4">
        <v>848.7</v>
      </c>
      <c r="D2" s="4">
        <v>8671.1</v>
      </c>
      <c r="E2" s="4">
        <v>38713.1</v>
      </c>
      <c r="F2" s="4">
        <v>48232.9</v>
      </c>
    </row>
    <row r="3" spans="1:6" x14ac:dyDescent="0.45">
      <c r="A3" s="3">
        <v>2</v>
      </c>
      <c r="B3" s="4">
        <v>6432.1</v>
      </c>
      <c r="C3" s="4">
        <v>855.1</v>
      </c>
      <c r="D3" s="4">
        <v>9239.6</v>
      </c>
      <c r="E3" s="4">
        <v>39340</v>
      </c>
      <c r="F3" s="4">
        <v>49434.7</v>
      </c>
    </row>
    <row r="4" spans="1:6" x14ac:dyDescent="0.45">
      <c r="A4" s="3">
        <v>3</v>
      </c>
      <c r="B4" s="4">
        <v>6403</v>
      </c>
      <c r="C4" s="4">
        <v>860.7</v>
      </c>
      <c r="D4" s="4">
        <v>10407.700000000001</v>
      </c>
      <c r="E4" s="4">
        <v>39781.199999999997</v>
      </c>
      <c r="F4" s="4">
        <v>51049.599999999999</v>
      </c>
    </row>
    <row r="5" spans="1:6" x14ac:dyDescent="0.45">
      <c r="A5" s="3">
        <v>4</v>
      </c>
      <c r="B5" s="4">
        <v>6530</v>
      </c>
      <c r="C5" s="4">
        <v>885</v>
      </c>
      <c r="D5" s="4">
        <v>10935</v>
      </c>
      <c r="E5" s="4">
        <v>40681.4</v>
      </c>
      <c r="F5" s="4">
        <v>52501.4</v>
      </c>
    </row>
    <row r="6" spans="1:6" x14ac:dyDescent="0.45">
      <c r="A6" s="3"/>
      <c r="B6" s="4"/>
      <c r="C6" s="4"/>
      <c r="D6" s="4"/>
      <c r="E6" s="4"/>
      <c r="F6" s="4"/>
    </row>
    <row r="7" spans="1:6" x14ac:dyDescent="0.45">
      <c r="A7" s="3"/>
      <c r="B7" s="4"/>
      <c r="C7" s="4"/>
      <c r="D7" s="4"/>
      <c r="E7" s="4"/>
      <c r="F7" s="4"/>
    </row>
    <row r="8" spans="1:6" x14ac:dyDescent="0.45">
      <c r="A8" s="3"/>
      <c r="B8" s="4"/>
      <c r="C8" s="4"/>
      <c r="D8" s="4"/>
      <c r="E8" s="4"/>
      <c r="F8" s="4"/>
    </row>
    <row r="9" spans="1:6" x14ac:dyDescent="0.45">
      <c r="A9" s="3"/>
      <c r="B9" s="4"/>
      <c r="C9" s="4"/>
      <c r="D9" s="4"/>
      <c r="E9" s="4"/>
      <c r="F9" s="4"/>
    </row>
    <row r="10" spans="1:6" x14ac:dyDescent="0.45">
      <c r="A10" s="3"/>
      <c r="B10" s="4"/>
      <c r="C10" s="4"/>
      <c r="D10" s="4"/>
      <c r="E10" s="4"/>
      <c r="F10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rightToLeft="1" workbookViewId="0">
      <selection activeCell="B8" sqref="B8"/>
    </sheetView>
  </sheetViews>
  <sheetFormatPr defaultRowHeight="18" x14ac:dyDescent="0.45"/>
  <cols>
    <col min="1" max="2" width="9.140625" style="6"/>
    <col min="3" max="3" width="9.85546875" style="6" bestFit="1" customWidth="1"/>
    <col min="4" max="16384" width="9.140625" style="6"/>
  </cols>
  <sheetData>
    <row r="1" spans="1:4" x14ac:dyDescent="0.45">
      <c r="A1" s="1" t="s">
        <v>0</v>
      </c>
      <c r="B1" s="1" t="s">
        <v>66</v>
      </c>
      <c r="C1" s="1" t="s">
        <v>67</v>
      </c>
      <c r="D1" s="1" t="s">
        <v>69</v>
      </c>
    </row>
    <row r="2" spans="1:4" x14ac:dyDescent="0.45">
      <c r="A2" s="3" t="s">
        <v>61</v>
      </c>
      <c r="B2" s="4">
        <v>261</v>
      </c>
      <c r="C2" s="4">
        <v>3680</v>
      </c>
      <c r="D2" s="18">
        <f>C2/B2</f>
        <v>14.099616858237548</v>
      </c>
    </row>
    <row r="3" spans="1:4" x14ac:dyDescent="0.45">
      <c r="A3" s="3" t="s">
        <v>68</v>
      </c>
      <c r="B3" s="4">
        <v>1</v>
      </c>
      <c r="C3" s="4">
        <v>2438</v>
      </c>
      <c r="D3" s="18">
        <f t="shared" ref="D3:D6" si="0">C3/B3</f>
        <v>2438</v>
      </c>
    </row>
    <row r="4" spans="1:4" x14ac:dyDescent="0.45">
      <c r="A4" s="3" t="s">
        <v>62</v>
      </c>
      <c r="B4" s="4">
        <v>1119</v>
      </c>
      <c r="C4" s="4">
        <v>12625</v>
      </c>
      <c r="D4" s="18">
        <f t="shared" si="0"/>
        <v>11.282394995531725</v>
      </c>
    </row>
    <row r="5" spans="1:4" x14ac:dyDescent="0.45">
      <c r="A5" s="3" t="s">
        <v>63</v>
      </c>
      <c r="B5" s="4">
        <v>9</v>
      </c>
      <c r="C5" s="4">
        <v>85</v>
      </c>
      <c r="D5" s="18">
        <f t="shared" si="0"/>
        <v>9.4444444444444446</v>
      </c>
    </row>
    <row r="6" spans="1:4" x14ac:dyDescent="0.45">
      <c r="A6" s="3" t="s">
        <v>64</v>
      </c>
      <c r="B6" s="4">
        <v>4</v>
      </c>
      <c r="C6" s="4">
        <v>7</v>
      </c>
      <c r="D6" s="18">
        <f t="shared" si="0"/>
        <v>1.75</v>
      </c>
    </row>
    <row r="7" spans="1:4" x14ac:dyDescent="0.45">
      <c r="A7" s="3" t="s">
        <v>65</v>
      </c>
      <c r="B7" s="4">
        <f>SUM(B2:B6)</f>
        <v>1394</v>
      </c>
      <c r="C7" s="4">
        <f>SUM(C2:C6)</f>
        <v>18835</v>
      </c>
      <c r="D7" s="19">
        <f>(C2+C4+C5+C6)/(B2+B4+B5+B6)</f>
        <v>11.770997846374732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8"/>
  <sheetViews>
    <sheetView rightToLeft="1" tabSelected="1" zoomScale="115" zoomScaleNormal="115" workbookViewId="0">
      <selection activeCell="E18" sqref="E18"/>
    </sheetView>
  </sheetViews>
  <sheetFormatPr defaultRowHeight="18" x14ac:dyDescent="0.45"/>
  <cols>
    <col min="1" max="1" width="38" style="6" bestFit="1" customWidth="1"/>
    <col min="2" max="2" width="4.140625" style="6" bestFit="1" customWidth="1"/>
    <col min="3" max="3" width="15" style="17" bestFit="1" customWidth="1"/>
    <col min="4" max="5" width="25.28515625" style="17" bestFit="1" customWidth="1"/>
    <col min="6" max="6" width="12.28515625" style="6" bestFit="1" customWidth="1"/>
    <col min="7" max="7" width="9.140625" style="6"/>
    <col min="8" max="8" width="38" style="6" bestFit="1" customWidth="1"/>
    <col min="9" max="9" width="4.7109375" style="6" bestFit="1" customWidth="1"/>
    <col min="10" max="10" width="12.5703125" style="6" bestFit="1" customWidth="1"/>
    <col min="11" max="11" width="25.28515625" style="6" bestFit="1" customWidth="1"/>
    <col min="12" max="12" width="9.140625" style="6"/>
    <col min="13" max="13" width="38" style="6" bestFit="1" customWidth="1"/>
    <col min="14" max="14" width="4.7109375" style="6" bestFit="1" customWidth="1"/>
    <col min="15" max="15" width="25.28515625" style="6" bestFit="1" customWidth="1"/>
    <col min="16" max="16384" width="9.140625" style="6"/>
  </cols>
  <sheetData>
    <row r="1" spans="1:15" x14ac:dyDescent="0.45">
      <c r="A1" s="1" t="s">
        <v>0</v>
      </c>
      <c r="B1" s="1" t="s">
        <v>25</v>
      </c>
      <c r="C1" s="2" t="s">
        <v>27</v>
      </c>
      <c r="D1" s="2" t="s">
        <v>1</v>
      </c>
      <c r="E1" s="34" t="s">
        <v>145</v>
      </c>
      <c r="H1" s="1" t="s">
        <v>0</v>
      </c>
      <c r="I1" s="1" t="s">
        <v>25</v>
      </c>
      <c r="J1" s="2" t="s">
        <v>27</v>
      </c>
      <c r="K1" s="2" t="s">
        <v>1</v>
      </c>
      <c r="M1" s="1" t="s">
        <v>0</v>
      </c>
      <c r="N1" s="1" t="s">
        <v>25</v>
      </c>
      <c r="O1" s="2" t="s">
        <v>1</v>
      </c>
    </row>
    <row r="2" spans="1:15" x14ac:dyDescent="0.45">
      <c r="A2" s="3" t="s">
        <v>2</v>
      </c>
      <c r="B2" s="3" t="s">
        <v>26</v>
      </c>
      <c r="C2" s="4">
        <v>439628198</v>
      </c>
      <c r="D2" s="4">
        <v>660793373</v>
      </c>
      <c r="E2" s="4">
        <f>درآمد!L5</f>
        <v>791854136.45343709</v>
      </c>
      <c r="H2" s="3" t="s">
        <v>2</v>
      </c>
      <c r="I2" s="3" t="s">
        <v>26</v>
      </c>
      <c r="J2" s="5">
        <f>C2/C$2</f>
        <v>1</v>
      </c>
      <c r="K2" s="5">
        <f>D2/D$2</f>
        <v>1</v>
      </c>
      <c r="M2" s="3" t="s">
        <v>2</v>
      </c>
      <c r="N2" s="3" t="s">
        <v>26</v>
      </c>
      <c r="O2" s="5">
        <f>D2/C2-1</f>
        <v>0.50307322416111266</v>
      </c>
    </row>
    <row r="3" spans="1:15" x14ac:dyDescent="0.45">
      <c r="A3" s="3" t="s">
        <v>3</v>
      </c>
      <c r="B3" s="3" t="s">
        <v>26</v>
      </c>
      <c r="C3" s="4">
        <v>-216735346</v>
      </c>
      <c r="D3" s="4">
        <v>-363328277</v>
      </c>
      <c r="E3" s="4">
        <f>-'تفاوت سود قطعی و علی الخساب'!D67</f>
        <v>-466352945.15922415</v>
      </c>
      <c r="H3" s="3" t="s">
        <v>3</v>
      </c>
      <c r="I3" s="3" t="s">
        <v>26</v>
      </c>
      <c r="J3" s="5">
        <f t="shared" ref="J3:K20" si="0">C3/C$2</f>
        <v>-0.49299691645348009</v>
      </c>
      <c r="K3" s="5">
        <f t="shared" si="0"/>
        <v>-0.5498364418373185</v>
      </c>
      <c r="M3" s="3" t="s">
        <v>3</v>
      </c>
      <c r="N3" s="3" t="s">
        <v>26</v>
      </c>
      <c r="O3" s="5">
        <f t="shared" ref="O3:O24" si="1">D3/C3-1</f>
        <v>0.67636836217752871</v>
      </c>
    </row>
    <row r="4" spans="1:15" x14ac:dyDescent="0.45">
      <c r="A4" s="3" t="s">
        <v>4</v>
      </c>
      <c r="B4" s="3" t="s">
        <v>26</v>
      </c>
      <c r="C4" s="4">
        <v>222892852</v>
      </c>
      <c r="D4" s="4">
        <v>297465096</v>
      </c>
      <c r="E4" s="4">
        <f>E2+E3</f>
        <v>325501191.29421294</v>
      </c>
      <c r="H4" s="3" t="s">
        <v>4</v>
      </c>
      <c r="I4" s="3" t="s">
        <v>26</v>
      </c>
      <c r="J4" s="5">
        <f t="shared" si="0"/>
        <v>0.50700308354651991</v>
      </c>
      <c r="K4" s="5">
        <f t="shared" si="0"/>
        <v>0.4501635581626815</v>
      </c>
      <c r="M4" s="3" t="s">
        <v>4</v>
      </c>
      <c r="N4" s="3" t="s">
        <v>26</v>
      </c>
      <c r="O4" s="5">
        <f t="shared" si="1"/>
        <v>0.33456543505486658</v>
      </c>
    </row>
    <row r="5" spans="1:15" x14ac:dyDescent="0.45">
      <c r="A5" s="3" t="s">
        <v>5</v>
      </c>
      <c r="B5" s="3" t="s">
        <v>26</v>
      </c>
      <c r="C5" s="4">
        <v>29194491</v>
      </c>
      <c r="D5" s="4">
        <v>47646875</v>
      </c>
      <c r="E5" s="4">
        <f>D27*'متغیرهای کلان تاریخی'!G22*1000000</f>
        <v>65485359.691019341</v>
      </c>
      <c r="H5" s="3" t="s">
        <v>5</v>
      </c>
      <c r="I5" s="3" t="s">
        <v>26</v>
      </c>
      <c r="J5" s="5">
        <f t="shared" si="0"/>
        <v>6.6407230320562838E-2</v>
      </c>
      <c r="K5" s="5">
        <f t="shared" si="0"/>
        <v>7.2105558177260956E-2</v>
      </c>
      <c r="M5" s="3" t="s">
        <v>5</v>
      </c>
      <c r="N5" s="3" t="s">
        <v>26</v>
      </c>
      <c r="O5" s="5">
        <f t="shared" si="1"/>
        <v>0.63205020426627745</v>
      </c>
    </row>
    <row r="6" spans="1:15" x14ac:dyDescent="0.45">
      <c r="A6" s="3" t="s">
        <v>6</v>
      </c>
      <c r="B6" s="3" t="s">
        <v>26</v>
      </c>
      <c r="C6" s="4">
        <v>-16479242</v>
      </c>
      <c r="D6" s="4">
        <v>-20778896</v>
      </c>
      <c r="E6" s="4">
        <f>E5*E28</f>
        <v>-32761214.360783126</v>
      </c>
      <c r="H6" s="3" t="s">
        <v>6</v>
      </c>
      <c r="I6" s="3" t="s">
        <v>26</v>
      </c>
      <c r="J6" s="5">
        <f t="shared" si="0"/>
        <v>-3.7484497297873509E-2</v>
      </c>
      <c r="K6" s="5">
        <f t="shared" si="0"/>
        <v>-3.1445375890596289E-2</v>
      </c>
      <c r="M6" s="3" t="s">
        <v>6</v>
      </c>
      <c r="N6" s="3" t="s">
        <v>26</v>
      </c>
      <c r="O6" s="5">
        <f t="shared" si="1"/>
        <v>0.26091333569832886</v>
      </c>
    </row>
    <row r="7" spans="1:15" x14ac:dyDescent="0.45">
      <c r="A7" s="3" t="s">
        <v>7</v>
      </c>
      <c r="B7" s="3" t="s">
        <v>26</v>
      </c>
      <c r="C7" s="4">
        <v>12715249</v>
      </c>
      <c r="D7" s="4">
        <v>26867979</v>
      </c>
      <c r="E7" s="4">
        <f>E5+E6</f>
        <v>32724145.330236215</v>
      </c>
      <c r="H7" s="3" t="s">
        <v>7</v>
      </c>
      <c r="I7" s="3" t="s">
        <v>26</v>
      </c>
      <c r="J7" s="5">
        <f t="shared" si="0"/>
        <v>2.8922733022689322E-2</v>
      </c>
      <c r="K7" s="5">
        <f t="shared" si="0"/>
        <v>4.0660182286664667E-2</v>
      </c>
      <c r="M7" s="3" t="s">
        <v>7</v>
      </c>
      <c r="N7" s="3" t="s">
        <v>26</v>
      </c>
      <c r="O7" s="5">
        <f t="shared" si="1"/>
        <v>1.113051738113819</v>
      </c>
    </row>
    <row r="8" spans="1:15" x14ac:dyDescent="0.45">
      <c r="A8" s="3" t="s">
        <v>8</v>
      </c>
      <c r="B8" s="3" t="s">
        <v>26</v>
      </c>
      <c r="C8" s="4">
        <v>21645671</v>
      </c>
      <c r="D8" s="4">
        <v>17353179</v>
      </c>
      <c r="E8" s="4">
        <f>'تفاوت سود قطعی و علی الخساب'!D58</f>
        <v>32113462.666258223</v>
      </c>
      <c r="H8" s="3" t="s">
        <v>8</v>
      </c>
      <c r="I8" s="3" t="s">
        <v>26</v>
      </c>
      <c r="J8" s="5">
        <f t="shared" si="0"/>
        <v>4.9236311725391189E-2</v>
      </c>
      <c r="K8" s="5">
        <f t="shared" si="0"/>
        <v>2.6261127470477826E-2</v>
      </c>
      <c r="M8" s="3" t="s">
        <v>8</v>
      </c>
      <c r="N8" s="3" t="s">
        <v>26</v>
      </c>
      <c r="O8" s="5">
        <f t="shared" si="1"/>
        <v>-0.1983071811449042</v>
      </c>
    </row>
    <row r="9" spans="1:15" x14ac:dyDescent="0.45">
      <c r="A9" s="3" t="s">
        <v>9</v>
      </c>
      <c r="B9" s="3" t="s">
        <v>26</v>
      </c>
      <c r="C9" s="4">
        <v>245781727</v>
      </c>
      <c r="D9" s="4">
        <v>119887033</v>
      </c>
      <c r="E9" s="48">
        <f>D9*پنل!E2/پنل!D2</f>
        <v>134273476.96000001</v>
      </c>
      <c r="H9" s="3" t="s">
        <v>9</v>
      </c>
      <c r="I9" s="3" t="s">
        <v>26</v>
      </c>
      <c r="J9" s="5">
        <f t="shared" si="0"/>
        <v>0.55906724845707012</v>
      </c>
      <c r="K9" s="5">
        <f t="shared" si="0"/>
        <v>0.1814289275567538</v>
      </c>
      <c r="M9" s="3" t="s">
        <v>9</v>
      </c>
      <c r="N9" s="3" t="s">
        <v>26</v>
      </c>
      <c r="O9" s="5">
        <f t="shared" si="1"/>
        <v>-0.51222153712021079</v>
      </c>
    </row>
    <row r="10" spans="1:15" x14ac:dyDescent="0.45">
      <c r="A10" s="3" t="s">
        <v>10</v>
      </c>
      <c r="B10" s="3" t="s">
        <v>26</v>
      </c>
      <c r="C10" s="4">
        <v>3313319</v>
      </c>
      <c r="D10" s="4">
        <v>3536731</v>
      </c>
      <c r="E10" s="4">
        <f>D10</f>
        <v>3536731</v>
      </c>
      <c r="H10" s="3" t="s">
        <v>10</v>
      </c>
      <c r="I10" s="3" t="s">
        <v>26</v>
      </c>
      <c r="J10" s="5">
        <f t="shared" si="0"/>
        <v>7.5366389487145679E-3</v>
      </c>
      <c r="K10" s="5">
        <f t="shared" si="0"/>
        <v>5.3522494996329209E-3</v>
      </c>
      <c r="M10" s="3" t="s">
        <v>10</v>
      </c>
      <c r="N10" s="3" t="s">
        <v>26</v>
      </c>
      <c r="O10" s="5">
        <f t="shared" si="1"/>
        <v>6.7428460706620674E-2</v>
      </c>
    </row>
    <row r="11" spans="1:15" x14ac:dyDescent="0.45">
      <c r="A11" s="3" t="s">
        <v>11</v>
      </c>
      <c r="B11" s="3" t="s">
        <v>26</v>
      </c>
      <c r="C11" s="4">
        <v>506348818</v>
      </c>
      <c r="D11" s="4">
        <v>465110018</v>
      </c>
      <c r="E11" s="4">
        <f>E4+E5+E6+E8+E9+E10</f>
        <v>528149007.25070739</v>
      </c>
      <c r="H11" s="3" t="s">
        <v>11</v>
      </c>
      <c r="I11" s="3" t="s">
        <v>26</v>
      </c>
      <c r="J11" s="5">
        <f t="shared" si="0"/>
        <v>1.1517660157003851</v>
      </c>
      <c r="K11" s="5">
        <f t="shared" si="0"/>
        <v>0.70386604497621075</v>
      </c>
      <c r="M11" s="3" t="s">
        <v>11</v>
      </c>
      <c r="N11" s="3" t="s">
        <v>26</v>
      </c>
      <c r="O11" s="5">
        <f t="shared" si="1"/>
        <v>-8.1443460582937499E-2</v>
      </c>
    </row>
    <row r="12" spans="1:15" x14ac:dyDescent="0.45">
      <c r="A12" s="3" t="s">
        <v>12</v>
      </c>
      <c r="B12" s="3" t="s">
        <v>26</v>
      </c>
      <c r="C12" s="4">
        <v>12923922</v>
      </c>
      <c r="D12" s="4">
        <v>3762103</v>
      </c>
      <c r="E12" s="4">
        <f>D12</f>
        <v>3762103</v>
      </c>
      <c r="H12" s="3" t="s">
        <v>12</v>
      </c>
      <c r="I12" s="3" t="s">
        <v>26</v>
      </c>
      <c r="J12" s="5">
        <f t="shared" si="0"/>
        <v>2.9397390928959474E-2</v>
      </c>
      <c r="K12" s="5">
        <f t="shared" si="0"/>
        <v>5.6933122421008297E-3</v>
      </c>
      <c r="M12" s="3" t="s">
        <v>12</v>
      </c>
      <c r="N12" s="3" t="s">
        <v>26</v>
      </c>
      <c r="O12" s="5">
        <f t="shared" si="1"/>
        <v>-0.70890392250897216</v>
      </c>
    </row>
    <row r="13" spans="1:15" x14ac:dyDescent="0.45">
      <c r="A13" s="3" t="s">
        <v>13</v>
      </c>
      <c r="B13" s="3" t="s">
        <v>26</v>
      </c>
      <c r="C13" s="4">
        <v>-192845926</v>
      </c>
      <c r="D13" s="4">
        <v>-241110610</v>
      </c>
      <c r="E13" s="4">
        <f>-'هزینه عمومی اداری'!D4</f>
        <v>-318547321.59999996</v>
      </c>
      <c r="H13" s="3" t="s">
        <v>13</v>
      </c>
      <c r="I13" s="3" t="s">
        <v>26</v>
      </c>
      <c r="J13" s="5">
        <f t="shared" si="0"/>
        <v>-0.43865686249725044</v>
      </c>
      <c r="K13" s="5">
        <f t="shared" si="0"/>
        <v>-0.36488049041012399</v>
      </c>
      <c r="M13" s="3" t="s">
        <v>13</v>
      </c>
      <c r="N13" s="3" t="s">
        <v>26</v>
      </c>
      <c r="O13" s="5">
        <f t="shared" si="1"/>
        <v>0.25027588086045438</v>
      </c>
    </row>
    <row r="14" spans="1:15" x14ac:dyDescent="0.45">
      <c r="A14" s="3" t="s">
        <v>14</v>
      </c>
      <c r="B14" s="3" t="s">
        <v>26</v>
      </c>
      <c r="C14" s="4">
        <v>-59379833</v>
      </c>
      <c r="D14" s="4">
        <v>-12469868</v>
      </c>
      <c r="E14" s="4">
        <f>-('ذخیره مطالبات '!B29+'ذخیره مطالبات '!B13)*0.8</f>
        <v>-157267711.01226613</v>
      </c>
      <c r="F14" s="22"/>
      <c r="H14" s="3" t="s">
        <v>14</v>
      </c>
      <c r="I14" s="3" t="s">
        <v>26</v>
      </c>
      <c r="J14" s="5">
        <f t="shared" si="0"/>
        <v>-0.13506829923589206</v>
      </c>
      <c r="K14" s="5">
        <f t="shared" si="0"/>
        <v>-1.8871054870582063E-2</v>
      </c>
      <c r="M14" s="3" t="s">
        <v>14</v>
      </c>
      <c r="N14" s="3" t="s">
        <v>26</v>
      </c>
      <c r="O14" s="5">
        <f t="shared" si="1"/>
        <v>-0.7899982642254989</v>
      </c>
    </row>
    <row r="15" spans="1:15" x14ac:dyDescent="0.45">
      <c r="A15" s="3" t="s">
        <v>15</v>
      </c>
      <c r="B15" s="3" t="s">
        <v>26</v>
      </c>
      <c r="C15" s="4">
        <v>-19441184</v>
      </c>
      <c r="D15" s="4">
        <v>-23177542</v>
      </c>
      <c r="E15" s="4">
        <f>D15*پنل!E2/پنل!D2</f>
        <v>-25958847.039999999</v>
      </c>
      <c r="H15" s="3" t="s">
        <v>15</v>
      </c>
      <c r="I15" s="3" t="s">
        <v>26</v>
      </c>
      <c r="J15" s="5">
        <f t="shared" si="0"/>
        <v>-4.4221876777794857E-2</v>
      </c>
      <c r="K15" s="5">
        <f t="shared" si="0"/>
        <v>-3.507532452205752E-2</v>
      </c>
      <c r="M15" s="3" t="s">
        <v>15</v>
      </c>
      <c r="N15" s="3" t="s">
        <v>26</v>
      </c>
      <c r="O15" s="5">
        <f t="shared" si="1"/>
        <v>0.19218778033272055</v>
      </c>
    </row>
    <row r="16" spans="1:15" x14ac:dyDescent="0.45">
      <c r="A16" s="3" t="s">
        <v>16</v>
      </c>
      <c r="B16" s="3" t="s">
        <v>26</v>
      </c>
      <c r="C16" s="4">
        <v>-2533313</v>
      </c>
      <c r="D16" s="4">
        <v>-4520312</v>
      </c>
      <c r="E16" s="4">
        <f>D16</f>
        <v>-4520312</v>
      </c>
      <c r="H16" s="3" t="s">
        <v>16</v>
      </c>
      <c r="I16" s="3" t="s">
        <v>26</v>
      </c>
      <c r="J16" s="5">
        <f>C16/C$2</f>
        <v>-5.7623987986321111E-3</v>
      </c>
      <c r="K16" s="5">
        <f>D16/D$2</f>
        <v>-6.8407344636006208E-3</v>
      </c>
      <c r="M16" s="3" t="s">
        <v>16</v>
      </c>
      <c r="N16" s="3" t="s">
        <v>26</v>
      </c>
      <c r="O16" s="5">
        <f t="shared" si="1"/>
        <v>0.78434800595110032</v>
      </c>
    </row>
    <row r="17" spans="1:15" x14ac:dyDescent="0.45">
      <c r="A17" s="3" t="s">
        <v>17</v>
      </c>
      <c r="B17" s="3" t="s">
        <v>26</v>
      </c>
      <c r="C17" s="4">
        <v>245072484</v>
      </c>
      <c r="D17" s="4">
        <v>187593789</v>
      </c>
      <c r="E17" s="4">
        <f>SUM(E11:E16)</f>
        <v>25616918.598441295</v>
      </c>
      <c r="H17" s="3" t="s">
        <v>17</v>
      </c>
      <c r="I17" s="3" t="s">
        <v>26</v>
      </c>
      <c r="J17" s="5">
        <f t="shared" si="0"/>
        <v>0.55745396931977509</v>
      </c>
      <c r="K17" s="5">
        <f t="shared" si="0"/>
        <v>0.28389175295194735</v>
      </c>
      <c r="M17" s="3" t="s">
        <v>17</v>
      </c>
      <c r="N17" s="3" t="s">
        <v>26</v>
      </c>
      <c r="O17" s="5">
        <f t="shared" si="1"/>
        <v>-0.23453752972120689</v>
      </c>
    </row>
    <row r="18" spans="1:15" x14ac:dyDescent="0.45">
      <c r="A18" s="3" t="s">
        <v>18</v>
      </c>
      <c r="B18" s="3" t="s">
        <v>26</v>
      </c>
      <c r="C18" s="4">
        <v>-36354546</v>
      </c>
      <c r="D18" s="4">
        <v>0</v>
      </c>
      <c r="E18" s="4"/>
      <c r="H18" s="3" t="s">
        <v>18</v>
      </c>
      <c r="I18" s="3" t="s">
        <v>26</v>
      </c>
      <c r="J18" s="5">
        <f t="shared" si="0"/>
        <v>-8.2693844856603124E-2</v>
      </c>
      <c r="K18" s="5">
        <f t="shared" si="0"/>
        <v>0</v>
      </c>
      <c r="M18" s="3" t="s">
        <v>18</v>
      </c>
      <c r="N18" s="3" t="s">
        <v>26</v>
      </c>
      <c r="O18" s="5">
        <f t="shared" si="1"/>
        <v>-1</v>
      </c>
    </row>
    <row r="19" spans="1:15" x14ac:dyDescent="0.45">
      <c r="A19" s="3" t="s">
        <v>19</v>
      </c>
      <c r="B19" s="3" t="s">
        <v>26</v>
      </c>
      <c r="C19" s="4">
        <v>-113905411</v>
      </c>
      <c r="D19" s="4">
        <v>-30000000</v>
      </c>
      <c r="E19" s="4"/>
      <c r="H19" s="3" t="s">
        <v>19</v>
      </c>
      <c r="I19" s="3" t="s">
        <v>26</v>
      </c>
      <c r="J19" s="5">
        <f t="shared" si="0"/>
        <v>-0.25909487043412988</v>
      </c>
      <c r="K19" s="5">
        <f t="shared" si="0"/>
        <v>-4.5399971043595805E-2</v>
      </c>
      <c r="M19" s="3" t="s">
        <v>19</v>
      </c>
      <c r="N19" s="3" t="s">
        <v>26</v>
      </c>
      <c r="O19" s="5">
        <f t="shared" si="1"/>
        <v>-0.73662357444985649</v>
      </c>
    </row>
    <row r="20" spans="1:15" x14ac:dyDescent="0.45">
      <c r="A20" s="3" t="s">
        <v>20</v>
      </c>
      <c r="B20" s="3" t="s">
        <v>26</v>
      </c>
      <c r="C20" s="4">
        <v>94812527</v>
      </c>
      <c r="D20" s="4">
        <v>157593789</v>
      </c>
      <c r="E20" s="4"/>
      <c r="H20" s="3" t="s">
        <v>20</v>
      </c>
      <c r="I20" s="3" t="s">
        <v>26</v>
      </c>
      <c r="J20" s="5">
        <f t="shared" si="0"/>
        <v>0.21566525402904205</v>
      </c>
      <c r="K20" s="5">
        <f t="shared" si="0"/>
        <v>0.23849178190835155</v>
      </c>
      <c r="M20" s="3" t="s">
        <v>20</v>
      </c>
      <c r="N20" s="3" t="s">
        <v>26</v>
      </c>
      <c r="O20" s="5">
        <f t="shared" si="1"/>
        <v>0.66216210016214427</v>
      </c>
    </row>
    <row r="21" spans="1:15" x14ac:dyDescent="0.45">
      <c r="A21" s="3" t="s">
        <v>21</v>
      </c>
      <c r="B21" s="3" t="s">
        <v>26</v>
      </c>
      <c r="C21" s="4"/>
      <c r="D21" s="4"/>
      <c r="E21" s="4"/>
      <c r="M21" s="3" t="s">
        <v>21</v>
      </c>
      <c r="N21" s="3" t="s">
        <v>26</v>
      </c>
      <c r="O21" s="5">
        <v>0</v>
      </c>
    </row>
    <row r="22" spans="1:15" x14ac:dyDescent="0.45">
      <c r="A22" s="10" t="s">
        <v>22</v>
      </c>
      <c r="B22" s="10" t="s">
        <v>26</v>
      </c>
      <c r="C22" s="16">
        <v>94812527</v>
      </c>
      <c r="D22" s="16">
        <v>157593789</v>
      </c>
      <c r="E22" s="16"/>
      <c r="M22" s="3" t="s">
        <v>22</v>
      </c>
      <c r="N22" s="3" t="s">
        <v>26</v>
      </c>
      <c r="O22" s="5">
        <f t="shared" si="1"/>
        <v>0.66216210016214427</v>
      </c>
    </row>
    <row r="23" spans="1:15" x14ac:dyDescent="0.45">
      <c r="A23" s="3" t="s">
        <v>23</v>
      </c>
      <c r="B23" s="3" t="s">
        <v>26</v>
      </c>
      <c r="C23" s="4">
        <v>458</v>
      </c>
      <c r="D23" s="4">
        <v>761</v>
      </c>
      <c r="E23" s="4"/>
      <c r="M23" s="3" t="s">
        <v>23</v>
      </c>
      <c r="N23" s="3" t="s">
        <v>26</v>
      </c>
      <c r="O23" s="5">
        <f t="shared" si="1"/>
        <v>0.66157205240174677</v>
      </c>
    </row>
    <row r="24" spans="1:15" x14ac:dyDescent="0.45">
      <c r="A24" s="3" t="s">
        <v>24</v>
      </c>
      <c r="B24" s="3" t="s">
        <v>26</v>
      </c>
      <c r="C24" s="4">
        <v>207042862</v>
      </c>
      <c r="D24" s="4">
        <v>207042862</v>
      </c>
      <c r="E24" s="4"/>
      <c r="M24" s="3" t="s">
        <v>24</v>
      </c>
      <c r="N24" s="3" t="s">
        <v>26</v>
      </c>
      <c r="O24" s="5">
        <f t="shared" si="1"/>
        <v>0</v>
      </c>
    </row>
    <row r="26" spans="1:15" x14ac:dyDescent="0.45">
      <c r="A26" s="1" t="s">
        <v>0</v>
      </c>
      <c r="B26" s="1" t="s">
        <v>25</v>
      </c>
      <c r="C26" s="2" t="s">
        <v>27</v>
      </c>
      <c r="D26" s="2" t="s">
        <v>1</v>
      </c>
      <c r="E26" s="46">
        <v>1401</v>
      </c>
    </row>
    <row r="27" spans="1:15" x14ac:dyDescent="0.45">
      <c r="A27" s="3" t="s">
        <v>147</v>
      </c>
      <c r="B27" s="3"/>
      <c r="C27" s="21">
        <f>C5/('متغیرهای کلان تاریخی'!G20*1000000)</f>
        <v>8.3984646895865272E-4</v>
      </c>
      <c r="D27" s="21">
        <f>D5/('متغیرهای کلان تاریخی'!G21*1000000)</f>
        <v>9.8597965003186807E-4</v>
      </c>
      <c r="E27" s="5">
        <f>D27</f>
        <v>9.8597965003186807E-4</v>
      </c>
    </row>
    <row r="28" spans="1:15" x14ac:dyDescent="0.45">
      <c r="A28" s="47" t="s">
        <v>148</v>
      </c>
      <c r="B28" s="3"/>
      <c r="C28" s="5">
        <f>C6/C5</f>
        <v>-0.56446409701063127</v>
      </c>
      <c r="D28" s="5">
        <f>D6/D5</f>
        <v>-0.4361019689119171</v>
      </c>
      <c r="E28" s="5">
        <f>AVERAGE(C28:D28)</f>
        <v>-0.50028303296127419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6"/>
  <sheetViews>
    <sheetView rightToLeft="1" zoomScaleNormal="100" workbookViewId="0">
      <selection activeCell="E13" sqref="E13"/>
    </sheetView>
  </sheetViews>
  <sheetFormatPr defaultRowHeight="18" x14ac:dyDescent="0.45"/>
  <cols>
    <col min="1" max="1" width="46.85546875" style="6" bestFit="1" customWidth="1"/>
    <col min="2" max="2" width="23.85546875" style="6" bestFit="1" customWidth="1"/>
    <col min="3" max="3" width="25" style="6" bestFit="1" customWidth="1"/>
    <col min="4" max="4" width="12.28515625" style="6" bestFit="1" customWidth="1"/>
    <col min="5" max="5" width="14.28515625" style="6" bestFit="1" customWidth="1"/>
    <col min="6" max="16384" width="9.140625" style="6"/>
  </cols>
  <sheetData>
    <row r="1" spans="1:6" x14ac:dyDescent="0.45">
      <c r="A1" s="1" t="s">
        <v>0</v>
      </c>
      <c r="B1" s="1" t="s">
        <v>1</v>
      </c>
      <c r="C1" s="1" t="s">
        <v>28</v>
      </c>
    </row>
    <row r="2" spans="1:6" ht="22.5" x14ac:dyDescent="0.55000000000000004">
      <c r="A2" s="13" t="s">
        <v>60</v>
      </c>
      <c r="B2" s="13"/>
      <c r="C2" s="13"/>
    </row>
    <row r="3" spans="1:6" x14ac:dyDescent="0.45">
      <c r="A3" s="3" t="s">
        <v>29</v>
      </c>
      <c r="B3" s="8">
        <v>207726147</v>
      </c>
      <c r="C3" s="8">
        <v>193179479</v>
      </c>
    </row>
    <row r="4" spans="1:6" x14ac:dyDescent="0.45">
      <c r="A4" s="3" t="s">
        <v>30</v>
      </c>
      <c r="B4" s="8">
        <v>18585684</v>
      </c>
      <c r="C4" s="8">
        <v>17676310</v>
      </c>
    </row>
    <row r="5" spans="1:6" x14ac:dyDescent="0.45">
      <c r="A5" s="3" t="s">
        <v>31</v>
      </c>
      <c r="B5" s="8">
        <v>37241680</v>
      </c>
      <c r="C5" s="8">
        <v>66633841</v>
      </c>
    </row>
    <row r="6" spans="1:6" x14ac:dyDescent="0.45">
      <c r="A6" s="3" t="s">
        <v>32</v>
      </c>
      <c r="B6" s="8">
        <v>206172671</v>
      </c>
      <c r="C6" s="8">
        <v>342619128</v>
      </c>
    </row>
    <row r="7" spans="1:6" x14ac:dyDescent="0.45">
      <c r="A7" s="3" t="s">
        <v>33</v>
      </c>
      <c r="B7" s="8">
        <v>63078028</v>
      </c>
      <c r="C7" s="8">
        <v>67233048</v>
      </c>
    </row>
    <row r="8" spans="1:6" x14ac:dyDescent="0.45">
      <c r="A8" s="3" t="s">
        <v>34</v>
      </c>
      <c r="B8" s="8">
        <v>317338599</v>
      </c>
      <c r="C8" s="8">
        <v>208900144</v>
      </c>
    </row>
    <row r="9" spans="1:6" x14ac:dyDescent="0.45">
      <c r="A9" s="3" t="s">
        <v>113</v>
      </c>
      <c r="B9" s="8">
        <v>159983060</v>
      </c>
      <c r="C9" s="8">
        <v>135484372</v>
      </c>
    </row>
    <row r="10" spans="1:6" x14ac:dyDescent="0.45">
      <c r="A10" s="10" t="s">
        <v>35</v>
      </c>
      <c r="B10" s="11">
        <v>3812101451</v>
      </c>
      <c r="C10" s="11">
        <v>2269680365</v>
      </c>
      <c r="D10" s="7"/>
      <c r="E10" s="23"/>
      <c r="F10" s="23"/>
    </row>
    <row r="11" spans="1:6" x14ac:dyDescent="0.45">
      <c r="A11" s="10" t="s">
        <v>36</v>
      </c>
      <c r="B11" s="11">
        <v>3189322578</v>
      </c>
      <c r="C11" s="11">
        <v>2693291107</v>
      </c>
    </row>
    <row r="12" spans="1:6" x14ac:dyDescent="0.45">
      <c r="A12" s="10" t="s">
        <v>37</v>
      </c>
      <c r="B12" s="11">
        <v>1128472621</v>
      </c>
      <c r="C12" s="11">
        <v>804961425</v>
      </c>
    </row>
    <row r="13" spans="1:6" x14ac:dyDescent="0.45">
      <c r="A13" s="10" t="s">
        <v>38</v>
      </c>
      <c r="B13" s="11">
        <v>574871224</v>
      </c>
      <c r="C13" s="11">
        <v>380126497</v>
      </c>
    </row>
    <row r="14" spans="1:6" x14ac:dyDescent="0.45">
      <c r="A14" s="3" t="s">
        <v>39</v>
      </c>
      <c r="B14" s="8">
        <v>315181162</v>
      </c>
      <c r="C14" s="8">
        <v>284705887</v>
      </c>
    </row>
    <row r="15" spans="1:6" x14ac:dyDescent="0.45">
      <c r="A15" s="14" t="s">
        <v>40</v>
      </c>
      <c r="B15" s="15">
        <v>10030074905</v>
      </c>
      <c r="C15" s="15">
        <v>7464491603</v>
      </c>
    </row>
    <row r="16" spans="1:6" x14ac:dyDescent="0.45">
      <c r="A16" s="3" t="s">
        <v>41</v>
      </c>
      <c r="B16" s="8">
        <v>207042862</v>
      </c>
      <c r="C16" s="8">
        <v>207042862</v>
      </c>
    </row>
    <row r="17" spans="1:5" x14ac:dyDescent="0.45">
      <c r="A17" s="3" t="s">
        <v>42</v>
      </c>
      <c r="B17" s="8">
        <v>83242565</v>
      </c>
      <c r="C17" s="8">
        <v>59738129</v>
      </c>
    </row>
    <row r="18" spans="1:5" x14ac:dyDescent="0.45">
      <c r="A18" s="3" t="s">
        <v>43</v>
      </c>
      <c r="B18" s="8">
        <v>80091465</v>
      </c>
      <c r="C18" s="8">
        <v>80091465</v>
      </c>
    </row>
    <row r="19" spans="1:5" x14ac:dyDescent="0.45">
      <c r="A19" s="3" t="s">
        <v>44</v>
      </c>
      <c r="B19" s="8">
        <v>17142728</v>
      </c>
      <c r="C19" s="8">
        <v>17173761</v>
      </c>
    </row>
    <row r="20" spans="1:5" x14ac:dyDescent="0.45">
      <c r="A20" s="3" t="s">
        <v>45</v>
      </c>
      <c r="B20" s="8">
        <v>216398453</v>
      </c>
      <c r="C20" s="8">
        <v>95995175</v>
      </c>
      <c r="E20" s="7"/>
    </row>
    <row r="21" spans="1:5" x14ac:dyDescent="0.45">
      <c r="A21" s="3" t="s">
        <v>46</v>
      </c>
      <c r="B21" s="9">
        <v>0</v>
      </c>
      <c r="C21" s="9">
        <v>0</v>
      </c>
    </row>
    <row r="22" spans="1:5" x14ac:dyDescent="0.45">
      <c r="A22" s="3" t="s">
        <v>47</v>
      </c>
      <c r="B22" s="8">
        <v>603918073</v>
      </c>
      <c r="C22" s="8">
        <v>460041392</v>
      </c>
    </row>
    <row r="23" spans="1:5" ht="22.5" x14ac:dyDescent="0.55000000000000004">
      <c r="A23" s="13" t="s">
        <v>48</v>
      </c>
      <c r="B23" s="12"/>
      <c r="C23" s="12"/>
    </row>
    <row r="24" spans="1:5" x14ac:dyDescent="0.45">
      <c r="A24" s="3" t="s">
        <v>49</v>
      </c>
      <c r="B24" s="8">
        <v>224407233</v>
      </c>
      <c r="C24" s="8">
        <v>129628678</v>
      </c>
    </row>
    <row r="25" spans="1:5" x14ac:dyDescent="0.45">
      <c r="A25" s="3" t="s">
        <v>50</v>
      </c>
      <c r="B25" s="8">
        <v>1809524566</v>
      </c>
      <c r="C25" s="8">
        <v>1429410733</v>
      </c>
    </row>
    <row r="26" spans="1:5" x14ac:dyDescent="0.45">
      <c r="A26" s="3" t="s">
        <v>51</v>
      </c>
      <c r="B26" s="8">
        <v>108266026</v>
      </c>
      <c r="C26" s="8">
        <v>149873188</v>
      </c>
    </row>
    <row r="27" spans="1:5" x14ac:dyDescent="0.45">
      <c r="A27" s="3" t="s">
        <v>52</v>
      </c>
      <c r="B27" s="8">
        <v>399272</v>
      </c>
      <c r="C27" s="8">
        <v>163627</v>
      </c>
    </row>
    <row r="28" spans="1:5" x14ac:dyDescent="0.45">
      <c r="A28" s="3" t="s">
        <v>53</v>
      </c>
      <c r="B28" s="9">
        <v>0</v>
      </c>
      <c r="C28" s="9">
        <v>0</v>
      </c>
    </row>
    <row r="29" spans="1:5" x14ac:dyDescent="0.45">
      <c r="A29" s="10" t="s">
        <v>54</v>
      </c>
      <c r="B29" s="11">
        <v>2668218868</v>
      </c>
      <c r="C29" s="11">
        <v>1846116537</v>
      </c>
    </row>
    <row r="30" spans="1:5" x14ac:dyDescent="0.45">
      <c r="A30" s="10" t="s">
        <v>55</v>
      </c>
      <c r="B30" s="11">
        <v>991560036</v>
      </c>
      <c r="C30" s="11">
        <v>919945720</v>
      </c>
      <c r="E30" s="7"/>
    </row>
    <row r="31" spans="1:5" x14ac:dyDescent="0.45">
      <c r="A31" s="10" t="s">
        <v>56</v>
      </c>
      <c r="B31" s="11">
        <v>5802376001</v>
      </c>
      <c r="C31" s="11">
        <v>4475138483</v>
      </c>
    </row>
    <row r="32" spans="1:5" x14ac:dyDescent="0.45">
      <c r="A32" s="10" t="s">
        <v>57</v>
      </c>
      <c r="B32" s="11">
        <v>3623780831</v>
      </c>
      <c r="C32" s="11">
        <v>2529311728</v>
      </c>
    </row>
    <row r="33" spans="1:3" x14ac:dyDescent="0.45">
      <c r="A33" s="14" t="s">
        <v>58</v>
      </c>
      <c r="B33" s="15">
        <v>9426156832</v>
      </c>
      <c r="C33" s="15">
        <v>7004450211</v>
      </c>
    </row>
    <row r="34" spans="1:3" x14ac:dyDescent="0.45">
      <c r="A34" s="3" t="s">
        <v>59</v>
      </c>
      <c r="B34" s="8">
        <v>10030074905</v>
      </c>
      <c r="C34" s="8">
        <v>7464491603</v>
      </c>
    </row>
    <row r="36" spans="1:3" x14ac:dyDescent="0.45">
      <c r="B36" s="7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rightToLeft="1" zoomScale="115" zoomScaleNormal="115" workbookViewId="0">
      <selection activeCell="F3" sqref="F3"/>
    </sheetView>
  </sheetViews>
  <sheetFormatPr defaultRowHeight="18" x14ac:dyDescent="0.45"/>
  <cols>
    <col min="1" max="1" width="46.7109375" style="6" bestFit="1" customWidth="1"/>
    <col min="2" max="2" width="16.85546875" style="6" bestFit="1" customWidth="1"/>
    <col min="3" max="3" width="15.85546875" style="6" bestFit="1" customWidth="1"/>
    <col min="4" max="4" width="13.5703125" style="6" bestFit="1" customWidth="1"/>
    <col min="5" max="5" width="12" style="6" bestFit="1" customWidth="1"/>
    <col min="6" max="16384" width="9.140625" style="6"/>
  </cols>
  <sheetData>
    <row r="1" spans="1:4" x14ac:dyDescent="0.45">
      <c r="A1" s="20" t="s">
        <v>77</v>
      </c>
    </row>
    <row r="2" spans="1:4" x14ac:dyDescent="0.45">
      <c r="A2" s="1" t="s">
        <v>0</v>
      </c>
      <c r="B2" s="1">
        <v>1399</v>
      </c>
      <c r="C2" s="1">
        <v>1400</v>
      </c>
      <c r="D2" s="32">
        <v>1401</v>
      </c>
    </row>
    <row r="3" spans="1:4" x14ac:dyDescent="0.45">
      <c r="A3" s="3" t="s">
        <v>70</v>
      </c>
      <c r="B3" s="4">
        <v>2003607310</v>
      </c>
      <c r="C3" s="4">
        <v>3089222615</v>
      </c>
      <c r="D3" s="4">
        <f>D13*پنل!E4*1000000</f>
        <v>4036967638.0619164</v>
      </c>
    </row>
    <row r="4" spans="1:4" x14ac:dyDescent="0.45">
      <c r="A4" s="3" t="s">
        <v>71</v>
      </c>
      <c r="B4" s="4">
        <v>1741726863</v>
      </c>
      <c r="C4" s="4">
        <v>2748656892</v>
      </c>
      <c r="D4" s="4">
        <f>D3-D7</f>
        <v>3145255145.288805</v>
      </c>
    </row>
    <row r="5" spans="1:4" x14ac:dyDescent="0.45">
      <c r="A5" s="3" t="s">
        <v>72</v>
      </c>
      <c r="B5" s="4">
        <v>-198227493</v>
      </c>
      <c r="C5" s="4">
        <v>-314762307</v>
      </c>
      <c r="D5" s="4">
        <f>D9*D4</f>
        <v>-359071519.53762692</v>
      </c>
    </row>
    <row r="6" spans="1:4" x14ac:dyDescent="0.45">
      <c r="A6" s="3" t="s">
        <v>74</v>
      </c>
      <c r="B6" s="4">
        <f>B4+B5</f>
        <v>1543499370</v>
      </c>
      <c r="C6" s="4">
        <f>C4+C5</f>
        <v>2433894585</v>
      </c>
      <c r="D6" s="4">
        <f>D4+D5</f>
        <v>2786183625.7511783</v>
      </c>
    </row>
    <row r="7" spans="1:4" x14ac:dyDescent="0.45">
      <c r="A7" s="3" t="s">
        <v>75</v>
      </c>
      <c r="B7" s="4">
        <f>B3-B6</f>
        <v>460107940</v>
      </c>
      <c r="C7" s="4">
        <f>C3-C6</f>
        <v>655328030</v>
      </c>
      <c r="D7" s="4">
        <f>D8*D3</f>
        <v>891712492.77311134</v>
      </c>
    </row>
    <row r="8" spans="1:4" x14ac:dyDescent="0.45">
      <c r="A8" s="3" t="s">
        <v>76</v>
      </c>
      <c r="B8" s="21">
        <f>B7/B3</f>
        <v>0.22963977906429178</v>
      </c>
      <c r="C8" s="21">
        <f>C7/C3</f>
        <v>0.21213363738113125</v>
      </c>
      <c r="D8" s="5">
        <f>AVERAGE(B8:C8)</f>
        <v>0.2208867082227115</v>
      </c>
    </row>
    <row r="9" spans="1:4" x14ac:dyDescent="0.45">
      <c r="A9" s="3" t="s">
        <v>73</v>
      </c>
      <c r="B9" s="5">
        <f>B5/B4</f>
        <v>-0.1138108949290518</v>
      </c>
      <c r="C9" s="5">
        <f>C5/C4</f>
        <v>-0.11451495016206628</v>
      </c>
      <c r="D9" s="5">
        <f>AVERAGE(B9:C9)</f>
        <v>-0.11416292254555904</v>
      </c>
    </row>
    <row r="10" spans="1:4" x14ac:dyDescent="0.45">
      <c r="A10" s="29"/>
      <c r="B10" s="30"/>
      <c r="C10" s="30"/>
    </row>
    <row r="11" spans="1:4" x14ac:dyDescent="0.45">
      <c r="A11" s="31" t="s">
        <v>142</v>
      </c>
      <c r="B11" s="30"/>
      <c r="C11" s="30"/>
    </row>
    <row r="12" spans="1:4" x14ac:dyDescent="0.45">
      <c r="A12" s="1" t="s">
        <v>0</v>
      </c>
      <c r="B12" s="1">
        <v>1399</v>
      </c>
      <c r="C12" s="1">
        <v>1400</v>
      </c>
      <c r="D12" s="32">
        <v>1401</v>
      </c>
    </row>
    <row r="13" spans="1:4" x14ac:dyDescent="0.45">
      <c r="A13" s="3" t="s">
        <v>70</v>
      </c>
      <c r="B13" s="5">
        <f>B3/('متغیرهای کلان تاریخی'!G$20*1000000)</f>
        <v>5.7638358020465054E-2</v>
      </c>
      <c r="C13" s="5">
        <f>C3/('متغیرهای کلان تاریخی'!G$21*1000000)</f>
        <v>6.3926766085041942E-2</v>
      </c>
      <c r="D13" s="5">
        <f>AVERAGE(B13:C13)</f>
        <v>6.0782562052753494E-2</v>
      </c>
    </row>
    <row r="14" spans="1:4" x14ac:dyDescent="0.45">
      <c r="A14" s="3" t="s">
        <v>71</v>
      </c>
      <c r="B14" s="5">
        <f>B4/('متغیرهای کلان تاریخی'!G$20*1000000)</f>
        <v>5.0104766539035776E-2</v>
      </c>
      <c r="C14" s="5">
        <f>C4/('متغیرهای کلان تاریخی'!G$21*1000000)</f>
        <v>5.6879276142073165E-2</v>
      </c>
      <c r="D14" s="5">
        <f t="shared" ref="D14:D17" si="0">AVERAGE(B14:C14)</f>
        <v>5.3492021340554474E-2</v>
      </c>
    </row>
    <row r="15" spans="1:4" x14ac:dyDescent="0.45">
      <c r="A15" s="3" t="s">
        <v>72</v>
      </c>
      <c r="B15" s="5">
        <f>B5/('متغیرهای کلان تاریخی'!G$20*1000000)</f>
        <v>-5.7024683200188712E-3</v>
      </c>
      <c r="C15" s="5">
        <f>C5/('متغیرهای کلان تاریخی'!G$21*1000000)</f>
        <v>-6.5135274726639139E-3</v>
      </c>
      <c r="D15" s="5">
        <f t="shared" si="0"/>
        <v>-6.1079978963413922E-3</v>
      </c>
    </row>
    <row r="16" spans="1:4" x14ac:dyDescent="0.45">
      <c r="A16" s="3" t="s">
        <v>74</v>
      </c>
      <c r="B16" s="5">
        <f>B6/('متغیرهای کلان تاریخی'!G$20*1000000)</f>
        <v>4.4402298219016909E-2</v>
      </c>
      <c r="C16" s="5">
        <f>C6/('متغیرهای کلان تاریخی'!G$21*1000000)</f>
        <v>5.0365748669409252E-2</v>
      </c>
      <c r="D16" s="5">
        <f t="shared" si="0"/>
        <v>4.738402344421308E-2</v>
      </c>
    </row>
    <row r="17" spans="1:4" x14ac:dyDescent="0.45">
      <c r="A17" s="3" t="s">
        <v>75</v>
      </c>
      <c r="B17" s="5">
        <f>B7/('متغیرهای کلان تاریخی'!G$20*1000000)</f>
        <v>1.3236059801448145E-2</v>
      </c>
      <c r="C17" s="5">
        <f>C7/('متغیرهای کلان تاریخی'!G$21*1000000)</f>
        <v>1.3561017415632684E-2</v>
      </c>
      <c r="D17" s="5">
        <f t="shared" si="0"/>
        <v>1.3398538608540414E-2</v>
      </c>
    </row>
    <row r="18" spans="1:4" x14ac:dyDescent="0.45">
      <c r="B18" s="17"/>
      <c r="C18" s="17"/>
    </row>
    <row r="19" spans="1:4" x14ac:dyDescent="0.45">
      <c r="A19" s="20" t="s">
        <v>70</v>
      </c>
      <c r="B19" s="17"/>
      <c r="C19" s="17"/>
    </row>
    <row r="20" spans="1:4" x14ac:dyDescent="0.45">
      <c r="A20" s="1" t="s">
        <v>0</v>
      </c>
      <c r="B20" s="1">
        <v>1399</v>
      </c>
      <c r="C20" s="1">
        <v>1400</v>
      </c>
      <c r="D20" s="32">
        <v>1401</v>
      </c>
    </row>
    <row r="21" spans="1:4" x14ac:dyDescent="0.45">
      <c r="A21" s="3" t="s">
        <v>82</v>
      </c>
      <c r="B21" s="4">
        <v>1578928820</v>
      </c>
      <c r="C21" s="4">
        <v>2625045631</v>
      </c>
      <c r="D21" s="4">
        <f>D28*$D$3</f>
        <v>3305842978.6050053</v>
      </c>
    </row>
    <row r="22" spans="1:4" x14ac:dyDescent="0.45">
      <c r="A22" s="3" t="s">
        <v>78</v>
      </c>
      <c r="B22" s="4">
        <v>229787007</v>
      </c>
      <c r="C22" s="4">
        <v>162612918</v>
      </c>
      <c r="D22" s="4">
        <f t="shared" ref="D22:D24" si="1">D29*$D$3</f>
        <v>337743465.34140253</v>
      </c>
    </row>
    <row r="23" spans="1:4" x14ac:dyDescent="0.45">
      <c r="A23" s="3" t="s">
        <v>79</v>
      </c>
      <c r="B23" s="4">
        <v>194891483</v>
      </c>
      <c r="C23" s="4">
        <v>301564066</v>
      </c>
      <c r="D23" s="4">
        <f t="shared" si="1"/>
        <v>393378869.97597671</v>
      </c>
    </row>
    <row r="24" spans="1:4" x14ac:dyDescent="0.45">
      <c r="A24" s="3" t="s">
        <v>80</v>
      </c>
      <c r="B24" s="4">
        <f>SUM(B20:B23)</f>
        <v>2003608709</v>
      </c>
      <c r="C24" s="4">
        <f>SUM(C20:C23)</f>
        <v>3089224015</v>
      </c>
      <c r="D24" s="4">
        <f t="shared" si="1"/>
        <v>4036967638.0619164</v>
      </c>
    </row>
    <row r="26" spans="1:4" x14ac:dyDescent="0.45">
      <c r="A26" s="20" t="s">
        <v>81</v>
      </c>
    </row>
    <row r="27" spans="1:4" x14ac:dyDescent="0.45">
      <c r="A27" s="1" t="s">
        <v>0</v>
      </c>
      <c r="B27" s="1">
        <v>1399</v>
      </c>
      <c r="C27" s="1">
        <v>1400</v>
      </c>
      <c r="D27" s="32">
        <v>1401</v>
      </c>
    </row>
    <row r="28" spans="1:4" x14ac:dyDescent="0.45">
      <c r="A28" s="3" t="s">
        <v>82</v>
      </c>
      <c r="B28" s="5">
        <f>B21/B$24</f>
        <v>0.7880425019653875</v>
      </c>
      <c r="C28" s="5">
        <f>C21/C$24</f>
        <v>0.84974272446862353</v>
      </c>
      <c r="D28" s="5">
        <f>AVERAGE(B28:C28)</f>
        <v>0.81889261321700557</v>
      </c>
    </row>
    <row r="29" spans="1:4" x14ac:dyDescent="0.45">
      <c r="A29" s="3" t="s">
        <v>78</v>
      </c>
      <c r="B29" s="5">
        <f t="shared" ref="B29:B31" si="2">B22/B$24</f>
        <v>0.11468656827444444</v>
      </c>
      <c r="C29" s="5">
        <f t="shared" ref="C29:C31" si="3">C22/C$24</f>
        <v>5.2638758863202739E-2</v>
      </c>
      <c r="D29" s="5">
        <f t="shared" ref="D29:D31" si="4">AVERAGE(B29:C29)</f>
        <v>8.3662663568823598E-2</v>
      </c>
    </row>
    <row r="30" spans="1:4" x14ac:dyDescent="0.45">
      <c r="A30" s="3" t="s">
        <v>79</v>
      </c>
      <c r="B30" s="5">
        <f t="shared" si="2"/>
        <v>9.7270231520040773E-2</v>
      </c>
      <c r="C30" s="5">
        <f t="shared" si="3"/>
        <v>9.7618063479931863E-2</v>
      </c>
      <c r="D30" s="5">
        <f t="shared" si="4"/>
        <v>9.7444147499986311E-2</v>
      </c>
    </row>
    <row r="31" spans="1:4" x14ac:dyDescent="0.45">
      <c r="A31" s="3" t="s">
        <v>80</v>
      </c>
      <c r="B31" s="5">
        <f t="shared" si="2"/>
        <v>1</v>
      </c>
      <c r="C31" s="5">
        <f t="shared" si="3"/>
        <v>1</v>
      </c>
      <c r="D31" s="5">
        <f t="shared" si="4"/>
        <v>1</v>
      </c>
    </row>
    <row r="33" spans="1:4" x14ac:dyDescent="0.45">
      <c r="A33" s="20" t="s">
        <v>71</v>
      </c>
    </row>
    <row r="34" spans="1:4" x14ac:dyDescent="0.45">
      <c r="A34" s="1" t="s">
        <v>0</v>
      </c>
      <c r="B34" s="1">
        <v>1399</v>
      </c>
      <c r="C34" s="1">
        <v>1400</v>
      </c>
      <c r="D34" s="32">
        <v>1401</v>
      </c>
    </row>
    <row r="35" spans="1:4" x14ac:dyDescent="0.45">
      <c r="A35" s="3" t="s">
        <v>83</v>
      </c>
      <c r="B35" s="4">
        <v>927992860</v>
      </c>
      <c r="C35" s="4">
        <v>1298288738</v>
      </c>
      <c r="D35" s="4">
        <f>D46*$D$4</f>
        <v>1580706248.1116657</v>
      </c>
    </row>
    <row r="36" spans="1:4" x14ac:dyDescent="0.45">
      <c r="A36" s="3" t="s">
        <v>84</v>
      </c>
      <c r="B36" s="4">
        <v>2573280</v>
      </c>
      <c r="C36" s="4">
        <v>4941605</v>
      </c>
      <c r="D36" s="4">
        <f t="shared" ref="D36:D41" si="5">D47*$D$4</f>
        <v>5150761.2857370023</v>
      </c>
    </row>
    <row r="37" spans="1:4" x14ac:dyDescent="0.45">
      <c r="A37" s="3" t="s">
        <v>85</v>
      </c>
      <c r="B37" s="4">
        <v>364138265</v>
      </c>
      <c r="C37" s="4">
        <v>649974722</v>
      </c>
      <c r="D37" s="4">
        <f t="shared" si="5"/>
        <v>700664829.50132978</v>
      </c>
    </row>
    <row r="38" spans="1:4" x14ac:dyDescent="0.45">
      <c r="A38" s="3" t="s">
        <v>86</v>
      </c>
      <c r="B38" s="4">
        <v>350456646</v>
      </c>
      <c r="C38" s="4">
        <v>288867992</v>
      </c>
      <c r="D38" s="4">
        <f t="shared" si="5"/>
        <v>481706446.43117613</v>
      </c>
    </row>
    <row r="39" spans="1:4" x14ac:dyDescent="0.45">
      <c r="A39" s="3" t="s">
        <v>87</v>
      </c>
      <c r="B39" s="4">
        <v>89980215</v>
      </c>
      <c r="C39" s="4">
        <v>505571510</v>
      </c>
      <c r="D39" s="4">
        <f t="shared" si="5"/>
        <v>370504143.16639715</v>
      </c>
    </row>
    <row r="40" spans="1:4" x14ac:dyDescent="0.45">
      <c r="A40" s="3" t="s">
        <v>88</v>
      </c>
      <c r="B40" s="4">
        <v>4011136</v>
      </c>
      <c r="C40" s="4">
        <v>2108</v>
      </c>
      <c r="D40" s="4">
        <f t="shared" si="5"/>
        <v>3622918.5709879464</v>
      </c>
    </row>
    <row r="41" spans="1:4" x14ac:dyDescent="0.45">
      <c r="A41" s="3" t="s">
        <v>89</v>
      </c>
      <c r="B41" s="4">
        <v>2571461</v>
      </c>
      <c r="C41" s="4">
        <v>1010216</v>
      </c>
      <c r="D41" s="4">
        <f t="shared" si="5"/>
        <v>2899798.2215114497</v>
      </c>
    </row>
    <row r="42" spans="1:4" x14ac:dyDescent="0.45">
      <c r="A42" s="3"/>
      <c r="B42" s="24">
        <f>SUM(B35:B41)</f>
        <v>1741723863</v>
      </c>
      <c r="C42" s="4">
        <f>SUM(C35:C41)</f>
        <v>2748656891</v>
      </c>
      <c r="D42" s="4">
        <f>SUM(D35:D41)</f>
        <v>3145255145.2888055</v>
      </c>
    </row>
    <row r="44" spans="1:4" x14ac:dyDescent="0.45">
      <c r="A44" s="20" t="s">
        <v>90</v>
      </c>
    </row>
    <row r="45" spans="1:4" x14ac:dyDescent="0.45">
      <c r="A45" s="1" t="s">
        <v>0</v>
      </c>
      <c r="B45" s="1">
        <v>1399</v>
      </c>
      <c r="C45" s="1">
        <v>1400</v>
      </c>
      <c r="D45" s="32">
        <v>1401</v>
      </c>
    </row>
    <row r="46" spans="1:4" x14ac:dyDescent="0.45">
      <c r="A46" s="3" t="s">
        <v>83</v>
      </c>
      <c r="B46" s="5">
        <f>B35/B$42</f>
        <v>0.5328013697886621</v>
      </c>
      <c r="C46" s="5">
        <f>C35/C$42</f>
        <v>0.47233568593119829</v>
      </c>
      <c r="D46" s="5">
        <f>AVERAGE(B46:C46)</f>
        <v>0.50256852785993023</v>
      </c>
    </row>
    <row r="47" spans="1:4" x14ac:dyDescent="0.45">
      <c r="A47" s="3" t="s">
        <v>84</v>
      </c>
      <c r="B47" s="5">
        <f t="shared" ref="B47:C52" si="6">B36/B$42</f>
        <v>1.4774328208190829E-3</v>
      </c>
      <c r="C47" s="5">
        <f t="shared" si="6"/>
        <v>1.7978253365054139E-3</v>
      </c>
      <c r="D47" s="5">
        <f t="shared" ref="D47:D52" si="7">AVERAGE(B47:C47)</f>
        <v>1.6376290786622484E-3</v>
      </c>
    </row>
    <row r="48" spans="1:4" x14ac:dyDescent="0.45">
      <c r="A48" s="3" t="s">
        <v>85</v>
      </c>
      <c r="B48" s="5">
        <f t="shared" si="6"/>
        <v>0.20906773612942112</v>
      </c>
      <c r="C48" s="5">
        <f t="shared" si="6"/>
        <v>0.23646993705479555</v>
      </c>
      <c r="D48" s="5">
        <f t="shared" si="7"/>
        <v>0.22276883659210833</v>
      </c>
    </row>
    <row r="49" spans="1:4" x14ac:dyDescent="0.45">
      <c r="A49" s="3" t="s">
        <v>86</v>
      </c>
      <c r="B49" s="5">
        <f t="shared" si="6"/>
        <v>0.20121251907082588</v>
      </c>
      <c r="C49" s="5">
        <f t="shared" si="6"/>
        <v>0.10509423454991713</v>
      </c>
      <c r="D49" s="5">
        <f t="shared" si="7"/>
        <v>0.1531533768103715</v>
      </c>
    </row>
    <row r="50" spans="1:4" x14ac:dyDescent="0.45">
      <c r="A50" s="3" t="s">
        <v>87</v>
      </c>
      <c r="B50" s="5">
        <f t="shared" si="6"/>
        <v>5.1661584773268966E-2</v>
      </c>
      <c r="C50" s="5">
        <f t="shared" si="6"/>
        <v>0.18393401943160173</v>
      </c>
      <c r="D50" s="5">
        <f t="shared" si="7"/>
        <v>0.11779780210243534</v>
      </c>
    </row>
    <row r="51" spans="1:4" x14ac:dyDescent="0.45">
      <c r="A51" s="3" t="s">
        <v>88</v>
      </c>
      <c r="B51" s="5">
        <f t="shared" si="6"/>
        <v>2.3029689638006641E-3</v>
      </c>
      <c r="C51" s="5">
        <f t="shared" si="6"/>
        <v>7.6692002079353022E-7</v>
      </c>
      <c r="D51" s="5">
        <f t="shared" si="7"/>
        <v>1.1518679419107289E-3</v>
      </c>
    </row>
    <row r="52" spans="1:4" x14ac:dyDescent="0.45">
      <c r="A52" s="3" t="s">
        <v>89</v>
      </c>
      <c r="B52" s="5">
        <f t="shared" si="6"/>
        <v>1.47638845320224E-3</v>
      </c>
      <c r="C52" s="5">
        <f t="shared" si="6"/>
        <v>3.6753077596108014E-4</v>
      </c>
      <c r="D52" s="5">
        <f t="shared" si="7"/>
        <v>9.2195961458166006E-4</v>
      </c>
    </row>
    <row r="53" spans="1:4" x14ac:dyDescent="0.45">
      <c r="B53" s="22"/>
      <c r="C53" s="22"/>
    </row>
    <row r="54" spans="1:4" x14ac:dyDescent="0.45">
      <c r="A54" s="20" t="s">
        <v>91</v>
      </c>
    </row>
    <row r="55" spans="1:4" x14ac:dyDescent="0.45">
      <c r="A55" s="1" t="s">
        <v>0</v>
      </c>
      <c r="B55" s="1">
        <v>1399</v>
      </c>
      <c r="C55" s="1">
        <v>1400</v>
      </c>
      <c r="D55" s="32">
        <v>1401</v>
      </c>
    </row>
    <row r="56" spans="1:4" x14ac:dyDescent="0.45">
      <c r="A56" s="3" t="s">
        <v>92</v>
      </c>
      <c r="B56" s="4">
        <v>246379550</v>
      </c>
      <c r="C56" s="4">
        <v>459230410</v>
      </c>
      <c r="D56" s="4">
        <f>D73*$D$3</f>
        <v>548267917.70508957</v>
      </c>
    </row>
    <row r="57" spans="1:4" x14ac:dyDescent="0.45">
      <c r="A57" s="3" t="s">
        <v>93</v>
      </c>
      <c r="B57" s="4">
        <v>61929222</v>
      </c>
      <c r="C57" s="4">
        <v>58757996</v>
      </c>
      <c r="D57" s="4">
        <f t="shared" ref="D57:D58" si="8">D74*$D$3</f>
        <v>100781241.74834758</v>
      </c>
    </row>
    <row r="58" spans="1:4" x14ac:dyDescent="0.45">
      <c r="A58" s="3" t="s">
        <v>94</v>
      </c>
      <c r="B58" s="4">
        <v>20621861</v>
      </c>
      <c r="C58" s="4">
        <v>17353179</v>
      </c>
      <c r="D58" s="4">
        <f t="shared" si="8"/>
        <v>32113462.666258223</v>
      </c>
    </row>
    <row r="59" spans="1:4" x14ac:dyDescent="0.45">
      <c r="A59" s="3" t="s">
        <v>95</v>
      </c>
      <c r="B59" s="4">
        <f>SUM(B56:B58)</f>
        <v>328930633</v>
      </c>
      <c r="C59" s="4">
        <f>SUM(C56:C58)</f>
        <v>535341585</v>
      </c>
      <c r="D59" s="4">
        <f>SUM(D56:D58)</f>
        <v>681162622.11969531</v>
      </c>
    </row>
    <row r="60" spans="1:4" x14ac:dyDescent="0.45">
      <c r="A60" s="3" t="s">
        <v>96</v>
      </c>
      <c r="B60" s="4">
        <f>B8*B59</f>
        <v>75535557.889597639</v>
      </c>
      <c r="C60" s="4">
        <f>C8*C59</f>
        <v>113563957.66743006</v>
      </c>
      <c r="D60" s="4">
        <f>D8*D59</f>
        <v>150459769.36437023</v>
      </c>
    </row>
    <row r="61" spans="1:4" x14ac:dyDescent="0.45">
      <c r="A61" s="3" t="s">
        <v>98</v>
      </c>
      <c r="B61" s="24">
        <f>B59-B60</f>
        <v>253395075.11040235</v>
      </c>
      <c r="C61" s="4">
        <f>C59-C60</f>
        <v>421777627.33256996</v>
      </c>
      <c r="D61" s="4">
        <f>D59-D60</f>
        <v>530702852.75532508</v>
      </c>
    </row>
    <row r="62" spans="1:4" x14ac:dyDescent="0.45">
      <c r="A62" s="3" t="s">
        <v>97</v>
      </c>
      <c r="B62" s="24">
        <f>-0.03*B6</f>
        <v>-46304981.100000001</v>
      </c>
      <c r="C62" s="4">
        <f>-0.03*C6</f>
        <v>-73016837.549999997</v>
      </c>
      <c r="D62" s="4">
        <f>-0.03*D6</f>
        <v>-83585508.772535339</v>
      </c>
    </row>
    <row r="63" spans="1:4" x14ac:dyDescent="0.45">
      <c r="A63" s="3" t="s">
        <v>99</v>
      </c>
      <c r="B63" s="24">
        <f>B61+B62</f>
        <v>207090094.01040235</v>
      </c>
      <c r="C63" s="4">
        <f>C61+C62</f>
        <v>348760789.78256994</v>
      </c>
      <c r="D63" s="4">
        <f>D61+D62</f>
        <v>447117343.98278975</v>
      </c>
    </row>
    <row r="64" spans="1:4" x14ac:dyDescent="0.45">
      <c r="A64" s="3" t="s">
        <v>100</v>
      </c>
      <c r="B64" s="4">
        <v>2342102</v>
      </c>
      <c r="C64" s="4">
        <v>3624348</v>
      </c>
      <c r="D64" s="4">
        <f>D81*$D$3</f>
        <v>4727624.0649073953</v>
      </c>
    </row>
    <row r="65" spans="1:5" x14ac:dyDescent="0.45">
      <c r="A65" s="3" t="s">
        <v>101</v>
      </c>
      <c r="B65" s="4">
        <v>209431793</v>
      </c>
      <c r="C65" s="4">
        <v>352385138</v>
      </c>
      <c r="D65" s="4">
        <f>D63+D64</f>
        <v>451844968.04769713</v>
      </c>
      <c r="E65" s="22"/>
    </row>
    <row r="66" spans="1:5" x14ac:dyDescent="0.45">
      <c r="A66" s="3" t="s">
        <v>102</v>
      </c>
      <c r="B66" s="4">
        <v>7303552</v>
      </c>
      <c r="C66" s="4">
        <v>10943140</v>
      </c>
      <c r="D66" s="4">
        <f>D83*$D$3</f>
        <v>14507977.111527022</v>
      </c>
    </row>
    <row r="67" spans="1:5" x14ac:dyDescent="0.45">
      <c r="A67" s="3" t="s">
        <v>103</v>
      </c>
      <c r="B67" s="4">
        <f>B65+B66</f>
        <v>216735345</v>
      </c>
      <c r="C67" s="4">
        <f>C65+C66</f>
        <v>363328278</v>
      </c>
      <c r="D67" s="4">
        <f>D65+D66</f>
        <v>466352945.15922415</v>
      </c>
    </row>
    <row r="68" spans="1:5" x14ac:dyDescent="0.45">
      <c r="A68" s="3" t="s">
        <v>104</v>
      </c>
      <c r="B68" s="24">
        <f>B65-32204278</f>
        <v>177227515</v>
      </c>
      <c r="C68" s="4">
        <f>C65-40837249</f>
        <v>311547889</v>
      </c>
      <c r="D68" s="4"/>
    </row>
    <row r="69" spans="1:5" x14ac:dyDescent="0.45">
      <c r="A69" s="3" t="s">
        <v>105</v>
      </c>
      <c r="B69" s="24">
        <f>B65-B68</f>
        <v>32204278</v>
      </c>
      <c r="C69" s="4">
        <f>C65-C68</f>
        <v>40837249</v>
      </c>
      <c r="D69" s="4"/>
    </row>
    <row r="70" spans="1:5" x14ac:dyDescent="0.45">
      <c r="A70" s="29"/>
      <c r="B70" s="35"/>
      <c r="C70" s="36"/>
      <c r="D70" s="36"/>
    </row>
    <row r="71" spans="1:5" x14ac:dyDescent="0.45">
      <c r="A71" s="20" t="s">
        <v>144</v>
      </c>
    </row>
    <row r="72" spans="1:5" x14ac:dyDescent="0.45">
      <c r="A72" s="1" t="s">
        <v>0</v>
      </c>
      <c r="B72" s="1">
        <v>1399</v>
      </c>
      <c r="C72" s="1">
        <v>1400</v>
      </c>
      <c r="D72" s="32">
        <v>1401</v>
      </c>
    </row>
    <row r="73" spans="1:5" x14ac:dyDescent="0.45">
      <c r="A73" s="3" t="s">
        <v>92</v>
      </c>
      <c r="B73" s="5">
        <f>B56/B$3</f>
        <v>0.12296798318229334</v>
      </c>
      <c r="C73" s="5">
        <f>C56/C$3</f>
        <v>0.14865565458771576</v>
      </c>
      <c r="D73" s="5">
        <f>AVERAGE(B73:C73)</f>
        <v>0.13581181888500454</v>
      </c>
    </row>
    <row r="74" spans="1:5" x14ac:dyDescent="0.45">
      <c r="A74" s="3" t="s">
        <v>93</v>
      </c>
      <c r="B74" s="5">
        <f t="shared" ref="B74:C86" si="9">B57/B$3</f>
        <v>3.090886207637164E-2</v>
      </c>
      <c r="C74" s="5">
        <f t="shared" si="9"/>
        <v>1.9020317834880281E-2</v>
      </c>
      <c r="D74" s="5">
        <f t="shared" ref="D74:D86" si="10">AVERAGE(B74:C74)</f>
        <v>2.4964589955625963E-2</v>
      </c>
    </row>
    <row r="75" spans="1:5" x14ac:dyDescent="0.45">
      <c r="A75" s="3" t="s">
        <v>94</v>
      </c>
      <c r="B75" s="5">
        <f t="shared" si="9"/>
        <v>1.0292366621481332E-2</v>
      </c>
      <c r="C75" s="5">
        <f t="shared" si="9"/>
        <v>5.6173287466367971E-3</v>
      </c>
      <c r="D75" s="5">
        <f t="shared" si="10"/>
        <v>7.9548476840590639E-3</v>
      </c>
    </row>
    <row r="76" spans="1:5" x14ac:dyDescent="0.45">
      <c r="A76" s="3" t="s">
        <v>95</v>
      </c>
      <c r="B76" s="5">
        <f t="shared" si="9"/>
        <v>0.16416921188014633</v>
      </c>
      <c r="C76" s="5">
        <f t="shared" si="9"/>
        <v>0.17329330116923283</v>
      </c>
      <c r="D76" s="5">
        <f t="shared" si="10"/>
        <v>0.16873125652468957</v>
      </c>
    </row>
    <row r="77" spans="1:5" x14ac:dyDescent="0.45">
      <c r="A77" s="3" t="s">
        <v>96</v>
      </c>
      <c r="B77" s="5">
        <f t="shared" si="9"/>
        <v>3.7699781545315704E-2</v>
      </c>
      <c r="C77" s="5">
        <f t="shared" si="9"/>
        <v>3.6761338310813206E-2</v>
      </c>
      <c r="D77" s="5">
        <f t="shared" si="10"/>
        <v>3.7230559928064455E-2</v>
      </c>
    </row>
    <row r="78" spans="1:5" x14ac:dyDescent="0.45">
      <c r="A78" s="3" t="s">
        <v>98</v>
      </c>
      <c r="B78" s="5">
        <f t="shared" si="9"/>
        <v>0.1264694303348306</v>
      </c>
      <c r="C78" s="5">
        <f t="shared" si="9"/>
        <v>0.13653196285841962</v>
      </c>
      <c r="D78" s="5">
        <f t="shared" si="10"/>
        <v>0.13150069659662511</v>
      </c>
    </row>
    <row r="79" spans="1:5" x14ac:dyDescent="0.45">
      <c r="A79" s="3" t="s">
        <v>97</v>
      </c>
      <c r="B79" s="5">
        <f t="shared" si="9"/>
        <v>-2.3110806628071245E-2</v>
      </c>
      <c r="C79" s="5">
        <f t="shared" si="9"/>
        <v>-2.3635990878566063E-2</v>
      </c>
      <c r="D79" s="5">
        <f t="shared" si="10"/>
        <v>-2.3373398753318654E-2</v>
      </c>
    </row>
    <row r="80" spans="1:5" x14ac:dyDescent="0.45">
      <c r="A80" s="3" t="s">
        <v>99</v>
      </c>
      <c r="B80" s="5">
        <f t="shared" si="9"/>
        <v>0.10335862370675936</v>
      </c>
      <c r="C80" s="5">
        <f t="shared" si="9"/>
        <v>0.11289597197985356</v>
      </c>
      <c r="D80" s="5">
        <f t="shared" si="10"/>
        <v>0.10812729784330646</v>
      </c>
    </row>
    <row r="81" spans="1:4" x14ac:dyDescent="0.45">
      <c r="A81" s="3" t="s">
        <v>100</v>
      </c>
      <c r="B81" s="5">
        <f t="shared" si="9"/>
        <v>1.1689426307792817E-3</v>
      </c>
      <c r="C81" s="5">
        <f t="shared" si="9"/>
        <v>1.1732233159247412E-3</v>
      </c>
      <c r="D81" s="5">
        <f t="shared" si="10"/>
        <v>1.1710829733520113E-3</v>
      </c>
    </row>
    <row r="82" spans="1:4" x14ac:dyDescent="0.45">
      <c r="A82" s="3" t="s">
        <v>101</v>
      </c>
      <c r="B82" s="5">
        <f t="shared" si="9"/>
        <v>0.10452736519512898</v>
      </c>
      <c r="C82" s="5">
        <f t="shared" si="9"/>
        <v>0.11406919536616172</v>
      </c>
      <c r="D82" s="5">
        <f t="shared" si="10"/>
        <v>0.10929828028064535</v>
      </c>
    </row>
    <row r="83" spans="1:4" x14ac:dyDescent="0.45">
      <c r="A83" s="3" t="s">
        <v>102</v>
      </c>
      <c r="B83" s="5">
        <f t="shared" si="9"/>
        <v>3.6452013144232338E-3</v>
      </c>
      <c r="C83" s="5">
        <f t="shared" si="9"/>
        <v>3.5423604459143194E-3</v>
      </c>
      <c r="D83" s="5">
        <f t="shared" si="10"/>
        <v>3.5937808801687768E-3</v>
      </c>
    </row>
    <row r="84" spans="1:4" x14ac:dyDescent="0.45">
      <c r="A84" s="3" t="s">
        <v>103</v>
      </c>
      <c r="B84" s="5">
        <f t="shared" si="9"/>
        <v>0.10817256650955222</v>
      </c>
      <c r="C84" s="5">
        <f t="shared" si="9"/>
        <v>0.11761155581207604</v>
      </c>
      <c r="D84" s="5">
        <f t="shared" si="10"/>
        <v>0.11289206116081413</v>
      </c>
    </row>
    <row r="85" spans="1:4" x14ac:dyDescent="0.45">
      <c r="A85" s="3" t="s">
        <v>104</v>
      </c>
      <c r="B85" s="5">
        <f t="shared" si="9"/>
        <v>8.8454216609940392E-2</v>
      </c>
      <c r="C85" s="5">
        <f t="shared" si="9"/>
        <v>0.10084993146406834</v>
      </c>
      <c r="D85" s="5">
        <f t="shared" si="10"/>
        <v>9.4652074037004374E-2</v>
      </c>
    </row>
    <row r="86" spans="1:4" x14ac:dyDescent="0.45">
      <c r="A86" s="3" t="s">
        <v>105</v>
      </c>
      <c r="B86" s="5">
        <f t="shared" si="9"/>
        <v>1.6073148585188581E-2</v>
      </c>
      <c r="C86" s="5">
        <f t="shared" si="9"/>
        <v>1.3219263902093376E-2</v>
      </c>
      <c r="D86" s="5">
        <f t="shared" si="10"/>
        <v>1.4646206243640977E-2</v>
      </c>
    </row>
    <row r="88" spans="1:4" x14ac:dyDescent="0.45">
      <c r="A88" s="20" t="s">
        <v>106</v>
      </c>
    </row>
    <row r="89" spans="1:4" x14ac:dyDescent="0.45">
      <c r="A89" s="1" t="s">
        <v>0</v>
      </c>
      <c r="B89" s="1">
        <v>1399</v>
      </c>
      <c r="C89" s="1">
        <v>1400</v>
      </c>
      <c r="D89" s="32">
        <v>1401</v>
      </c>
    </row>
    <row r="90" spans="1:4" x14ac:dyDescent="0.45">
      <c r="A90" s="3" t="s">
        <v>107</v>
      </c>
      <c r="B90" s="5">
        <f>B68/B42</f>
        <v>0.10175408327628799</v>
      </c>
      <c r="C90" s="5">
        <f>C68/C42</f>
        <v>0.11334549976758085</v>
      </c>
      <c r="D90" s="5">
        <f>AVERAGE(B90:C90)</f>
        <v>0.10754979152193442</v>
      </c>
    </row>
    <row r="91" spans="1:4" x14ac:dyDescent="0.45">
      <c r="A91" s="3" t="s">
        <v>108</v>
      </c>
      <c r="B91" s="5">
        <f>B65/B42</f>
        <v>0.12024397061384236</v>
      </c>
      <c r="C91" s="5">
        <f>C65/C42</f>
        <v>0.12820266478287048</v>
      </c>
      <c r="D91" s="5">
        <f t="shared" ref="D91:D92" si="11">AVERAGE(B91:C91)</f>
        <v>0.12422331769835643</v>
      </c>
    </row>
    <row r="92" spans="1:4" x14ac:dyDescent="0.45">
      <c r="A92" s="3" t="s">
        <v>109</v>
      </c>
      <c r="B92" s="5">
        <f>B56/B21</f>
        <v>0.15604221474657737</v>
      </c>
      <c r="C92" s="5">
        <f>C56/C21</f>
        <v>0.17494187703893671</v>
      </c>
      <c r="D92" s="5">
        <f t="shared" si="11"/>
        <v>0.16549204589275704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"/>
  <sheetViews>
    <sheetView rightToLeft="1" workbookViewId="0">
      <selection activeCell="J8" sqref="J8"/>
    </sheetView>
  </sheetViews>
  <sheetFormatPr defaultRowHeight="18" x14ac:dyDescent="0.45"/>
  <cols>
    <col min="1" max="1" width="23.85546875" style="6" bestFit="1" customWidth="1"/>
    <col min="2" max="2" width="14.42578125" style="6" bestFit="1" customWidth="1"/>
    <col min="3" max="4" width="12" style="6" bestFit="1" customWidth="1"/>
    <col min="5" max="5" width="12" style="6" customWidth="1"/>
    <col min="6" max="6" width="13.42578125" style="6" bestFit="1" customWidth="1"/>
    <col min="7" max="8" width="12" style="6" bestFit="1" customWidth="1"/>
    <col min="9" max="9" width="9.140625" style="6"/>
    <col min="10" max="12" width="12" style="6" bestFit="1" customWidth="1"/>
    <col min="13" max="16384" width="9.140625" style="6"/>
  </cols>
  <sheetData>
    <row r="1" spans="1:12" x14ac:dyDescent="0.45">
      <c r="A1" s="38"/>
      <c r="B1" s="39">
        <v>1399</v>
      </c>
      <c r="C1" s="37"/>
      <c r="D1" s="38"/>
      <c r="E1" s="40"/>
      <c r="F1" s="39"/>
      <c r="G1" s="39">
        <v>1400</v>
      </c>
      <c r="H1" s="39"/>
      <c r="I1" s="44"/>
      <c r="J1" s="45"/>
      <c r="K1" s="45">
        <v>1401</v>
      </c>
      <c r="L1" s="45"/>
    </row>
    <row r="2" spans="1:12" x14ac:dyDescent="0.45">
      <c r="A2" s="3" t="s">
        <v>0</v>
      </c>
      <c r="B2" s="3" t="s">
        <v>110</v>
      </c>
      <c r="C2" s="3" t="s">
        <v>111</v>
      </c>
      <c r="D2" s="3" t="s">
        <v>65</v>
      </c>
      <c r="E2" s="42"/>
      <c r="F2" s="3" t="s">
        <v>110</v>
      </c>
      <c r="G2" s="3" t="s">
        <v>111</v>
      </c>
      <c r="H2" s="3" t="s">
        <v>65</v>
      </c>
      <c r="I2" s="44"/>
      <c r="J2" s="3" t="s">
        <v>110</v>
      </c>
      <c r="K2" s="3" t="s">
        <v>111</v>
      </c>
      <c r="L2" s="3" t="s">
        <v>65</v>
      </c>
    </row>
    <row r="3" spans="1:12" x14ac:dyDescent="0.45">
      <c r="A3" s="3" t="s">
        <v>146</v>
      </c>
      <c r="B3" s="4">
        <v>246379550</v>
      </c>
      <c r="C3" s="4">
        <v>116592658</v>
      </c>
      <c r="D3" s="4">
        <f>B3+C3</f>
        <v>362972208</v>
      </c>
      <c r="E3" s="43"/>
      <c r="F3" s="4">
        <v>459230410</v>
      </c>
      <c r="G3" s="4">
        <v>137989937</v>
      </c>
      <c r="H3" s="4">
        <f>F3+G3</f>
        <v>597220347</v>
      </c>
      <c r="I3" s="44"/>
      <c r="J3" s="4">
        <f>'تفاوت سود قطعی و علی الخساب'!D56</f>
        <v>548267917.70508957</v>
      </c>
      <c r="K3" s="4">
        <f>G3</f>
        <v>137989937</v>
      </c>
      <c r="L3" s="4">
        <f>J3+K3</f>
        <v>686257854.70508957</v>
      </c>
    </row>
    <row r="4" spans="1:12" x14ac:dyDescent="0.45">
      <c r="A4" s="3" t="s">
        <v>93</v>
      </c>
      <c r="B4" s="4">
        <v>61929222</v>
      </c>
      <c r="C4" s="4">
        <v>14726768</v>
      </c>
      <c r="D4" s="4">
        <f t="shared" ref="D4" si="0">B4+C4</f>
        <v>76655990</v>
      </c>
      <c r="E4" s="43"/>
      <c r="F4" s="4">
        <v>58757996</v>
      </c>
      <c r="G4" s="4">
        <v>4815040</v>
      </c>
      <c r="H4" s="4">
        <f t="shared" ref="H4:H5" si="1">F4+G4</f>
        <v>63573036</v>
      </c>
      <c r="I4" s="44"/>
      <c r="J4" s="4">
        <f>'تفاوت سود قطعی و علی الخساب'!D57</f>
        <v>100781241.74834758</v>
      </c>
      <c r="K4" s="4">
        <f>G4</f>
        <v>4815040</v>
      </c>
      <c r="L4" s="4">
        <f t="shared" ref="L4" si="2">J4+K4</f>
        <v>105596281.74834758</v>
      </c>
    </row>
    <row r="5" spans="1:12" x14ac:dyDescent="0.45">
      <c r="A5" s="3" t="s">
        <v>65</v>
      </c>
      <c r="B5" s="4">
        <f>B3+B4</f>
        <v>308308772</v>
      </c>
      <c r="C5" s="4">
        <f>C3+C4</f>
        <v>131319426</v>
      </c>
      <c r="D5" s="4">
        <f>D3+D4</f>
        <v>439628198</v>
      </c>
      <c r="E5" s="41"/>
      <c r="F5" s="4">
        <f>F3+F4</f>
        <v>517988406</v>
      </c>
      <c r="G5" s="4">
        <f>G3+G4</f>
        <v>142804977</v>
      </c>
      <c r="H5" s="4">
        <f t="shared" si="1"/>
        <v>660793383</v>
      </c>
      <c r="I5" s="44"/>
      <c r="J5" s="4">
        <f>J3+J4</f>
        <v>649049159.45343709</v>
      </c>
      <c r="K5" s="4">
        <f>K3+K4</f>
        <v>142804977</v>
      </c>
      <c r="L5" s="4">
        <f>J5+K5</f>
        <v>791854136.45343709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rightToLeft="1" topLeftCell="A13" workbookViewId="0">
      <selection activeCell="F32" sqref="F32"/>
    </sheetView>
  </sheetViews>
  <sheetFormatPr defaultRowHeight="18" x14ac:dyDescent="0.45"/>
  <cols>
    <col min="1" max="1" width="34.140625" style="6" bestFit="1" customWidth="1"/>
    <col min="2" max="2" width="13.5703125" style="6" bestFit="1" customWidth="1"/>
    <col min="3" max="3" width="12.85546875" style="6" bestFit="1" customWidth="1"/>
    <col min="4" max="4" width="13.42578125" style="6" bestFit="1" customWidth="1"/>
    <col min="5" max="5" width="13.5703125" style="6" bestFit="1" customWidth="1"/>
    <col min="6" max="6" width="13.5703125" style="6" customWidth="1"/>
    <col min="7" max="7" width="15.85546875" style="6" bestFit="1" customWidth="1"/>
    <col min="8" max="9" width="13.5703125" style="6" bestFit="1" customWidth="1"/>
    <col min="10" max="10" width="13.42578125" style="6" bestFit="1" customWidth="1"/>
    <col min="11" max="12" width="13.5703125" style="6" bestFit="1" customWidth="1"/>
    <col min="13" max="13" width="5.42578125" style="6" bestFit="1" customWidth="1"/>
    <col min="14" max="14" width="13.5703125" style="6" bestFit="1" customWidth="1"/>
    <col min="15" max="15" width="5.5703125" style="6" bestFit="1" customWidth="1"/>
    <col min="16" max="16" width="13.42578125" style="6" bestFit="1" customWidth="1"/>
    <col min="17" max="17" width="6.28515625" style="6" bestFit="1" customWidth="1"/>
    <col min="18" max="16384" width="9.140625" style="6"/>
  </cols>
  <sheetData>
    <row r="1" spans="1:17" x14ac:dyDescent="0.45">
      <c r="A1" s="20" t="s">
        <v>114</v>
      </c>
    </row>
    <row r="2" spans="1:17" x14ac:dyDescent="0.45">
      <c r="A2" s="27"/>
      <c r="B2" s="28"/>
      <c r="C2" s="28">
        <v>1400</v>
      </c>
      <c r="D2" s="28"/>
      <c r="E2" s="28"/>
      <c r="F2" s="51"/>
      <c r="G2" s="53"/>
      <c r="H2" s="54"/>
      <c r="I2" s="54">
        <v>1401</v>
      </c>
      <c r="J2" s="54"/>
      <c r="K2" s="54"/>
      <c r="M2" s="27"/>
      <c r="N2" s="27"/>
      <c r="O2" s="27">
        <v>1400</v>
      </c>
      <c r="P2" s="27"/>
      <c r="Q2" s="27"/>
    </row>
    <row r="3" spans="1:17" x14ac:dyDescent="0.45">
      <c r="A3" s="27" t="s">
        <v>115</v>
      </c>
      <c r="B3" s="27" t="s">
        <v>116</v>
      </c>
      <c r="C3" s="27" t="s">
        <v>117</v>
      </c>
      <c r="D3" s="27" t="s">
        <v>118</v>
      </c>
      <c r="E3" s="27" t="s">
        <v>65</v>
      </c>
      <c r="F3" s="52"/>
      <c r="G3" s="27" t="s">
        <v>115</v>
      </c>
      <c r="H3" s="27" t="s">
        <v>116</v>
      </c>
      <c r="I3" s="27" t="s">
        <v>117</v>
      </c>
      <c r="J3" s="27" t="s">
        <v>118</v>
      </c>
      <c r="K3" s="27" t="s">
        <v>65</v>
      </c>
      <c r="M3" s="27" t="s">
        <v>115</v>
      </c>
      <c r="N3" s="27" t="s">
        <v>116</v>
      </c>
      <c r="O3" s="27" t="s">
        <v>117</v>
      </c>
      <c r="P3" s="27" t="s">
        <v>118</v>
      </c>
      <c r="Q3" s="27" t="s">
        <v>65</v>
      </c>
    </row>
    <row r="4" spans="1:17" x14ac:dyDescent="0.45">
      <c r="A4" s="4">
        <v>2995639277</v>
      </c>
      <c r="B4" s="4">
        <v>0</v>
      </c>
      <c r="C4" s="4">
        <v>298272633</v>
      </c>
      <c r="D4" s="4">
        <v>0</v>
      </c>
      <c r="E4" s="4">
        <f>SUM(A4:D4)</f>
        <v>3293911910</v>
      </c>
      <c r="F4" s="41"/>
      <c r="G4" s="4">
        <f>M4*$K$4</f>
        <v>4117174852.6821566</v>
      </c>
      <c r="H4" s="4">
        <f t="shared" ref="H4:J4" si="0">N4*$K$4</f>
        <v>0</v>
      </c>
      <c r="I4" s="4">
        <f t="shared" si="0"/>
        <v>409942743.52709186</v>
      </c>
      <c r="J4" s="4">
        <f t="shared" si="0"/>
        <v>0</v>
      </c>
      <c r="K4" s="4">
        <f>B6*پنل!E4*1000000</f>
        <v>4527117596.2092485</v>
      </c>
      <c r="M4" s="5">
        <f>A4/$E$4</f>
        <v>0.90944729514639633</v>
      </c>
      <c r="N4" s="5">
        <f>B4/$E$4</f>
        <v>0</v>
      </c>
      <c r="O4" s="5">
        <f>C4/$E$4</f>
        <v>9.0552704853603685E-2</v>
      </c>
      <c r="P4" s="5">
        <f>D4/$E$4</f>
        <v>0</v>
      </c>
      <c r="Q4" s="5">
        <f>E4/$E$4</f>
        <v>1</v>
      </c>
    </row>
    <row r="5" spans="1:17" x14ac:dyDescent="0.45">
      <c r="A5" s="36"/>
      <c r="B5" s="36"/>
      <c r="C5" s="36"/>
      <c r="D5" s="36"/>
      <c r="E5" s="36"/>
      <c r="F5" s="36"/>
      <c r="H5" s="30"/>
      <c r="I5" s="30"/>
      <c r="J5" s="30"/>
      <c r="K5" s="30"/>
      <c r="L5" s="30"/>
    </row>
    <row r="6" spans="1:17" x14ac:dyDescent="0.45">
      <c r="A6" s="50" t="s">
        <v>153</v>
      </c>
      <c r="B6" s="30">
        <f>E4/('متغیرهای کلان تاریخی'!G21*1000000)</f>
        <v>6.8162499896532613E-2</v>
      </c>
      <c r="C6" s="36"/>
      <c r="D6" s="36"/>
      <c r="E6" s="36"/>
      <c r="F6" s="36"/>
      <c r="H6" s="30"/>
      <c r="I6" s="30"/>
      <c r="J6" s="30"/>
      <c r="K6" s="30"/>
      <c r="L6" s="30"/>
    </row>
    <row r="7" spans="1:17" x14ac:dyDescent="0.45">
      <c r="A7" s="55"/>
      <c r="B7" s="56">
        <v>1400</v>
      </c>
      <c r="C7" s="55"/>
      <c r="D7" s="55"/>
      <c r="E7" s="57"/>
      <c r="F7" s="58">
        <v>1401</v>
      </c>
      <c r="G7" s="57"/>
    </row>
    <row r="8" spans="1:17" x14ac:dyDescent="0.45">
      <c r="A8" s="27" t="s">
        <v>119</v>
      </c>
      <c r="B8" s="27" t="s">
        <v>115</v>
      </c>
      <c r="C8" s="27" t="s">
        <v>116</v>
      </c>
      <c r="D8" s="27" t="s">
        <v>117</v>
      </c>
      <c r="E8" s="53" t="s">
        <v>115</v>
      </c>
      <c r="F8" s="53" t="s">
        <v>116</v>
      </c>
      <c r="G8" s="53" t="s">
        <v>117</v>
      </c>
    </row>
    <row r="9" spans="1:17" x14ac:dyDescent="0.45">
      <c r="A9" s="4" t="s">
        <v>120</v>
      </c>
      <c r="B9" s="4">
        <f>-0.015*A4</f>
        <v>-44934589.155000001</v>
      </c>
      <c r="C9" s="4"/>
      <c r="D9" s="4"/>
      <c r="E9" s="4">
        <f>B12*G4</f>
        <v>-61757622.790232353</v>
      </c>
      <c r="F9" s="4"/>
      <c r="G9" s="4"/>
    </row>
    <row r="10" spans="1:17" x14ac:dyDescent="0.45">
      <c r="A10" s="4" t="s">
        <v>121</v>
      </c>
      <c r="B10" s="4"/>
      <c r="C10" s="4"/>
      <c r="D10" s="4">
        <v>-59654473</v>
      </c>
      <c r="E10" s="4"/>
      <c r="F10" s="4"/>
      <c r="G10" s="48">
        <f>-D12*I4</f>
        <v>-81988475.038146809</v>
      </c>
    </row>
    <row r="11" spans="1:17" x14ac:dyDescent="0.45">
      <c r="A11" s="4" t="s">
        <v>123</v>
      </c>
      <c r="B11" s="4">
        <f>B9+D10</f>
        <v>-104589062.155</v>
      </c>
      <c r="C11" s="4"/>
      <c r="D11" s="4"/>
      <c r="E11" s="4"/>
      <c r="F11" s="4"/>
      <c r="G11" s="4">
        <f>E9+G10</f>
        <v>-143746097.82837915</v>
      </c>
    </row>
    <row r="12" spans="1:17" x14ac:dyDescent="0.45">
      <c r="A12" s="4" t="s">
        <v>122</v>
      </c>
      <c r="B12" s="5">
        <f>B9/A4</f>
        <v>-1.5000000000000001E-2</v>
      </c>
      <c r="C12" s="4"/>
      <c r="D12" s="5">
        <f>-D10/C4</f>
        <v>0.19999982029863261</v>
      </c>
      <c r="E12" s="4"/>
      <c r="F12" s="4"/>
      <c r="G12" s="4"/>
    </row>
    <row r="13" spans="1:17" x14ac:dyDescent="0.45">
      <c r="A13" s="59" t="s">
        <v>154</v>
      </c>
      <c r="B13" s="59">
        <f>-G11+B11</f>
        <v>39157035.673379153</v>
      </c>
      <c r="C13" s="4"/>
      <c r="D13" s="4"/>
      <c r="E13" s="4"/>
      <c r="F13" s="4"/>
      <c r="G13" s="4"/>
    </row>
    <row r="14" spans="1:17" x14ac:dyDescent="0.45">
      <c r="A14" s="25"/>
      <c r="B14" s="17"/>
      <c r="C14" s="17"/>
      <c r="D14" s="17"/>
      <c r="E14" s="17"/>
      <c r="F14" s="17"/>
    </row>
    <row r="15" spans="1:17" x14ac:dyDescent="0.45">
      <c r="D15" s="22" t="s">
        <v>112</v>
      </c>
    </row>
    <row r="16" spans="1:17" x14ac:dyDescent="0.45">
      <c r="A16" s="20" t="s">
        <v>124</v>
      </c>
    </row>
    <row r="17" spans="1:17" x14ac:dyDescent="0.45">
      <c r="A17" s="26"/>
      <c r="B17" s="26"/>
      <c r="C17" s="26">
        <v>1400</v>
      </c>
      <c r="D17" s="26"/>
      <c r="E17" s="26"/>
      <c r="F17" s="52"/>
      <c r="G17" s="46"/>
      <c r="H17" s="46"/>
      <c r="I17" s="46">
        <v>1401</v>
      </c>
      <c r="J17" s="46"/>
      <c r="K17" s="46"/>
      <c r="M17" s="27"/>
      <c r="N17" s="27"/>
      <c r="O17" s="27">
        <v>1400</v>
      </c>
      <c r="P17" s="27"/>
      <c r="Q17" s="27"/>
    </row>
    <row r="18" spans="1:17" x14ac:dyDescent="0.45">
      <c r="A18" s="26" t="s">
        <v>115</v>
      </c>
      <c r="B18" s="26" t="s">
        <v>116</v>
      </c>
      <c r="C18" s="26" t="s">
        <v>117</v>
      </c>
      <c r="D18" s="26" t="s">
        <v>118</v>
      </c>
      <c r="E18" s="26" t="s">
        <v>65</v>
      </c>
      <c r="F18" s="52"/>
      <c r="G18" s="46" t="s">
        <v>115</v>
      </c>
      <c r="H18" s="46" t="s">
        <v>116</v>
      </c>
      <c r="I18" s="46" t="s">
        <v>117</v>
      </c>
      <c r="J18" s="46" t="s">
        <v>118</v>
      </c>
      <c r="K18" s="46" t="s">
        <v>65</v>
      </c>
      <c r="M18" s="27" t="s">
        <v>115</v>
      </c>
      <c r="N18" s="27" t="s">
        <v>116</v>
      </c>
      <c r="O18" s="27" t="s">
        <v>117</v>
      </c>
      <c r="P18" s="27" t="s">
        <v>118</v>
      </c>
      <c r="Q18" s="27" t="s">
        <v>65</v>
      </c>
    </row>
    <row r="19" spans="1:17" x14ac:dyDescent="0.45">
      <c r="A19" s="4">
        <v>3728682282</v>
      </c>
      <c r="B19" s="4">
        <v>38257825</v>
      </c>
      <c r="C19" s="4">
        <v>13214703</v>
      </c>
      <c r="D19" s="4">
        <v>452438160</v>
      </c>
      <c r="E19" s="4">
        <f>SUM(A19:D19)</f>
        <v>4232592970</v>
      </c>
      <c r="F19" s="52"/>
      <c r="G19" s="4">
        <f>M19*$K$19</f>
        <v>5124661384.6196795</v>
      </c>
      <c r="H19" s="4">
        <f t="shared" ref="H19:J19" si="1">N19*$K$19</f>
        <v>52581148.944628</v>
      </c>
      <c r="I19" s="4">
        <f t="shared" si="1"/>
        <v>18162147.657427531</v>
      </c>
      <c r="J19" s="4">
        <f t="shared" si="1"/>
        <v>621826208.86559629</v>
      </c>
      <c r="K19" s="4">
        <f>B20*پنل!E4*1000000</f>
        <v>5817230890.0873318</v>
      </c>
      <c r="M19" s="23">
        <f>A19/$E$19</f>
        <v>0.880945157833119</v>
      </c>
      <c r="N19" s="23">
        <f t="shared" ref="N19:Q19" si="2">B19/$E$19</f>
        <v>9.0388622934371131E-3</v>
      </c>
      <c r="O19" s="23">
        <f t="shared" si="2"/>
        <v>3.1221294118437284E-3</v>
      </c>
      <c r="P19" s="23">
        <f t="shared" si="2"/>
        <v>0.10689385046160013</v>
      </c>
      <c r="Q19" s="23">
        <f t="shared" si="2"/>
        <v>1</v>
      </c>
    </row>
    <row r="20" spans="1:17" x14ac:dyDescent="0.45">
      <c r="A20" s="17" t="s">
        <v>155</v>
      </c>
      <c r="B20" s="23">
        <f>E19/('متغیرهای کلان تاریخی'!$G$21*1000000)</f>
        <v>8.7587077542607888E-2</v>
      </c>
      <c r="C20" s="17"/>
      <c r="D20" s="17"/>
      <c r="E20" s="17"/>
      <c r="F20" s="17"/>
      <c r="H20" s="23"/>
      <c r="I20" s="23"/>
      <c r="J20" s="23"/>
      <c r="K20" s="23"/>
      <c r="L20" s="23"/>
    </row>
    <row r="21" spans="1:17" x14ac:dyDescent="0.45">
      <c r="A21" s="17"/>
      <c r="B21" s="23"/>
      <c r="C21" s="17"/>
      <c r="D21" s="17"/>
      <c r="E21" s="17"/>
      <c r="F21" s="17"/>
      <c r="H21" s="23"/>
      <c r="I21" s="23"/>
      <c r="J21" s="23"/>
      <c r="K21" s="23"/>
      <c r="L21" s="23"/>
    </row>
    <row r="22" spans="1:17" x14ac:dyDescent="0.45">
      <c r="A22" s="26"/>
      <c r="B22" s="27"/>
      <c r="C22" s="28">
        <v>1400</v>
      </c>
      <c r="D22" s="28"/>
      <c r="E22" s="60"/>
      <c r="F22" s="53"/>
      <c r="G22" s="54">
        <v>1401</v>
      </c>
      <c r="H22" s="54"/>
      <c r="I22" s="61"/>
    </row>
    <row r="23" spans="1:17" x14ac:dyDescent="0.45">
      <c r="A23" s="26" t="s">
        <v>119</v>
      </c>
      <c r="B23" s="26" t="s">
        <v>115</v>
      </c>
      <c r="C23" s="26" t="s">
        <v>116</v>
      </c>
      <c r="D23" s="26" t="s">
        <v>117</v>
      </c>
      <c r="E23" s="26" t="s">
        <v>118</v>
      </c>
      <c r="F23" s="26" t="s">
        <v>115</v>
      </c>
      <c r="G23" s="26" t="s">
        <v>116</v>
      </c>
      <c r="H23" s="26" t="s">
        <v>117</v>
      </c>
      <c r="I23" s="26" t="s">
        <v>118</v>
      </c>
    </row>
    <row r="24" spans="1:17" x14ac:dyDescent="0.45">
      <c r="A24" s="4" t="s">
        <v>120</v>
      </c>
      <c r="B24" s="4">
        <v>55930234</v>
      </c>
      <c r="C24" s="4"/>
      <c r="D24" s="4"/>
      <c r="E24" s="4"/>
      <c r="F24" s="4">
        <f>B26*G19</f>
        <v>76869920.453185633</v>
      </c>
      <c r="G24" s="4"/>
      <c r="H24" s="4"/>
      <c r="I24" s="4"/>
    </row>
    <row r="25" spans="1:17" x14ac:dyDescent="0.45">
      <c r="A25" s="3" t="s">
        <v>121</v>
      </c>
      <c r="B25" s="4"/>
      <c r="C25" s="4">
        <v>2754563</v>
      </c>
      <c r="D25" s="4">
        <v>2246500</v>
      </c>
      <c r="E25" s="3">
        <v>359560323</v>
      </c>
      <c r="F25" s="4"/>
      <c r="G25" s="4">
        <f>C26*H19</f>
        <v>3785842.1742574582</v>
      </c>
      <c r="H25" s="4">
        <f t="shared" ref="H25:I25" si="3">D26*I19</f>
        <v>3087565.7752134837</v>
      </c>
      <c r="I25" s="4">
        <f t="shared" si="3"/>
        <v>494175894.6892969</v>
      </c>
    </row>
    <row r="26" spans="1:17" x14ac:dyDescent="0.45">
      <c r="A26" s="3" t="s">
        <v>122</v>
      </c>
      <c r="B26" s="5">
        <f>B24/A19</f>
        <v>1.499999993831601E-2</v>
      </c>
      <c r="C26" s="5">
        <f>C25/B19</f>
        <v>7.199998954462257E-2</v>
      </c>
      <c r="D26" s="5">
        <f t="shared" ref="D26" si="4">D25/C19</f>
        <v>0.17000003707991015</v>
      </c>
      <c r="E26" s="5">
        <f>E25/D19</f>
        <v>0.79471705702277629</v>
      </c>
      <c r="F26" s="4"/>
      <c r="G26" s="5"/>
      <c r="H26" s="5"/>
      <c r="I26" s="5"/>
    </row>
    <row r="27" spans="1:17" x14ac:dyDescent="0.45">
      <c r="A27" s="3" t="s">
        <v>65</v>
      </c>
      <c r="B27" s="4">
        <f>B24+C25+D25+E25</f>
        <v>420491620</v>
      </c>
      <c r="C27" s="4"/>
      <c r="D27" s="4"/>
      <c r="E27" s="3"/>
      <c r="F27" s="4">
        <f>F24+G25+H25+I25</f>
        <v>577919223.09195352</v>
      </c>
      <c r="G27" s="4"/>
      <c r="H27" s="4"/>
      <c r="I27" s="3"/>
    </row>
    <row r="28" spans="1:17" x14ac:dyDescent="0.45">
      <c r="A28" s="3" t="s">
        <v>125</v>
      </c>
      <c r="B28" s="4">
        <f>E19-B27</f>
        <v>3812101350</v>
      </c>
      <c r="C28" s="4"/>
      <c r="D28" s="4"/>
      <c r="E28" s="3"/>
      <c r="F28" s="4"/>
      <c r="G28" s="4"/>
      <c r="H28" s="4"/>
      <c r="I28" s="3"/>
    </row>
    <row r="29" spans="1:17" x14ac:dyDescent="0.45">
      <c r="A29" s="62" t="s">
        <v>154</v>
      </c>
      <c r="B29" s="63">
        <f>F27-B27</f>
        <v>157427603.09195352</v>
      </c>
      <c r="C29" s="3"/>
      <c r="D29" s="3"/>
      <c r="E29" s="3"/>
      <c r="F29" s="3"/>
      <c r="G29" s="3"/>
      <c r="H29" s="3"/>
      <c r="I29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rightToLeft="1" workbookViewId="0">
      <selection activeCell="D6" sqref="D6"/>
    </sheetView>
  </sheetViews>
  <sheetFormatPr defaultRowHeight="18" x14ac:dyDescent="0.45"/>
  <cols>
    <col min="1" max="1" width="23.5703125" style="6" bestFit="1" customWidth="1"/>
    <col min="2" max="2" width="13.42578125" style="6" bestFit="1" customWidth="1"/>
    <col min="3" max="3" width="12" style="6" bestFit="1" customWidth="1"/>
    <col min="4" max="4" width="14.42578125" style="6" bestFit="1" customWidth="1"/>
    <col min="5" max="16384" width="9.140625" style="6"/>
  </cols>
  <sheetData>
    <row r="1" spans="1:4" x14ac:dyDescent="0.45">
      <c r="A1" s="1" t="s">
        <v>0</v>
      </c>
      <c r="B1" s="1">
        <v>1399</v>
      </c>
      <c r="C1" s="1">
        <v>1400</v>
      </c>
      <c r="D1" s="32">
        <v>1401</v>
      </c>
    </row>
    <row r="2" spans="1:4" x14ac:dyDescent="0.45">
      <c r="A2" s="3" t="s">
        <v>126</v>
      </c>
      <c r="B2" s="4">
        <v>83130745</v>
      </c>
      <c r="C2" s="4">
        <v>95037662</v>
      </c>
      <c r="D2" s="48">
        <f>C2*(1+پنل!E5)</f>
        <v>114045194.39999999</v>
      </c>
    </row>
    <row r="3" spans="1:4" x14ac:dyDescent="0.45">
      <c r="A3" s="3" t="s">
        <v>127</v>
      </c>
      <c r="B3" s="4">
        <v>109715533</v>
      </c>
      <c r="C3" s="4">
        <v>146072948</v>
      </c>
      <c r="D3" s="4">
        <f>C3*(1+پنل!E3)</f>
        <v>204502127.19999999</v>
      </c>
    </row>
    <row r="4" spans="1:4" x14ac:dyDescent="0.45">
      <c r="A4" s="3" t="s">
        <v>65</v>
      </c>
      <c r="B4" s="4">
        <f>B2+B3</f>
        <v>192846278</v>
      </c>
      <c r="C4" s="4">
        <f t="shared" ref="C4:D4" si="0">C2+C3</f>
        <v>241110610</v>
      </c>
      <c r="D4" s="4">
        <f t="shared" si="0"/>
        <v>318547321.59999996</v>
      </c>
    </row>
    <row r="6" spans="1:4" x14ac:dyDescent="0.45">
      <c r="A6" s="20" t="s">
        <v>128</v>
      </c>
    </row>
    <row r="7" spans="1:4" x14ac:dyDescent="0.45">
      <c r="A7" s="1" t="s">
        <v>0</v>
      </c>
      <c r="B7" s="1">
        <v>1400</v>
      </c>
    </row>
    <row r="8" spans="1:4" x14ac:dyDescent="0.45">
      <c r="A8" s="3" t="s">
        <v>126</v>
      </c>
      <c r="B8" s="5">
        <f>C2/B2-1</f>
        <v>0.1432312076596931</v>
      </c>
    </row>
    <row r="9" spans="1:4" x14ac:dyDescent="0.45">
      <c r="A9" s="3" t="s">
        <v>127</v>
      </c>
      <c r="B9" s="5">
        <f>C3/B3-1</f>
        <v>0.33137892152426596</v>
      </c>
    </row>
    <row r="10" spans="1:4" x14ac:dyDescent="0.45">
      <c r="A10" s="3" t="s">
        <v>65</v>
      </c>
      <c r="B10" s="5">
        <f>C4/B4-1</f>
        <v>0.25027359874687338</v>
      </c>
    </row>
    <row r="12" spans="1:4" x14ac:dyDescent="0.45">
      <c r="A12" s="20" t="s">
        <v>126</v>
      </c>
    </row>
    <row r="13" spans="1:4" x14ac:dyDescent="0.45">
      <c r="A13" s="1" t="s">
        <v>0</v>
      </c>
      <c r="B13" s="1">
        <v>1399</v>
      </c>
      <c r="C13" s="1">
        <v>1400</v>
      </c>
    </row>
    <row r="14" spans="1:4" x14ac:dyDescent="0.45">
      <c r="A14" s="3" t="s">
        <v>129</v>
      </c>
      <c r="B14" s="4">
        <v>46552814</v>
      </c>
      <c r="C14" s="4">
        <v>64832461</v>
      </c>
    </row>
    <row r="15" spans="1:4" x14ac:dyDescent="0.45">
      <c r="A15" s="3" t="s">
        <v>130</v>
      </c>
      <c r="B15" s="4">
        <v>3489381</v>
      </c>
      <c r="C15" s="4">
        <v>4482195</v>
      </c>
    </row>
    <row r="16" spans="1:4" x14ac:dyDescent="0.45">
      <c r="A16" s="3" t="s">
        <v>131</v>
      </c>
      <c r="B16" s="4">
        <v>21778204</v>
      </c>
      <c r="C16" s="4">
        <v>15314583</v>
      </c>
    </row>
    <row r="17" spans="1:3" x14ac:dyDescent="0.45">
      <c r="A17" s="3" t="s">
        <v>132</v>
      </c>
      <c r="B17" s="4">
        <v>232669</v>
      </c>
      <c r="C17" s="4">
        <v>380732</v>
      </c>
    </row>
    <row r="18" spans="1:3" x14ac:dyDescent="0.45">
      <c r="A18" s="3" t="s">
        <v>134</v>
      </c>
      <c r="B18" s="4">
        <v>11077676</v>
      </c>
      <c r="C18" s="4">
        <v>10027691</v>
      </c>
    </row>
    <row r="19" spans="1:3" x14ac:dyDescent="0.45">
      <c r="A19" s="3" t="s">
        <v>133</v>
      </c>
      <c r="B19" s="4">
        <f>SUM(B14:B18)</f>
        <v>83130744</v>
      </c>
      <c r="C19" s="4">
        <f>SUM(C14:C18)</f>
        <v>95037662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rightToLeft="1" topLeftCell="A13" workbookViewId="0">
      <selection activeCell="I20" sqref="I20"/>
    </sheetView>
  </sheetViews>
  <sheetFormatPr defaultRowHeight="18" x14ac:dyDescent="0.45"/>
  <cols>
    <col min="1" max="1" width="5.5703125" style="6" bestFit="1" customWidth="1"/>
    <col min="2" max="2" width="12.140625" style="6" bestFit="1" customWidth="1"/>
    <col min="3" max="3" width="24.42578125" style="6" bestFit="1" customWidth="1"/>
    <col min="4" max="4" width="8" style="6" bestFit="1" customWidth="1"/>
    <col min="5" max="5" width="33" style="6" bestFit="1" customWidth="1"/>
    <col min="6" max="6" width="36.5703125" style="6" bestFit="1" customWidth="1"/>
    <col min="7" max="7" width="23.7109375" style="6" bestFit="1" customWidth="1"/>
    <col min="8" max="16384" width="9.140625" style="6"/>
  </cols>
  <sheetData>
    <row r="1" spans="1:7" x14ac:dyDescent="0.45">
      <c r="A1" s="1" t="s">
        <v>135</v>
      </c>
      <c r="B1" s="1" t="s">
        <v>136</v>
      </c>
      <c r="C1" s="1" t="s">
        <v>137</v>
      </c>
      <c r="D1" s="1" t="s">
        <v>138</v>
      </c>
      <c r="E1" s="1" t="s">
        <v>139</v>
      </c>
      <c r="F1" s="1" t="s">
        <v>140</v>
      </c>
      <c r="G1" s="1" t="s">
        <v>141</v>
      </c>
    </row>
    <row r="2" spans="1:7" x14ac:dyDescent="0.45">
      <c r="A2" s="3">
        <v>1381</v>
      </c>
      <c r="B2" s="3">
        <v>8019</v>
      </c>
      <c r="C2" s="3">
        <v>119.61499999999999</v>
      </c>
      <c r="D2" s="3">
        <v>34.78</v>
      </c>
      <c r="E2" s="3">
        <v>147.87200000000001</v>
      </c>
      <c r="F2" s="3">
        <v>234.81700000000001</v>
      </c>
      <c r="G2" s="3">
        <v>417.46900000000005</v>
      </c>
    </row>
    <row r="3" spans="1:7" x14ac:dyDescent="0.45">
      <c r="A3" s="3">
        <v>1382</v>
      </c>
      <c r="B3" s="3">
        <v>8323</v>
      </c>
      <c r="C3" s="3">
        <v>128.71</v>
      </c>
      <c r="D3" s="3">
        <v>38.731999999999999</v>
      </c>
      <c r="E3" s="3">
        <v>178.624</v>
      </c>
      <c r="F3" s="3">
        <v>309.23899999999998</v>
      </c>
      <c r="G3" s="3">
        <v>526.59500000000003</v>
      </c>
    </row>
    <row r="4" spans="1:7" x14ac:dyDescent="0.45">
      <c r="A4" s="3">
        <v>1383</v>
      </c>
      <c r="B4" s="3">
        <v>8747</v>
      </c>
      <c r="C4" s="3">
        <v>151.19999999999999</v>
      </c>
      <c r="D4" s="3">
        <v>44.771999999999998</v>
      </c>
      <c r="E4" s="3">
        <v>208.04300000000001</v>
      </c>
      <c r="F4" s="3">
        <v>433.05200000000002</v>
      </c>
      <c r="G4" s="3">
        <v>685.86699999999996</v>
      </c>
    </row>
    <row r="5" spans="1:7" x14ac:dyDescent="0.45">
      <c r="A5" s="3">
        <v>1384</v>
      </c>
      <c r="B5" s="3">
        <v>9042</v>
      </c>
      <c r="C5" s="3">
        <v>220.541</v>
      </c>
      <c r="D5" s="3">
        <v>50.674999999999997</v>
      </c>
      <c r="E5" s="3">
        <v>267.24299999999999</v>
      </c>
      <c r="F5" s="3">
        <v>603.1</v>
      </c>
      <c r="G5" s="3">
        <v>921.01800000000003</v>
      </c>
    </row>
    <row r="6" spans="1:7" x14ac:dyDescent="0.45">
      <c r="A6" s="3">
        <v>1385</v>
      </c>
      <c r="B6" s="3">
        <v>9226</v>
      </c>
      <c r="C6" s="3">
        <v>279.97500000000002</v>
      </c>
      <c r="D6" s="3">
        <v>61.451000000000001</v>
      </c>
      <c r="E6" s="3">
        <v>353.09300000000002</v>
      </c>
      <c r="F6" s="3">
        <v>869.654</v>
      </c>
      <c r="G6" s="3">
        <v>1284.1980000000001</v>
      </c>
    </row>
    <row r="7" spans="1:7" x14ac:dyDescent="0.45">
      <c r="A7" s="3">
        <v>1386</v>
      </c>
      <c r="B7" s="3">
        <v>9357</v>
      </c>
      <c r="C7" s="3">
        <v>365.49900000000002</v>
      </c>
      <c r="D7" s="3">
        <v>79.909000000000006</v>
      </c>
      <c r="E7" s="3">
        <v>455.798</v>
      </c>
      <c r="F7" s="3">
        <v>1104.585</v>
      </c>
      <c r="G7" s="3">
        <v>1640.2919999999999</v>
      </c>
    </row>
    <row r="8" spans="1:7" x14ac:dyDescent="0.45">
      <c r="A8" s="3">
        <v>1387</v>
      </c>
      <c r="B8" s="3">
        <v>9667</v>
      </c>
      <c r="C8" s="3">
        <v>539.40499999999997</v>
      </c>
      <c r="D8" s="3">
        <v>157.76400000000001</v>
      </c>
      <c r="E8" s="3">
        <v>367.71800000000002</v>
      </c>
      <c r="F8" s="3">
        <v>1375.883</v>
      </c>
      <c r="G8" s="3">
        <v>1901.365</v>
      </c>
    </row>
    <row r="9" spans="1:7" x14ac:dyDescent="0.45">
      <c r="A9" s="3">
        <v>1388</v>
      </c>
      <c r="B9" s="3">
        <v>9979</v>
      </c>
      <c r="C9" s="3">
        <v>603.78399999999999</v>
      </c>
      <c r="D9" s="3">
        <v>192.31299999999999</v>
      </c>
      <c r="E9" s="3">
        <v>409.38299999999998</v>
      </c>
      <c r="F9" s="3">
        <v>1754.192</v>
      </c>
      <c r="G9" s="3">
        <v>2355.8879999999999</v>
      </c>
    </row>
    <row r="10" spans="1:7" x14ac:dyDescent="0.45">
      <c r="A10" s="3">
        <v>1389</v>
      </c>
      <c r="B10" s="3">
        <v>10601</v>
      </c>
      <c r="C10" s="3">
        <v>686.39800000000002</v>
      </c>
      <c r="D10" s="3">
        <v>225.155</v>
      </c>
      <c r="E10" s="3">
        <v>533.56100000000004</v>
      </c>
      <c r="F10" s="3">
        <v>2190.1570000000002</v>
      </c>
      <c r="G10" s="3">
        <v>2948.873</v>
      </c>
    </row>
    <row r="11" spans="1:7" x14ac:dyDescent="0.45">
      <c r="A11" s="3">
        <v>1390</v>
      </c>
      <c r="B11" s="3">
        <v>13568</v>
      </c>
      <c r="C11" s="3">
        <v>764.56799999999998</v>
      </c>
      <c r="D11" s="3">
        <v>263.209</v>
      </c>
      <c r="E11" s="3">
        <v>634.36300000000006</v>
      </c>
      <c r="F11" s="3">
        <v>2644.9789999999998</v>
      </c>
      <c r="G11" s="3">
        <v>3542.5509999999999</v>
      </c>
    </row>
    <row r="12" spans="1:7" x14ac:dyDescent="0.45">
      <c r="A12" s="3">
        <v>1391</v>
      </c>
      <c r="B12" s="3">
        <v>26059</v>
      </c>
      <c r="C12" s="3">
        <v>975.79499999999996</v>
      </c>
      <c r="D12" s="3">
        <v>330.16399999999999</v>
      </c>
      <c r="E12" s="3">
        <v>806.553</v>
      </c>
      <c r="F12" s="3">
        <v>3470.2179999999998</v>
      </c>
      <c r="G12" s="3">
        <v>4606.9349999999995</v>
      </c>
    </row>
    <row r="13" spans="1:7" x14ac:dyDescent="0.45">
      <c r="A13" s="3">
        <v>1392</v>
      </c>
      <c r="B13" s="3">
        <v>31839</v>
      </c>
      <c r="C13" s="3">
        <v>1184.9000000000001</v>
      </c>
      <c r="D13" s="3">
        <v>334.1</v>
      </c>
      <c r="E13" s="3">
        <v>861.9</v>
      </c>
      <c r="F13" s="3">
        <v>5199.5</v>
      </c>
      <c r="G13" s="3">
        <v>6395.5</v>
      </c>
    </row>
    <row r="14" spans="1:7" x14ac:dyDescent="0.45">
      <c r="A14" s="3">
        <v>1393</v>
      </c>
      <c r="B14" s="3">
        <v>32801</v>
      </c>
      <c r="C14" s="3">
        <v>1311.5</v>
      </c>
      <c r="D14" s="3">
        <v>351.7</v>
      </c>
      <c r="E14" s="3">
        <v>855.9</v>
      </c>
      <c r="F14" s="3">
        <v>6616.3</v>
      </c>
      <c r="G14" s="3">
        <v>7823.9</v>
      </c>
    </row>
    <row r="15" spans="1:7" x14ac:dyDescent="0.45">
      <c r="A15" s="3">
        <v>1394</v>
      </c>
      <c r="B15" s="3">
        <v>34510</v>
      </c>
      <c r="C15" s="3">
        <v>1533.6</v>
      </c>
      <c r="D15" s="3">
        <v>371.9</v>
      </c>
      <c r="E15" s="3">
        <v>995.1</v>
      </c>
      <c r="F15" s="3">
        <v>8805.7999999999993</v>
      </c>
      <c r="G15" s="3">
        <v>10172.799999999999</v>
      </c>
    </row>
    <row r="16" spans="1:7" x14ac:dyDescent="0.45">
      <c r="A16" s="3">
        <v>1395</v>
      </c>
      <c r="B16" s="3">
        <v>36440</v>
      </c>
      <c r="C16" s="3">
        <v>1798.3</v>
      </c>
      <c r="D16" s="3">
        <v>393.3</v>
      </c>
      <c r="E16" s="3">
        <v>1237</v>
      </c>
      <c r="F16" s="3">
        <v>10903.6</v>
      </c>
      <c r="G16" s="3">
        <v>12533.9</v>
      </c>
    </row>
    <row r="17" spans="1:7" x14ac:dyDescent="0.45">
      <c r="A17" s="3">
        <v>1396</v>
      </c>
      <c r="B17" s="3">
        <v>40453</v>
      </c>
      <c r="C17" s="3">
        <v>2139.8000000000002</v>
      </c>
      <c r="D17" s="3">
        <v>442.7</v>
      </c>
      <c r="E17" s="3">
        <v>1504</v>
      </c>
      <c r="F17" s="3">
        <v>13353.1</v>
      </c>
      <c r="G17" s="3">
        <v>15299.800000000001</v>
      </c>
    </row>
    <row r="18" spans="1:7" x14ac:dyDescent="0.45">
      <c r="A18" s="3">
        <v>1397</v>
      </c>
      <c r="B18" s="3">
        <v>103377.8486897313</v>
      </c>
      <c r="C18" s="3">
        <v>2656.9</v>
      </c>
      <c r="D18" s="3">
        <v>547.5</v>
      </c>
      <c r="E18" s="3">
        <v>2304.8000000000002</v>
      </c>
      <c r="F18" s="3">
        <v>15976.6</v>
      </c>
      <c r="G18" s="3">
        <v>18828.900000000001</v>
      </c>
    </row>
    <row r="19" spans="1:7" x14ac:dyDescent="0.45">
      <c r="A19" s="3">
        <v>1398</v>
      </c>
      <c r="B19" s="3">
        <v>129184.84722222222</v>
      </c>
      <c r="C19" s="3">
        <v>3528.5</v>
      </c>
      <c r="D19" s="3">
        <v>611.4</v>
      </c>
      <c r="E19" s="3">
        <v>3661.6</v>
      </c>
      <c r="F19" s="3">
        <v>20448.5</v>
      </c>
      <c r="G19" s="3">
        <v>24721.5</v>
      </c>
    </row>
    <row r="20" spans="1:7" x14ac:dyDescent="0.45">
      <c r="A20" s="3">
        <v>1399</v>
      </c>
      <c r="B20" s="3">
        <v>228808.6</v>
      </c>
      <c r="C20" s="3">
        <v>4588.8999999999996</v>
      </c>
      <c r="D20" s="3">
        <v>735</v>
      </c>
      <c r="E20" s="3">
        <v>6174.6</v>
      </c>
      <c r="F20" s="3">
        <v>27852.1</v>
      </c>
      <c r="G20" s="3">
        <v>34761.699999999997</v>
      </c>
    </row>
    <row r="21" spans="1:7" x14ac:dyDescent="0.45">
      <c r="A21" s="3">
        <v>1400</v>
      </c>
      <c r="B21" s="3">
        <v>259476.30960854093</v>
      </c>
      <c r="C21" s="3">
        <v>6039.7</v>
      </c>
      <c r="D21" s="3">
        <v>864.3</v>
      </c>
      <c r="E21" s="3">
        <v>9001.5</v>
      </c>
      <c r="F21" s="3">
        <v>38458.6</v>
      </c>
      <c r="G21" s="3">
        <v>48324.399999999994</v>
      </c>
    </row>
    <row r="22" spans="1:7" x14ac:dyDescent="0.45">
      <c r="A22" s="32">
        <v>1401</v>
      </c>
      <c r="B22" s="32"/>
      <c r="C22" s="32"/>
      <c r="D22" s="32"/>
      <c r="E22" s="32"/>
      <c r="F22" s="32"/>
      <c r="G22" s="33">
        <f>G21*'متغیرهای کلان 1401'!F5/'متغیرهای کلان 1400'!F5</f>
        <v>66416.542865669457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rightToLeft="1" workbookViewId="0">
      <selection activeCell="D6" sqref="D6"/>
    </sheetView>
  </sheetViews>
  <sheetFormatPr defaultRowHeight="15" x14ac:dyDescent="0.25"/>
  <cols>
    <col min="1" max="1" width="3.42578125" bestFit="1" customWidth="1"/>
    <col min="2" max="2" width="24.42578125" bestFit="1" customWidth="1"/>
    <col min="3" max="3" width="7.28515625" bestFit="1" customWidth="1"/>
    <col min="4" max="4" width="33" bestFit="1" customWidth="1"/>
    <col min="5" max="5" width="36.5703125" bestFit="1" customWidth="1"/>
    <col min="6" max="6" width="23.7109375" bestFit="1" customWidth="1"/>
  </cols>
  <sheetData>
    <row r="1" spans="1:6" ht="18" x14ac:dyDescent="0.45">
      <c r="A1" s="1" t="s">
        <v>143</v>
      </c>
      <c r="B1" s="1" t="s">
        <v>137</v>
      </c>
      <c r="C1" s="1" t="s">
        <v>138</v>
      </c>
      <c r="D1" s="1" t="s">
        <v>139</v>
      </c>
      <c r="E1" s="1" t="s">
        <v>140</v>
      </c>
      <c r="F1" s="1" t="s">
        <v>141</v>
      </c>
    </row>
    <row r="2" spans="1:6" ht="18" x14ac:dyDescent="0.45">
      <c r="A2" s="3">
        <v>1</v>
      </c>
      <c r="B2" s="4">
        <v>4652.5</v>
      </c>
      <c r="C2" s="4">
        <v>720.7</v>
      </c>
      <c r="D2" s="4">
        <v>5886.9</v>
      </c>
      <c r="E2" s="4">
        <v>28293.1</v>
      </c>
      <c r="F2" s="4">
        <v>34900.699999999997</v>
      </c>
    </row>
    <row r="3" spans="1:6" ht="18" x14ac:dyDescent="0.45">
      <c r="A3" s="3">
        <v>2</v>
      </c>
      <c r="B3" s="4">
        <v>4930.5</v>
      </c>
      <c r="C3" s="4">
        <v>718.9</v>
      </c>
      <c r="D3" s="4">
        <v>6223.4</v>
      </c>
      <c r="E3" s="4">
        <v>29065.5</v>
      </c>
      <c r="F3" s="4">
        <v>36007.800000000003</v>
      </c>
    </row>
    <row r="4" spans="1:6" ht="18" x14ac:dyDescent="0.45">
      <c r="A4" s="3">
        <v>3</v>
      </c>
      <c r="B4" s="4">
        <v>5009</v>
      </c>
      <c r="C4" s="4">
        <v>715</v>
      </c>
      <c r="D4" s="4">
        <v>6546.9</v>
      </c>
      <c r="E4" s="4">
        <v>29792.1</v>
      </c>
      <c r="F4" s="4">
        <f>E4+D4+C4</f>
        <v>37054</v>
      </c>
    </row>
    <row r="5" spans="1:6" ht="18" x14ac:dyDescent="0.45">
      <c r="A5" s="3">
        <v>4</v>
      </c>
      <c r="B5" s="4">
        <v>5174.5</v>
      </c>
      <c r="C5" s="4">
        <v>721.7</v>
      </c>
      <c r="D5" s="4">
        <v>6776.8</v>
      </c>
      <c r="E5" s="4">
        <v>30701.3</v>
      </c>
      <c r="F5" s="4">
        <f>E5+D5+C5</f>
        <v>38199.799999999996</v>
      </c>
    </row>
    <row r="6" spans="1:6" ht="18" x14ac:dyDescent="0.45">
      <c r="A6" s="3">
        <v>5</v>
      </c>
      <c r="B6" s="4">
        <v>5159.3999999999996</v>
      </c>
      <c r="C6" s="4">
        <v>726.6</v>
      </c>
      <c r="D6" s="4">
        <v>7089.1</v>
      </c>
      <c r="E6" s="4">
        <v>31398.6</v>
      </c>
      <c r="F6" s="4">
        <f t="shared" ref="F6:F13" si="0">E6+D6+C6</f>
        <v>39214.299999999996</v>
      </c>
    </row>
    <row r="7" spans="1:6" ht="18" x14ac:dyDescent="0.45">
      <c r="A7" s="3">
        <v>6</v>
      </c>
      <c r="B7" s="4">
        <v>5189.2</v>
      </c>
      <c r="C7" s="4">
        <v>727.1</v>
      </c>
      <c r="D7" s="4">
        <v>7437.8</v>
      </c>
      <c r="E7" s="4">
        <v>32511.1</v>
      </c>
      <c r="F7" s="4">
        <f t="shared" si="0"/>
        <v>40676</v>
      </c>
    </row>
    <row r="8" spans="1:6" ht="18" x14ac:dyDescent="0.45">
      <c r="A8" s="3">
        <v>7</v>
      </c>
      <c r="B8" s="4">
        <v>5301</v>
      </c>
      <c r="C8" s="4">
        <v>735.1</v>
      </c>
      <c r="D8" s="4">
        <v>7451.7</v>
      </c>
      <c r="E8" s="4">
        <v>34087.4</v>
      </c>
      <c r="F8" s="4">
        <f t="shared" si="0"/>
        <v>42274.2</v>
      </c>
    </row>
    <row r="9" spans="1:6" ht="18" x14ac:dyDescent="0.45">
      <c r="A9" s="3">
        <v>8</v>
      </c>
      <c r="B9" s="4">
        <v>5403.7</v>
      </c>
      <c r="C9" s="4">
        <v>738.6</v>
      </c>
      <c r="D9" s="4">
        <v>7659.7</v>
      </c>
      <c r="E9" s="4">
        <v>34760.699999999997</v>
      </c>
      <c r="F9" s="4">
        <f t="shared" si="0"/>
        <v>43158.999999999993</v>
      </c>
    </row>
    <row r="10" spans="1:6" ht="18" x14ac:dyDescent="0.45">
      <c r="A10" s="3">
        <v>9</v>
      </c>
      <c r="B10" s="4">
        <v>5608.6</v>
      </c>
      <c r="C10" s="4">
        <v>738.8</v>
      </c>
      <c r="D10" s="4">
        <v>8040.2</v>
      </c>
      <c r="E10" s="4">
        <v>35490.9</v>
      </c>
      <c r="F10" s="4">
        <f t="shared" si="0"/>
        <v>44269.9</v>
      </c>
    </row>
    <row r="11" spans="1:6" ht="18" x14ac:dyDescent="0.45">
      <c r="A11" s="3">
        <v>10</v>
      </c>
      <c r="B11" s="4">
        <v>5679.2</v>
      </c>
      <c r="C11" s="4">
        <v>737.1</v>
      </c>
      <c r="D11" s="4">
        <v>7996.7</v>
      </c>
      <c r="E11" s="4">
        <v>36280.800000000003</v>
      </c>
      <c r="F11" s="4">
        <f t="shared" si="0"/>
        <v>45014.6</v>
      </c>
    </row>
    <row r="12" spans="1:6" ht="18" x14ac:dyDescent="0.45">
      <c r="A12" s="3">
        <v>11</v>
      </c>
      <c r="B12" s="4">
        <v>5807.5</v>
      </c>
      <c r="C12" s="4">
        <v>752.1</v>
      </c>
      <c r="D12" s="4">
        <v>8410.2999999999993</v>
      </c>
      <c r="E12" s="4">
        <v>37077.9</v>
      </c>
      <c r="F12" s="4">
        <f t="shared" si="0"/>
        <v>46240.299999999996</v>
      </c>
    </row>
    <row r="13" spans="1:6" ht="18" x14ac:dyDescent="0.45">
      <c r="A13" s="3">
        <v>12</v>
      </c>
      <c r="B13" s="4">
        <v>6039.7</v>
      </c>
      <c r="C13" s="4">
        <v>864.3</v>
      </c>
      <c r="D13" s="4">
        <v>9001.5</v>
      </c>
      <c r="E13" s="4">
        <v>38458.6</v>
      </c>
      <c r="F13" s="4">
        <f t="shared" si="0"/>
        <v>48324.4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پنل</vt:lpstr>
      <vt:lpstr>سود و زیان</vt:lpstr>
      <vt:lpstr>ترازنامه</vt:lpstr>
      <vt:lpstr>تفاوت سود قطعی و علی الخساب</vt:lpstr>
      <vt:lpstr>درآمد</vt:lpstr>
      <vt:lpstr>ذخیره مطالبات </vt:lpstr>
      <vt:lpstr>هزینه عمومی اداری</vt:lpstr>
      <vt:lpstr>متغیرهای کلان تاریخی</vt:lpstr>
      <vt:lpstr>متغیرهای کلان 1400</vt:lpstr>
      <vt:lpstr>متغیرهای کلان 1401</vt:lpstr>
      <vt:lpstr>شعب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2022-10-22T07:23:24Z</dcterms:modified>
</cp:coreProperties>
</file>