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lastic\pekavir\pe\"/>
    </mc:Choice>
  </mc:AlternateContent>
  <bookViews>
    <workbookView xWindow="0" yWindow="0" windowWidth="20490" windowHeight="7650" tabRatio="779"/>
  </bookViews>
  <sheets>
    <sheet name="پنل" sheetId="8" r:id="rId1"/>
    <sheet name="سود و زیان" sheetId="1" r:id="rId2"/>
    <sheet name="ترازنامه" sheetId="10" r:id="rId3"/>
    <sheet name="تولید و فروش" sheetId="2" r:id="rId4"/>
    <sheet name="بهای تمام شده" sheetId="3" r:id="rId5"/>
    <sheet name="مواد مستقیم" sheetId="4" r:id="rId6"/>
    <sheet name="سربار" sheetId="5" r:id="rId7"/>
    <sheet name="هزینه عمومی اداری" sheetId="6" r:id="rId8"/>
    <sheet name="گردش موجودی مواد کالا" sheetId="7" r:id="rId9"/>
    <sheet name="EPS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6" i="3"/>
  <c r="D8" i="3"/>
  <c r="D6" i="3"/>
  <c r="D5" i="3"/>
  <c r="D3" i="5"/>
  <c r="D4" i="3"/>
  <c r="H4" i="3" s="1"/>
  <c r="D4" i="8"/>
  <c r="D3" i="3"/>
  <c r="H3" i="3" s="1"/>
  <c r="D26" i="4"/>
  <c r="D22" i="4"/>
  <c r="D23" i="4"/>
  <c r="D24" i="4"/>
  <c r="D25" i="4"/>
  <c r="D21" i="4"/>
  <c r="F26" i="4"/>
  <c r="G21" i="4"/>
  <c r="F13" i="4"/>
  <c r="G13" i="4" s="1"/>
  <c r="F14" i="4"/>
  <c r="G14" i="4" s="1"/>
  <c r="F15" i="4"/>
  <c r="F16" i="4"/>
  <c r="G16" i="4" s="1"/>
  <c r="F12" i="4"/>
  <c r="G12" i="4" s="1"/>
  <c r="D8" i="4"/>
  <c r="D4" i="4"/>
  <c r="D5" i="4"/>
  <c r="D6" i="4"/>
  <c r="D7" i="4"/>
  <c r="D3" i="4"/>
  <c r="G15" i="4"/>
  <c r="G8" i="4" l="1"/>
  <c r="G4" i="4"/>
  <c r="G5" i="4"/>
  <c r="G6" i="4"/>
  <c r="G7" i="4"/>
  <c r="G3" i="4"/>
  <c r="D31" i="4"/>
  <c r="D32" i="4"/>
  <c r="D33" i="4"/>
  <c r="D34" i="4"/>
  <c r="D35" i="4"/>
  <c r="D30" i="4"/>
  <c r="F31" i="4"/>
  <c r="F32" i="4"/>
  <c r="F33" i="4"/>
  <c r="F34" i="4"/>
  <c r="F35" i="4"/>
  <c r="F30" i="4"/>
  <c r="D21" i="2"/>
  <c r="I21" i="2"/>
  <c r="I15" i="2"/>
  <c r="I9" i="2"/>
  <c r="D5" i="2"/>
  <c r="D3" i="2" s="1"/>
  <c r="I3" i="2" s="1"/>
  <c r="I5" i="2" s="1"/>
  <c r="D6" i="8"/>
  <c r="H22" i="2"/>
  <c r="H21" i="2"/>
  <c r="H11" i="2"/>
  <c r="H5" i="2"/>
  <c r="H23" i="2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2" i="10"/>
  <c r="J2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7" i="1"/>
  <c r="C18" i="1" s="1"/>
  <c r="D17" i="1"/>
  <c r="D18" i="1" s="1"/>
  <c r="E17" i="1"/>
  <c r="C16" i="8" l="1"/>
  <c r="C17" i="8"/>
  <c r="C15" i="8"/>
  <c r="G12" i="6"/>
  <c r="G7" i="6"/>
  <c r="G6" i="6"/>
  <c r="G3" i="6"/>
  <c r="D12" i="5"/>
  <c r="D11" i="5"/>
  <c r="F12" i="6" l="1"/>
  <c r="F7" i="6"/>
  <c r="F6" i="6"/>
  <c r="G9" i="6"/>
  <c r="F9" i="6"/>
  <c r="G5" i="6"/>
  <c r="F5" i="6"/>
  <c r="G4" i="6"/>
  <c r="F4" i="6"/>
  <c r="F3" i="6"/>
  <c r="H12" i="5" l="1"/>
  <c r="H11" i="5"/>
  <c r="H5" i="5"/>
  <c r="D5" i="5" s="1"/>
  <c r="H4" i="5"/>
  <c r="D4" i="5" s="1"/>
  <c r="K31" i="4"/>
  <c r="K32" i="4"/>
  <c r="K29" i="4"/>
  <c r="M21" i="4"/>
  <c r="M20" i="4"/>
  <c r="K22" i="4"/>
  <c r="K15" i="4"/>
  <c r="K17" i="4" s="1"/>
  <c r="K33" i="4" l="1"/>
  <c r="M22" i="4"/>
  <c r="I11" i="2"/>
  <c r="L8" i="2"/>
  <c r="I10" i="2"/>
  <c r="D10" i="2"/>
  <c r="L3" i="2" l="1"/>
  <c r="L4" i="2" s="1"/>
  <c r="K3" i="2"/>
  <c r="K4" i="2" s="1"/>
  <c r="D9" i="2" l="1"/>
  <c r="G23" i="2"/>
  <c r="F23" i="2"/>
  <c r="G11" i="2"/>
  <c r="G5" i="2"/>
  <c r="F11" i="2"/>
  <c r="F5" i="2"/>
  <c r="E13" i="4"/>
  <c r="E14" i="4"/>
  <c r="E15" i="4"/>
  <c r="E16" i="4"/>
  <c r="E12" i="4"/>
  <c r="C13" i="4"/>
  <c r="C14" i="4"/>
  <c r="C15" i="4"/>
  <c r="C16" i="4"/>
  <c r="C12" i="4"/>
  <c r="E26" i="4"/>
  <c r="C26" i="4"/>
  <c r="E8" i="4"/>
  <c r="E17" i="4" l="1"/>
  <c r="D11" i="2"/>
  <c r="C8" i="4"/>
  <c r="C17" i="4" s="1"/>
  <c r="I23" i="2" l="1"/>
  <c r="E15" i="2"/>
  <c r="C11" i="2"/>
  <c r="G11" i="6" s="1"/>
  <c r="C5" i="2"/>
  <c r="H3" i="5" s="1"/>
  <c r="G13" i="6" l="1"/>
  <c r="E5" i="1" s="1"/>
  <c r="F11" i="6"/>
  <c r="F13" i="6" s="1"/>
  <c r="K2" i="1"/>
  <c r="K6" i="1"/>
  <c r="K10" i="1"/>
  <c r="K3" i="1"/>
  <c r="K7" i="1"/>
  <c r="K11" i="1"/>
  <c r="K5" i="1"/>
  <c r="K9" i="1"/>
  <c r="D23" i="2"/>
  <c r="E2" i="1" s="1"/>
  <c r="C33" i="4"/>
  <c r="G33" i="4" s="1"/>
  <c r="C34" i="4"/>
  <c r="G34" i="4" s="1"/>
  <c r="C31" i="4"/>
  <c r="G31" i="4" s="1"/>
  <c r="C35" i="4"/>
  <c r="G35" i="4" s="1"/>
  <c r="C32" i="4"/>
  <c r="G32" i="4" s="1"/>
  <c r="C30" i="4"/>
  <c r="G30" i="4" s="1"/>
  <c r="K4" i="1" l="1"/>
  <c r="M2" i="1"/>
  <c r="M6" i="1"/>
  <c r="M9" i="1"/>
  <c r="M11" i="1"/>
  <c r="M5" i="1"/>
  <c r="M7" i="1"/>
  <c r="M10" i="1"/>
  <c r="L5" i="1"/>
  <c r="L7" i="1"/>
  <c r="L10" i="1"/>
  <c r="L2" i="1"/>
  <c r="L6" i="1"/>
  <c r="L9" i="1"/>
  <c r="L11" i="1"/>
  <c r="G22" i="4"/>
  <c r="G23" i="4"/>
  <c r="G24" i="4"/>
  <c r="G25" i="4"/>
  <c r="K8" i="1" l="1"/>
  <c r="G26" i="4"/>
  <c r="K12" i="1" l="1"/>
  <c r="K13" i="1"/>
  <c r="D6" i="5"/>
  <c r="H6" i="5" l="1"/>
  <c r="H13" i="5" s="1"/>
  <c r="D13" i="5"/>
  <c r="E3" i="1" s="1"/>
  <c r="K14" i="1" l="1"/>
  <c r="E4" i="1"/>
  <c r="M3" i="1"/>
  <c r="L3" i="1" l="1"/>
  <c r="M4" i="1"/>
  <c r="M12" i="1" l="1"/>
  <c r="M8" i="1"/>
  <c r="L4" i="1"/>
  <c r="L8" i="1" l="1"/>
  <c r="L12" i="1" l="1"/>
  <c r="L14" i="1" l="1"/>
  <c r="L13" i="1"/>
  <c r="M13" i="1" l="1"/>
  <c r="M14" i="1" l="1"/>
  <c r="E18" i="1"/>
  <c r="A2" i="11" l="1"/>
  <c r="E32" i="4" l="1"/>
  <c r="E5" i="2"/>
  <c r="E31" i="4" s="1"/>
  <c r="M3" i="2"/>
  <c r="M4" i="2" s="1"/>
  <c r="N3" i="2"/>
  <c r="N4" i="2" s="1"/>
  <c r="E34" i="4" l="1"/>
  <c r="E35" i="4"/>
  <c r="E33" i="4"/>
  <c r="E30" i="4"/>
</calcChain>
</file>

<file path=xl/sharedStrings.xml><?xml version="1.0" encoding="utf-8"?>
<sst xmlns="http://schemas.openxmlformats.org/spreadsheetml/2006/main" count="438" uniqueCount="146">
  <si>
    <t>شرح</t>
  </si>
  <si>
    <t xml:space="preserve">درآمدهای عملیاتی </t>
  </si>
  <si>
    <t xml:space="preserve">بهاى تمام شده درآمدهای عملیاتی </t>
  </si>
  <si>
    <t xml:space="preserve">سود (زيان) ناخالص </t>
  </si>
  <si>
    <t xml:space="preserve">هزينه‏‌هاى فروش، ادارى و عمومى </t>
  </si>
  <si>
    <t xml:space="preserve">ساير درآمدها </t>
  </si>
  <si>
    <t xml:space="preserve">سایر هزینه‌ها </t>
  </si>
  <si>
    <t xml:space="preserve">سود (زيان) عملياتي </t>
  </si>
  <si>
    <t xml:space="preserve">هزينه‏‌هاى مالى </t>
  </si>
  <si>
    <t xml:space="preserve">سایر درآمدها و هزینه‌های غیرعملیاتی- درآمد سرمایه‌گذاری‌ها </t>
  </si>
  <si>
    <t xml:space="preserve">سایر درآمدها و هزینه‌های غیرعملیاتی- اقلام متفرقه </t>
  </si>
  <si>
    <t xml:space="preserve">سود (زيان) خالص </t>
  </si>
  <si>
    <t xml:space="preserve">سود (زیان) خالص هر سهم– ریال </t>
  </si>
  <si>
    <t xml:space="preserve">سرمایه </t>
  </si>
  <si>
    <t>سالانه منتهی به 1400/9</t>
  </si>
  <si>
    <t>سه ماه منتهی به 1400/12</t>
  </si>
  <si>
    <t xml:space="preserve">سود (زيان)  قبل از ماليات </t>
  </si>
  <si>
    <t>مالیات</t>
  </si>
  <si>
    <t>بودجه  9 ماه منتهی به 1401/9</t>
  </si>
  <si>
    <t>تحلیلی 9 ماه منتهی به 1401/09</t>
  </si>
  <si>
    <t>تحلیلی سالانه منتهی به 1401/09</t>
  </si>
  <si>
    <t>واحد</t>
  </si>
  <si>
    <t>م.ر</t>
  </si>
  <si>
    <t>مقدار تولید</t>
  </si>
  <si>
    <t xml:space="preserve">مقدار فروش </t>
  </si>
  <si>
    <t>نرخ فروش</t>
  </si>
  <si>
    <t>مبلغ فروش</t>
  </si>
  <si>
    <t xml:space="preserve">تاير </t>
  </si>
  <si>
    <t xml:space="preserve">فلپ </t>
  </si>
  <si>
    <t xml:space="preserve">جمع </t>
  </si>
  <si>
    <t>تن</t>
  </si>
  <si>
    <t>ر.</t>
  </si>
  <si>
    <t xml:space="preserve"> </t>
  </si>
  <si>
    <t xml:space="preserve">مواد مستقیم مصرفی </t>
  </si>
  <si>
    <t xml:space="preserve">دستمزدمستقيم توليد </t>
  </si>
  <si>
    <t xml:space="preserve">سربارتوليد </t>
  </si>
  <si>
    <t xml:space="preserve">هزينه جذب نشده درتوليد </t>
  </si>
  <si>
    <t xml:space="preserve">جمع هزينه هاي توليد </t>
  </si>
  <si>
    <t xml:space="preserve">خالص موجودی كالاي درجريان ساخت </t>
  </si>
  <si>
    <t xml:space="preserve">ضايعات غيرعادي </t>
  </si>
  <si>
    <t xml:space="preserve">بهاي تمام شده كالاي تولید شده </t>
  </si>
  <si>
    <t xml:space="preserve">موجودي كالاي ساخته شده اول دوره </t>
  </si>
  <si>
    <t xml:space="preserve">موجودي كالاي ساخته شده پايان دوره </t>
  </si>
  <si>
    <t xml:space="preserve">بهاي تمام شده كالاي فروش رفته </t>
  </si>
  <si>
    <t xml:space="preserve">بهاي تمام شده خدمات ارایه شده </t>
  </si>
  <si>
    <t xml:space="preserve">جمع بهای تمام شده </t>
  </si>
  <si>
    <t>مقدار مصرف</t>
  </si>
  <si>
    <t xml:space="preserve">کائو چو طبيعي </t>
  </si>
  <si>
    <t xml:space="preserve">کائو چو مصنوعي </t>
  </si>
  <si>
    <t xml:space="preserve">دوده </t>
  </si>
  <si>
    <t xml:space="preserve">نخ و سيم </t>
  </si>
  <si>
    <t xml:space="preserve">مواد شيميائي و روغن و.... </t>
  </si>
  <si>
    <t>نرخ مصرف</t>
  </si>
  <si>
    <t>جمع</t>
  </si>
  <si>
    <t>مبلغ مصرف</t>
  </si>
  <si>
    <t>ضریب مصرف</t>
  </si>
  <si>
    <t xml:space="preserve">هزینه حقوق و دستمزد </t>
  </si>
  <si>
    <t xml:space="preserve">هزینه استهلاک </t>
  </si>
  <si>
    <t xml:space="preserve">هزینه انرژی (آب، برق، گاز و سوخت) </t>
  </si>
  <si>
    <t xml:space="preserve">هزینه مواد مصرفی </t>
  </si>
  <si>
    <t xml:space="preserve">هزینه تبلیغات </t>
  </si>
  <si>
    <t xml:space="preserve">حق العمل و کمیسیون فروش </t>
  </si>
  <si>
    <t xml:space="preserve">هزینه خدمات پس از فروش </t>
  </si>
  <si>
    <t xml:space="preserve">هزینه مطالبات مشکوک الوصول </t>
  </si>
  <si>
    <t xml:space="preserve">هزینه حمل و نقل و انتقال </t>
  </si>
  <si>
    <t xml:space="preserve">سایر هزینه ها </t>
  </si>
  <si>
    <t>پنح ماه منتهی به 1401/02</t>
  </si>
  <si>
    <t>یک ماه منتهی به 1401/02</t>
  </si>
  <si>
    <t>تولید یکساله 1400</t>
  </si>
  <si>
    <t>تولید 5 ماه</t>
  </si>
  <si>
    <t>تولید 3 ماه</t>
  </si>
  <si>
    <t>فروردین و اردیبهشت</t>
  </si>
  <si>
    <t>ظرفیت طرح توسعه</t>
  </si>
  <si>
    <t>میانگین ماهانه</t>
  </si>
  <si>
    <t>رشد نرخ مالزی</t>
  </si>
  <si>
    <t>رشد بورس کالا</t>
  </si>
  <si>
    <t>گزارش شکربن</t>
  </si>
  <si>
    <t>تناسب</t>
  </si>
  <si>
    <t>دی</t>
  </si>
  <si>
    <t>بهمن</t>
  </si>
  <si>
    <t>میانگین</t>
  </si>
  <si>
    <t>فعلی</t>
  </si>
  <si>
    <t>اسفند</t>
  </si>
  <si>
    <t>رشد</t>
  </si>
  <si>
    <t>مالزی</t>
  </si>
  <si>
    <t>بورس کالا</t>
  </si>
  <si>
    <t>میانگین سه ماه</t>
  </si>
  <si>
    <t>دلار</t>
  </si>
  <si>
    <t>شکربن</t>
  </si>
  <si>
    <t xml:space="preserve">بهمن </t>
  </si>
  <si>
    <t>میانگین دلاری</t>
  </si>
  <si>
    <t>میانگین فعلی</t>
  </si>
  <si>
    <t>رشد دلاری</t>
  </si>
  <si>
    <t>مفروضات</t>
  </si>
  <si>
    <t>نرخ دلار</t>
  </si>
  <si>
    <t>رشد نرخ تایر نسبت به 5 ماه نخست سال مالی 1401</t>
  </si>
  <si>
    <t>تورم نسبت به سال مالی 1400</t>
  </si>
  <si>
    <t>رشد نرخ حمل و نقل</t>
  </si>
  <si>
    <t>رشد دستمزد</t>
  </si>
  <si>
    <t>eps</t>
  </si>
  <si>
    <t>سرمایه جدید</t>
  </si>
  <si>
    <t>سود (زیان) خالص هر سهم– ریال سرمایه جدید</t>
  </si>
  <si>
    <t>قیمت مبنای محاسبه</t>
  </si>
  <si>
    <t>ر</t>
  </si>
  <si>
    <t>p/e</t>
  </si>
  <si>
    <t xml:space="preserve">دارایی‌های ثابت مشهود </t>
  </si>
  <si>
    <t xml:space="preserve">سرمایه‌گذاری در املاک </t>
  </si>
  <si>
    <t xml:space="preserve">دارایی‌های نامشهود </t>
  </si>
  <si>
    <t xml:space="preserve">سرمایه‌گذاری‌های بلندمدت </t>
  </si>
  <si>
    <t xml:space="preserve">دریافتنی‌های بلندمدت </t>
  </si>
  <si>
    <t xml:space="preserve">سایر دارایی‌ها </t>
  </si>
  <si>
    <t xml:space="preserve">جمع دارایی‌های غیرجاری </t>
  </si>
  <si>
    <t xml:space="preserve">سفارشات و پیش‌پرداخت‌ها </t>
  </si>
  <si>
    <t xml:space="preserve">موجودی مواد و کالا </t>
  </si>
  <si>
    <t xml:space="preserve">دریافتنی‌های تجاری و سایر دریافتنی‌ها </t>
  </si>
  <si>
    <t xml:space="preserve">سرمایه‌گذاری‌های کوتاه‌مدت </t>
  </si>
  <si>
    <t xml:space="preserve">موجودی نقد </t>
  </si>
  <si>
    <t xml:space="preserve">جمع دارایی‌های جاری </t>
  </si>
  <si>
    <t xml:space="preserve">جمع دارایی‌ها </t>
  </si>
  <si>
    <t xml:space="preserve">حقوق مالکانه </t>
  </si>
  <si>
    <t xml:space="preserve">سرمايه </t>
  </si>
  <si>
    <t xml:space="preserve">افزایش سرمایه در جریان </t>
  </si>
  <si>
    <t xml:space="preserve">اندوخته قانونی </t>
  </si>
  <si>
    <t xml:space="preserve">ساير اندوخته‌ها </t>
  </si>
  <si>
    <t xml:space="preserve">سود (زيان) انباشته </t>
  </si>
  <si>
    <t xml:space="preserve">سهام خزانه </t>
  </si>
  <si>
    <t xml:space="preserve">جمع حقوق مالکانه </t>
  </si>
  <si>
    <t xml:space="preserve">پرداختنی‌های بلندمدت </t>
  </si>
  <si>
    <t xml:space="preserve">تسهیلات مالی بلندمدت </t>
  </si>
  <si>
    <t xml:space="preserve">ذخیره مزایای پایان خدمت کارکنان </t>
  </si>
  <si>
    <t xml:space="preserve">جمع بدهی‌های غیرجاری </t>
  </si>
  <si>
    <t xml:space="preserve">پرداختنی‌های تجاری و سایر پرداختنی‌ها </t>
  </si>
  <si>
    <t xml:space="preserve">مالیات پرداختنی </t>
  </si>
  <si>
    <t xml:space="preserve">سود سهام پرداختنی </t>
  </si>
  <si>
    <t xml:space="preserve">تسهیلات مالی </t>
  </si>
  <si>
    <t xml:space="preserve">ذخایر </t>
  </si>
  <si>
    <t xml:space="preserve">پیش‌دریافت‌ها </t>
  </si>
  <si>
    <t xml:space="preserve">جمع بدهی‌های جاری </t>
  </si>
  <si>
    <t xml:space="preserve">جمع بدهی‌ها </t>
  </si>
  <si>
    <t xml:space="preserve">جمع حقوق مالکانه و بدهی‌ها </t>
  </si>
  <si>
    <t>یک ماه 1401/3</t>
  </si>
  <si>
    <t>تحلیلی 6 ماه منتهی به 1401/09</t>
  </si>
  <si>
    <t>میزان تولید</t>
  </si>
  <si>
    <t>شش ماه منتهی به 1401/3</t>
  </si>
  <si>
    <t>شش ماه منتهی به 1400/3</t>
  </si>
  <si>
    <t>شش ماه منتهی به 1400/12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</si>
</sst>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3000401]#,##0"/>
    <numFmt numFmtId="165" formatCode="[$-3000401]0"/>
    <numFmt numFmtId="166" formatCode="_(* #,##0_);_(* \(#,##0\);_(* &quot;-&quot;??_);_(@_)"/>
    <numFmt numFmtId="167" formatCode="[$-3000401]#,##0.00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2"/>
      <color theme="1"/>
      <name val="B Nazanin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2" fillId="7" borderId="1" xfId="0" applyNumberFormat="1" applyFont="1" applyFill="1" applyBorder="1"/>
    <xf numFmtId="164" fontId="2" fillId="7" borderId="1" xfId="0" applyNumberFormat="1" applyFont="1" applyFill="1" applyBorder="1" applyAlignment="1">
      <alignment vertical="center" wrapText="1"/>
    </xf>
    <xf numFmtId="165" fontId="2" fillId="7" borderId="1" xfId="0" applyNumberFormat="1" applyFont="1" applyFill="1" applyBorder="1" applyAlignment="1">
      <alignment vertical="center" wrapText="1"/>
    </xf>
    <xf numFmtId="165" fontId="2" fillId="0" borderId="1" xfId="0" applyNumberFormat="1" applyFont="1" applyBorder="1"/>
    <xf numFmtId="43" fontId="2" fillId="0" borderId="0" xfId="1" applyFont="1"/>
    <xf numFmtId="166" fontId="2" fillId="0" borderId="0" xfId="1" applyNumberFormat="1" applyFont="1"/>
    <xf numFmtId="166" fontId="2" fillId="0" borderId="0" xfId="0" applyNumberFormat="1" applyFont="1"/>
    <xf numFmtId="43" fontId="2" fillId="0" borderId="0" xfId="1" applyNumberFormat="1" applyFont="1"/>
    <xf numFmtId="10" fontId="2" fillId="0" borderId="1" xfId="2" applyNumberFormat="1" applyFont="1" applyBorder="1"/>
    <xf numFmtId="0" fontId="5" fillId="6" borderId="1" xfId="0" applyFont="1" applyFill="1" applyBorder="1" applyAlignment="1">
      <alignment horizontal="center" vertical="center" readingOrder="1"/>
    </xf>
    <xf numFmtId="0" fontId="5" fillId="5" borderId="2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167" fontId="2" fillId="0" borderId="1" xfId="0" applyNumberFormat="1" applyFont="1" applyBorder="1"/>
    <xf numFmtId="0" fontId="3" fillId="0" borderId="1" xfId="0" applyFont="1" applyBorder="1"/>
    <xf numFmtId="2" fontId="2" fillId="0" borderId="1" xfId="0" applyNumberFormat="1" applyFont="1" applyBorder="1"/>
    <xf numFmtId="166" fontId="2" fillId="0" borderId="1" xfId="1" applyNumberFormat="1" applyFont="1" applyBorder="1"/>
    <xf numFmtId="166" fontId="2" fillId="8" borderId="1" xfId="1" applyNumberFormat="1" applyFont="1" applyFill="1" applyBorder="1"/>
    <xf numFmtId="166" fontId="2" fillId="0" borderId="1" xfId="0" applyNumberFormat="1" applyFont="1" applyBorder="1"/>
    <xf numFmtId="164" fontId="2" fillId="8" borderId="1" xfId="0" applyNumberFormat="1" applyFont="1" applyFill="1" applyBorder="1"/>
    <xf numFmtId="0" fontId="2" fillId="0" borderId="0" xfId="0" applyFont="1" applyBorder="1"/>
    <xf numFmtId="164" fontId="2" fillId="7" borderId="0" xfId="0" applyNumberFormat="1" applyFont="1" applyFill="1" applyBorder="1" applyAlignment="1">
      <alignment vertical="center" wrapText="1"/>
    </xf>
    <xf numFmtId="165" fontId="2" fillId="7" borderId="0" xfId="0" applyNumberFormat="1" applyFont="1" applyFill="1" applyBorder="1" applyAlignment="1">
      <alignment vertical="center" wrapText="1"/>
    </xf>
    <xf numFmtId="166" fontId="5" fillId="5" borderId="1" xfId="1" applyNumberFormat="1" applyFont="1" applyFill="1" applyBorder="1" applyAlignment="1">
      <alignment horizontal="center" vertical="center"/>
    </xf>
    <xf numFmtId="10" fontId="2" fillId="0" borderId="1" xfId="0" applyNumberFormat="1" applyFont="1" applyBorder="1"/>
    <xf numFmtId="168" fontId="2" fillId="0" borderId="1" xfId="2" applyNumberFormat="1" applyFont="1" applyBorder="1"/>
    <xf numFmtId="43" fontId="2" fillId="0" borderId="1" xfId="1" applyNumberFormat="1" applyFont="1" applyBorder="1"/>
    <xf numFmtId="166" fontId="2" fillId="10" borderId="1" xfId="1" applyNumberFormat="1" applyFont="1" applyFill="1" applyBorder="1"/>
    <xf numFmtId="0" fontId="2" fillId="10" borderId="1" xfId="0" applyFont="1" applyFill="1" applyBorder="1"/>
    <xf numFmtId="164" fontId="3" fillId="0" borderId="0" xfId="0" applyNumberFormat="1" applyFont="1"/>
    <xf numFmtId="9" fontId="2" fillId="0" borderId="1" xfId="2" applyNumberFormat="1" applyFont="1" applyBorder="1"/>
    <xf numFmtId="9" fontId="2" fillId="0" borderId="1" xfId="2" applyFont="1" applyBorder="1"/>
    <xf numFmtId="0" fontId="2" fillId="11" borderId="1" xfId="0" applyFont="1" applyFill="1" applyBorder="1"/>
    <xf numFmtId="166" fontId="2" fillId="11" borderId="1" xfId="1" applyNumberFormat="1" applyFont="1" applyFill="1" applyBorder="1"/>
    <xf numFmtId="166" fontId="2" fillId="3" borderId="1" xfId="1" applyNumberFormat="1" applyFont="1" applyFill="1" applyBorder="1" applyAlignment="1">
      <alignment vertical="center" wrapText="1"/>
    </xf>
    <xf numFmtId="0" fontId="3" fillId="3" borderId="1" xfId="0" applyFont="1" applyFill="1" applyBorder="1"/>
    <xf numFmtId="166" fontId="6" fillId="3" borderId="1" xfId="1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9" borderId="1" xfId="0" applyFont="1" applyFill="1" applyBorder="1"/>
    <xf numFmtId="164" fontId="4" fillId="9" borderId="1" xfId="0" applyNumberFormat="1" applyFont="1" applyFill="1" applyBorder="1"/>
    <xf numFmtId="0" fontId="4" fillId="11" borderId="1" xfId="0" applyFont="1" applyFill="1" applyBorder="1"/>
    <xf numFmtId="164" fontId="4" fillId="11" borderId="1" xfId="0" applyNumberFormat="1" applyFont="1" applyFill="1" applyBorder="1"/>
    <xf numFmtId="168" fontId="2" fillId="0" borderId="1" xfId="2" applyNumberFormat="1" applyFont="1" applyBorder="1" applyAlignment="1">
      <alignment vertical="center" wrapText="1"/>
    </xf>
    <xf numFmtId="168" fontId="2" fillId="3" borderId="1" xfId="2" applyNumberFormat="1" applyFont="1" applyFill="1" applyBorder="1" applyAlignment="1">
      <alignment vertical="center" wrapText="1"/>
    </xf>
    <xf numFmtId="168" fontId="2" fillId="3" borderId="1" xfId="2" applyNumberFormat="1" applyFont="1" applyFill="1" applyBorder="1"/>
    <xf numFmtId="168" fontId="2" fillId="11" borderId="1" xfId="2" applyNumberFormat="1" applyFont="1" applyFill="1" applyBorder="1"/>
    <xf numFmtId="0" fontId="4" fillId="3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66" fontId="4" fillId="11" borderId="1" xfId="1" applyNumberFormat="1" applyFont="1" applyFill="1" applyBorder="1"/>
    <xf numFmtId="43" fontId="4" fillId="0" borderId="1" xfId="1" applyNumberFormat="1" applyFont="1" applyBorder="1"/>
    <xf numFmtId="0" fontId="4" fillId="0" borderId="1" xfId="0" applyFont="1" applyBorder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readingOrder="1"/>
    </xf>
    <xf numFmtId="166" fontId="2" fillId="7" borderId="1" xfId="1" applyNumberFormat="1" applyFont="1" applyFill="1" applyBorder="1"/>
    <xf numFmtId="43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r>
              <a:rPr lang="fa-IR">
                <a:cs typeface="B Nazanin" panose="00000400000000000000" pitchFamily="2" charset="-78"/>
              </a:rPr>
              <a:t>توزیع</a:t>
            </a:r>
            <a:r>
              <a:rPr lang="fa-IR" baseline="0">
                <a:cs typeface="B Nazanin" panose="00000400000000000000" pitchFamily="2" charset="-78"/>
              </a:rPr>
              <a:t> بهای تمام شده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4864869706987E-2"/>
          <c:y val="0.27432469051320163"/>
          <c:w val="0.49522130552793531"/>
          <c:h val="0.653603203330828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FF-45E6-B1D0-0D9A5BAB3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FF-45E6-B1D0-0D9A5BAB37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FF-45E6-B1D0-0D9A5BAB37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'بهای تمام شده'!$A$3:$A$5</c:f>
              <c:strCache>
                <c:ptCount val="3"/>
                <c:pt idx="0">
                  <c:v>مواد مستقیم مصرفی </c:v>
                </c:pt>
                <c:pt idx="1">
                  <c:v>دستمزدمستقيم توليد </c:v>
                </c:pt>
                <c:pt idx="2">
                  <c:v>سربارتوليد </c:v>
                </c:pt>
              </c:strCache>
            </c:strRef>
          </c:cat>
          <c:val>
            <c:numRef>
              <c:f>'بهای تمام شده'!$C$3:$C$5</c:f>
              <c:numCache>
                <c:formatCode>[$-3000401]#,##0</c:formatCode>
                <c:ptCount val="3"/>
                <c:pt idx="0">
                  <c:v>12196301</c:v>
                </c:pt>
                <c:pt idx="1">
                  <c:v>874152</c:v>
                </c:pt>
                <c:pt idx="2">
                  <c:v>1709897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804-93B9-B02ECA4563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133350</xdr:rowOff>
    </xdr:from>
    <xdr:to>
      <xdr:col>2</xdr:col>
      <xdr:colOff>295275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rightToLeft="1" tabSelected="1" workbookViewId="0">
      <selection activeCell="D10" sqref="D10"/>
    </sheetView>
  </sheetViews>
  <sheetFormatPr defaultRowHeight="18" x14ac:dyDescent="0.45"/>
  <cols>
    <col min="1" max="1" width="37" style="1" bestFit="1" customWidth="1"/>
    <col min="2" max="2" width="6.85546875" style="1" customWidth="1"/>
    <col min="3" max="3" width="20.7109375" style="1" bestFit="1" customWidth="1"/>
    <col min="4" max="4" width="28.140625" style="1" bestFit="1" customWidth="1"/>
    <col min="5" max="16384" width="9.140625" style="1"/>
  </cols>
  <sheetData>
    <row r="1" spans="1:4" x14ac:dyDescent="0.45">
      <c r="A1" s="11" t="s">
        <v>93</v>
      </c>
    </row>
    <row r="2" spans="1:4" x14ac:dyDescent="0.45">
      <c r="A2" s="8" t="s">
        <v>0</v>
      </c>
      <c r="B2" s="8" t="s">
        <v>21</v>
      </c>
      <c r="C2" s="8" t="s">
        <v>14</v>
      </c>
      <c r="D2" s="10" t="s">
        <v>20</v>
      </c>
    </row>
    <row r="3" spans="1:4" x14ac:dyDescent="0.45">
      <c r="A3" s="12" t="s">
        <v>94</v>
      </c>
      <c r="B3" s="12" t="s">
        <v>31</v>
      </c>
      <c r="C3" s="29">
        <v>240000</v>
      </c>
      <c r="D3" s="29">
        <v>270000</v>
      </c>
    </row>
    <row r="4" spans="1:4" x14ac:dyDescent="0.45">
      <c r="A4" s="12" t="s">
        <v>98</v>
      </c>
      <c r="B4" s="12"/>
      <c r="C4" s="29"/>
      <c r="D4" s="43">
        <f>'بهای تمام شده'!F4/'بهای تمام شده'!G4-1</f>
        <v>0.66210252697297367</v>
      </c>
    </row>
    <row r="5" spans="1:4" x14ac:dyDescent="0.45">
      <c r="A5" s="12" t="s">
        <v>95</v>
      </c>
      <c r="B5" s="12"/>
      <c r="C5" s="29"/>
      <c r="D5" s="38">
        <v>0.3</v>
      </c>
    </row>
    <row r="6" spans="1:4" x14ac:dyDescent="0.45">
      <c r="A6" s="12" t="s">
        <v>142</v>
      </c>
      <c r="B6" s="12"/>
      <c r="C6" s="29"/>
      <c r="D6" s="29">
        <f>12*2700</f>
        <v>32400</v>
      </c>
    </row>
    <row r="7" spans="1:4" x14ac:dyDescent="0.45">
      <c r="A7" s="12" t="s">
        <v>72</v>
      </c>
      <c r="B7" s="12" t="s">
        <v>30</v>
      </c>
      <c r="C7" s="29"/>
      <c r="D7" s="29">
        <v>3000</v>
      </c>
    </row>
    <row r="8" spans="1:4" x14ac:dyDescent="0.45">
      <c r="A8" s="12" t="s">
        <v>96</v>
      </c>
      <c r="B8" s="12"/>
      <c r="C8" s="29"/>
      <c r="D8" s="44"/>
    </row>
    <row r="9" spans="1:4" x14ac:dyDescent="0.45">
      <c r="A9" s="12" t="s">
        <v>97</v>
      </c>
      <c r="B9" s="12"/>
      <c r="C9" s="29"/>
      <c r="D9" s="44">
        <v>0.35</v>
      </c>
    </row>
    <row r="10" spans="1:4" x14ac:dyDescent="0.45">
      <c r="A10" s="54" t="s">
        <v>99</v>
      </c>
      <c r="B10" s="45" t="s">
        <v>31</v>
      </c>
      <c r="C10" s="46"/>
      <c r="D10" s="62"/>
    </row>
    <row r="11" spans="1:4" x14ac:dyDescent="0.45">
      <c r="A11" s="64" t="s">
        <v>104</v>
      </c>
      <c r="B11" s="12"/>
      <c r="C11" s="29"/>
      <c r="D11" s="63"/>
    </row>
    <row r="12" spans="1:4" x14ac:dyDescent="0.45">
      <c r="A12" s="12" t="s">
        <v>102</v>
      </c>
      <c r="B12" s="12" t="s">
        <v>103</v>
      </c>
      <c r="C12" s="29"/>
      <c r="D12" s="29"/>
    </row>
    <row r="13" spans="1:4" x14ac:dyDescent="0.45">
      <c r="C13" s="19"/>
      <c r="D13" s="19"/>
    </row>
    <row r="15" spans="1:4" x14ac:dyDescent="0.45">
      <c r="A15" s="1" t="s">
        <v>32</v>
      </c>
      <c r="C15" s="31">
        <f>$D$12/B19</f>
        <v>0</v>
      </c>
    </row>
    <row r="16" spans="1:4" x14ac:dyDescent="0.45">
      <c r="C16" s="31">
        <f t="shared" ref="C16:C17" si="0">$D$12/B20</f>
        <v>0</v>
      </c>
    </row>
    <row r="17" spans="2:3" x14ac:dyDescent="0.45">
      <c r="C17" s="31">
        <f t="shared" si="0"/>
        <v>0</v>
      </c>
    </row>
    <row r="19" spans="2:3" x14ac:dyDescent="0.45">
      <c r="B19" s="12">
        <v>4</v>
      </c>
    </row>
    <row r="20" spans="2:3" x14ac:dyDescent="0.45">
      <c r="B20" s="12">
        <v>5.5</v>
      </c>
    </row>
    <row r="21" spans="2:3" x14ac:dyDescent="0.45">
      <c r="B21" s="12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rightToLeft="1" workbookViewId="0">
      <selection activeCell="B6" sqref="B6"/>
    </sheetView>
  </sheetViews>
  <sheetFormatPr defaultRowHeight="15" x14ac:dyDescent="0.25"/>
  <sheetData>
    <row r="1" spans="1:1" x14ac:dyDescent="0.25">
      <c r="A1" t="s">
        <v>99</v>
      </c>
    </row>
    <row r="2" spans="1:1" x14ac:dyDescent="0.25">
      <c r="A2">
        <f>پنل!D10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activeCell="E15" sqref="E15"/>
    </sheetView>
  </sheetViews>
  <sheetFormatPr defaultRowHeight="18.75" x14ac:dyDescent="0.45"/>
  <cols>
    <col min="1" max="1" width="24.5703125" style="2" bestFit="1" customWidth="1"/>
    <col min="2" max="2" width="6.140625" style="2" customWidth="1"/>
    <col min="3" max="3" width="20.7109375" style="2" bestFit="1" customWidth="1"/>
    <col min="4" max="4" width="22.85546875" style="2" bestFit="1" customWidth="1"/>
    <col min="5" max="5" width="28.140625" style="2" bestFit="1" customWidth="1"/>
    <col min="6" max="6" width="11.85546875" style="2" bestFit="1" customWidth="1"/>
    <col min="7" max="7" width="40" style="2" bestFit="1" customWidth="1"/>
    <col min="8" max="16384" width="9.140625" style="2"/>
  </cols>
  <sheetData>
    <row r="1" spans="1:13" x14ac:dyDescent="0.45">
      <c r="A1" s="8" t="s">
        <v>0</v>
      </c>
      <c r="B1" s="8" t="s">
        <v>21</v>
      </c>
      <c r="C1" s="8" t="s">
        <v>14</v>
      </c>
      <c r="D1" s="8" t="s">
        <v>15</v>
      </c>
      <c r="E1" s="10" t="s">
        <v>20</v>
      </c>
      <c r="G1" s="8" t="s">
        <v>0</v>
      </c>
      <c r="H1" s="8" t="s">
        <v>21</v>
      </c>
      <c r="I1" s="8" t="s">
        <v>14</v>
      </c>
      <c r="J1" s="8" t="s">
        <v>15</v>
      </c>
      <c r="K1" s="9" t="s">
        <v>18</v>
      </c>
      <c r="L1" s="10" t="s">
        <v>19</v>
      </c>
      <c r="M1" s="10" t="s">
        <v>20</v>
      </c>
    </row>
    <row r="2" spans="1:13" x14ac:dyDescent="0.45">
      <c r="A2" s="3" t="s">
        <v>1</v>
      </c>
      <c r="B2" s="3" t="s">
        <v>22</v>
      </c>
      <c r="C2" s="4">
        <v>19899740</v>
      </c>
      <c r="D2" s="4">
        <v>5087108</v>
      </c>
      <c r="E2" s="4">
        <f>'تولید و فروش'!D23</f>
        <v>29139930.483843874</v>
      </c>
      <c r="F2" s="42"/>
      <c r="G2" s="3" t="s">
        <v>1</v>
      </c>
      <c r="H2" s="3" t="s">
        <v>22</v>
      </c>
      <c r="I2" s="56">
        <f>C2/C$2</f>
        <v>1</v>
      </c>
      <c r="J2" s="56">
        <f>D2/D$2</f>
        <v>1</v>
      </c>
      <c r="K2" s="56" t="e">
        <f>#REF!/#REF!</f>
        <v>#REF!</v>
      </c>
      <c r="L2" s="56" t="e">
        <f>#REF!/#REF!</f>
        <v>#REF!</v>
      </c>
      <c r="M2" s="56">
        <f>E2/E$2</f>
        <v>1</v>
      </c>
    </row>
    <row r="3" spans="1:13" x14ac:dyDescent="0.45">
      <c r="A3" s="3" t="s">
        <v>2</v>
      </c>
      <c r="B3" s="3" t="s">
        <v>22</v>
      </c>
      <c r="C3" s="4">
        <v>-14625731</v>
      </c>
      <c r="D3" s="4">
        <v>-3989842</v>
      </c>
      <c r="E3" s="4">
        <f>-'بهای تمام شده'!D16</f>
        <v>-22908592.817110896</v>
      </c>
      <c r="F3" s="42"/>
      <c r="G3" s="3" t="s">
        <v>2</v>
      </c>
      <c r="H3" s="3" t="s">
        <v>22</v>
      </c>
      <c r="I3" s="56">
        <f>C3/C$2</f>
        <v>-0.73497095941957036</v>
      </c>
      <c r="J3" s="56">
        <f>D3/D$2</f>
        <v>-0.78430455968302615</v>
      </c>
      <c r="K3" s="56" t="e">
        <f>#REF!/#REF!</f>
        <v>#REF!</v>
      </c>
      <c r="L3" s="56" t="e">
        <f>#REF!/#REF!</f>
        <v>#REF!</v>
      </c>
      <c r="M3" s="56">
        <f t="shared" ref="M3:M14" si="0">E3/E$2</f>
        <v>-0.7861581148867931</v>
      </c>
    </row>
    <row r="4" spans="1:13" x14ac:dyDescent="0.45">
      <c r="A4" s="6" t="s">
        <v>3</v>
      </c>
      <c r="B4" s="6" t="s">
        <v>22</v>
      </c>
      <c r="C4" s="7">
        <v>5274009</v>
      </c>
      <c r="D4" s="7">
        <v>1097266</v>
      </c>
      <c r="E4" s="7">
        <f>E2+E3</f>
        <v>6231337.6667329781</v>
      </c>
      <c r="F4" s="42"/>
      <c r="G4" s="6" t="s">
        <v>3</v>
      </c>
      <c r="H4" s="6" t="s">
        <v>22</v>
      </c>
      <c r="I4" s="57">
        <f>C4/C$2</f>
        <v>0.2650290405804297</v>
      </c>
      <c r="J4" s="57">
        <f>D4/D$2</f>
        <v>0.2156954403169738</v>
      </c>
      <c r="K4" s="57" t="e">
        <f>#REF!/#REF!</f>
        <v>#REF!</v>
      </c>
      <c r="L4" s="57" t="e">
        <f>#REF!/#REF!</f>
        <v>#REF!</v>
      </c>
      <c r="M4" s="57">
        <f t="shared" si="0"/>
        <v>0.21384188511320693</v>
      </c>
    </row>
    <row r="5" spans="1:13" x14ac:dyDescent="0.45">
      <c r="A5" s="3" t="s">
        <v>4</v>
      </c>
      <c r="B5" s="3" t="s">
        <v>22</v>
      </c>
      <c r="C5" s="4">
        <v>-1057212</v>
      </c>
      <c r="D5" s="4">
        <v>-255442</v>
      </c>
      <c r="E5" s="4">
        <f>-'هزینه عمومی اداری'!G13</f>
        <v>-1430030.7628466089</v>
      </c>
      <c r="F5" s="42"/>
      <c r="G5" s="3" t="s">
        <v>4</v>
      </c>
      <c r="H5" s="3" t="s">
        <v>22</v>
      </c>
      <c r="I5" s="56">
        <f>C5/C$2</f>
        <v>-5.312692527641065E-2</v>
      </c>
      <c r="J5" s="56">
        <f>D5/D$2</f>
        <v>-5.0213598767708492E-2</v>
      </c>
      <c r="K5" s="56" t="e">
        <f>#REF!/#REF!</f>
        <v>#REF!</v>
      </c>
      <c r="L5" s="56" t="e">
        <f>#REF!/#REF!</f>
        <v>#REF!</v>
      </c>
      <c r="M5" s="56">
        <f t="shared" si="0"/>
        <v>-4.9074611335791087E-2</v>
      </c>
    </row>
    <row r="6" spans="1:13" x14ac:dyDescent="0.45">
      <c r="A6" s="3" t="s">
        <v>5</v>
      </c>
      <c r="B6" s="3" t="s">
        <v>22</v>
      </c>
      <c r="C6" s="5">
        <v>140</v>
      </c>
      <c r="D6" s="4">
        <v>32808</v>
      </c>
      <c r="E6" s="4"/>
      <c r="F6" s="42"/>
      <c r="G6" s="3" t="s">
        <v>5</v>
      </c>
      <c r="H6" s="3" t="s">
        <v>22</v>
      </c>
      <c r="I6" s="56">
        <f>C6/C$2</f>
        <v>7.0352677974687109E-6</v>
      </c>
      <c r="J6" s="56">
        <f>D6/D$2</f>
        <v>6.4492438532855996E-3</v>
      </c>
      <c r="K6" s="56" t="e">
        <f>#REF!/#REF!</f>
        <v>#REF!</v>
      </c>
      <c r="L6" s="56" t="e">
        <f>#REF!/#REF!</f>
        <v>#REF!</v>
      </c>
      <c r="M6" s="56">
        <f t="shared" si="0"/>
        <v>0</v>
      </c>
    </row>
    <row r="7" spans="1:13" x14ac:dyDescent="0.45">
      <c r="A7" s="3" t="s">
        <v>6</v>
      </c>
      <c r="B7" s="3" t="s">
        <v>22</v>
      </c>
      <c r="C7" s="5">
        <v>0</v>
      </c>
      <c r="D7" s="5">
        <v>0</v>
      </c>
      <c r="E7" s="5"/>
      <c r="F7" s="42"/>
      <c r="G7" s="3" t="s">
        <v>6</v>
      </c>
      <c r="H7" s="3" t="s">
        <v>22</v>
      </c>
      <c r="I7" s="56">
        <f>C7/C$2</f>
        <v>0</v>
      </c>
      <c r="J7" s="56">
        <f>D7/D$2</f>
        <v>0</v>
      </c>
      <c r="K7" s="56" t="e">
        <f>#REF!/#REF!</f>
        <v>#REF!</v>
      </c>
      <c r="L7" s="56" t="e">
        <f>#REF!/#REF!</f>
        <v>#REF!</v>
      </c>
      <c r="M7" s="56">
        <f t="shared" si="0"/>
        <v>0</v>
      </c>
    </row>
    <row r="8" spans="1:13" x14ac:dyDescent="0.45">
      <c r="A8" s="6" t="s">
        <v>7</v>
      </c>
      <c r="B8" s="6" t="s">
        <v>22</v>
      </c>
      <c r="C8" s="7">
        <v>4216937</v>
      </c>
      <c r="D8" s="7">
        <v>874632</v>
      </c>
      <c r="E8" s="7"/>
      <c r="F8" s="42"/>
      <c r="G8" s="6" t="s">
        <v>7</v>
      </c>
      <c r="H8" s="6" t="s">
        <v>22</v>
      </c>
      <c r="I8" s="57">
        <f>C8/C$2</f>
        <v>0.21190915057181653</v>
      </c>
      <c r="J8" s="57">
        <f>D8/D$2</f>
        <v>0.17193108540255092</v>
      </c>
      <c r="K8" s="57" t="e">
        <f>#REF!/#REF!</f>
        <v>#REF!</v>
      </c>
      <c r="L8" s="57" t="e">
        <f>#REF!/#REF!</f>
        <v>#REF!</v>
      </c>
      <c r="M8" s="57">
        <f t="shared" si="0"/>
        <v>0</v>
      </c>
    </row>
    <row r="9" spans="1:13" x14ac:dyDescent="0.45">
      <c r="A9" s="3" t="s">
        <v>8</v>
      </c>
      <c r="B9" s="3" t="s">
        <v>22</v>
      </c>
      <c r="C9" s="4">
        <v>-962932</v>
      </c>
      <c r="D9" s="4">
        <v>-345683</v>
      </c>
      <c r="E9" s="4"/>
      <c r="F9" s="42"/>
      <c r="G9" s="3" t="s">
        <v>8</v>
      </c>
      <c r="H9" s="3" t="s">
        <v>22</v>
      </c>
      <c r="I9" s="56">
        <f>C9/C$2</f>
        <v>-4.838917493394386E-2</v>
      </c>
      <c r="J9" s="56">
        <f>D9/D$2</f>
        <v>-6.7952754295760975E-2</v>
      </c>
      <c r="K9" s="56" t="e">
        <f>#REF!/#REF!</f>
        <v>#REF!</v>
      </c>
      <c r="L9" s="56" t="e">
        <f>#REF!/#REF!</f>
        <v>#REF!</v>
      </c>
      <c r="M9" s="56">
        <f t="shared" si="0"/>
        <v>0</v>
      </c>
    </row>
    <row r="10" spans="1:13" ht="29.25" customHeight="1" x14ac:dyDescent="0.45">
      <c r="A10" s="3" t="s">
        <v>9</v>
      </c>
      <c r="B10" s="3" t="s">
        <v>22</v>
      </c>
      <c r="C10" s="4">
        <v>155423</v>
      </c>
      <c r="D10" s="4">
        <v>35659</v>
      </c>
      <c r="E10" s="4"/>
      <c r="F10" s="42"/>
      <c r="G10" s="3" t="s">
        <v>9</v>
      </c>
      <c r="H10" s="3" t="s">
        <v>22</v>
      </c>
      <c r="I10" s="56">
        <f>C10/C$2</f>
        <v>7.8103030491855673E-3</v>
      </c>
      <c r="J10" s="56">
        <f>D10/D$2</f>
        <v>7.0096801561909047E-3</v>
      </c>
      <c r="K10" s="56" t="e">
        <f>#REF!/#REF!</f>
        <v>#REF!</v>
      </c>
      <c r="L10" s="56" t="e">
        <f>#REF!/#REF!</f>
        <v>#REF!</v>
      </c>
      <c r="M10" s="56">
        <f t="shared" si="0"/>
        <v>0</v>
      </c>
    </row>
    <row r="11" spans="1:13" ht="35.25" customHeight="1" x14ac:dyDescent="0.45">
      <c r="A11" s="3" t="s">
        <v>10</v>
      </c>
      <c r="B11" s="3" t="s">
        <v>22</v>
      </c>
      <c r="C11" s="5">
        <v>0</v>
      </c>
      <c r="D11" s="5">
        <v>0</v>
      </c>
      <c r="E11" s="5"/>
      <c r="F11" s="42"/>
      <c r="G11" s="3" t="s">
        <v>10</v>
      </c>
      <c r="H11" s="3" t="s">
        <v>22</v>
      </c>
      <c r="I11" s="56">
        <f>C11/C$2</f>
        <v>0</v>
      </c>
      <c r="J11" s="56">
        <f>D11/D$2</f>
        <v>0</v>
      </c>
      <c r="K11" s="56" t="e">
        <f>#REF!/#REF!</f>
        <v>#REF!</v>
      </c>
      <c r="L11" s="56" t="e">
        <f>#REF!/#REF!</f>
        <v>#REF!</v>
      </c>
      <c r="M11" s="56">
        <f t="shared" si="0"/>
        <v>0</v>
      </c>
    </row>
    <row r="12" spans="1:13" x14ac:dyDescent="0.45">
      <c r="A12" s="6" t="s">
        <v>16</v>
      </c>
      <c r="B12" s="6" t="s">
        <v>22</v>
      </c>
      <c r="C12" s="7">
        <v>3409428</v>
      </c>
      <c r="D12" s="7">
        <v>564608</v>
      </c>
      <c r="E12" s="7"/>
      <c r="F12" s="42"/>
      <c r="G12" s="6" t="s">
        <v>16</v>
      </c>
      <c r="H12" s="6" t="s">
        <v>22</v>
      </c>
      <c r="I12" s="57">
        <f>C12/C$2</f>
        <v>0.17133027868705822</v>
      </c>
      <c r="J12" s="57">
        <f>D12/D$2</f>
        <v>0.11098801126298086</v>
      </c>
      <c r="K12" s="57" t="e">
        <f>#REF!/#REF!</f>
        <v>#REF!</v>
      </c>
      <c r="L12" s="57" t="e">
        <f>#REF!/#REF!</f>
        <v>#REF!</v>
      </c>
      <c r="M12" s="57">
        <f t="shared" si="0"/>
        <v>0</v>
      </c>
    </row>
    <row r="13" spans="1:13" x14ac:dyDescent="0.45">
      <c r="A13" s="3" t="s">
        <v>17</v>
      </c>
      <c r="B13" s="3" t="s">
        <v>22</v>
      </c>
      <c r="C13" s="4">
        <v>-499877</v>
      </c>
      <c r="D13" s="4">
        <v>-126979</v>
      </c>
      <c r="E13" s="4"/>
      <c r="F13" s="42"/>
      <c r="G13" s="3" t="s">
        <v>17</v>
      </c>
      <c r="H13" s="3" t="s">
        <v>22</v>
      </c>
      <c r="I13" s="56">
        <f>C13/C$2</f>
        <v>-2.5119775434251906E-2</v>
      </c>
      <c r="J13" s="56">
        <f>D13/D$2</f>
        <v>-2.4960940479345044E-2</v>
      </c>
      <c r="K13" s="56" t="e">
        <f>#REF!/#REF!</f>
        <v>#REF!</v>
      </c>
      <c r="L13" s="56" t="e">
        <f>#REF!/#REF!</f>
        <v>#REF!</v>
      </c>
      <c r="M13" s="56">
        <f t="shared" si="0"/>
        <v>0</v>
      </c>
    </row>
    <row r="14" spans="1:13" x14ac:dyDescent="0.45">
      <c r="A14" s="60" t="s">
        <v>11</v>
      </c>
      <c r="B14" s="60" t="s">
        <v>22</v>
      </c>
      <c r="C14" s="61">
        <v>2909551</v>
      </c>
      <c r="D14" s="61">
        <v>437629</v>
      </c>
      <c r="E14" s="61">
        <f>E4</f>
        <v>6231337.6667329781</v>
      </c>
      <c r="F14" s="42"/>
      <c r="G14" s="6" t="s">
        <v>11</v>
      </c>
      <c r="H14" s="6" t="s">
        <v>22</v>
      </c>
      <c r="I14" s="57">
        <f>C14/C$2</f>
        <v>0.14621050325280632</v>
      </c>
      <c r="J14" s="57">
        <f>D14/D$2</f>
        <v>8.6027070783635806E-2</v>
      </c>
      <c r="K14" s="57" t="e">
        <f>#REF!/#REF!</f>
        <v>#REF!</v>
      </c>
      <c r="L14" s="57" t="e">
        <f>#REF!/#REF!</f>
        <v>#REF!</v>
      </c>
      <c r="M14" s="57">
        <f t="shared" si="0"/>
        <v>0.21384188511320693</v>
      </c>
    </row>
    <row r="15" spans="1:13" x14ac:dyDescent="0.45">
      <c r="A15" s="6" t="s">
        <v>12</v>
      </c>
      <c r="B15" s="6" t="s">
        <v>22</v>
      </c>
      <c r="C15" s="7">
        <v>1335</v>
      </c>
      <c r="D15" s="7">
        <v>201</v>
      </c>
      <c r="E15" s="7"/>
      <c r="F15" s="42"/>
    </row>
    <row r="16" spans="1:13" x14ac:dyDescent="0.45">
      <c r="A16" s="6" t="s">
        <v>13</v>
      </c>
      <c r="B16" s="6" t="s">
        <v>22</v>
      </c>
      <c r="C16" s="47">
        <v>2180000</v>
      </c>
      <c r="D16" s="47">
        <v>2180000</v>
      </c>
      <c r="E16" s="47">
        <v>2180000</v>
      </c>
      <c r="F16" s="42"/>
    </row>
    <row r="17" spans="1:5" x14ac:dyDescent="0.45">
      <c r="A17" s="6" t="s">
        <v>100</v>
      </c>
      <c r="B17" s="6" t="s">
        <v>22</v>
      </c>
      <c r="C17" s="47">
        <f>C16*2</f>
        <v>4360000</v>
      </c>
      <c r="D17" s="47">
        <f t="shared" ref="D17:E17" si="1">D16*2</f>
        <v>4360000</v>
      </c>
      <c r="E17" s="47">
        <f t="shared" si="1"/>
        <v>4360000</v>
      </c>
    </row>
    <row r="18" spans="1:5" ht="25.5" customHeight="1" x14ac:dyDescent="0.45">
      <c r="A18" s="6" t="s">
        <v>101</v>
      </c>
      <c r="B18" s="48"/>
      <c r="C18" s="49">
        <f>C14*1000/C17</f>
        <v>667.32821100917431</v>
      </c>
      <c r="D18" s="49">
        <f t="shared" ref="D18:E18" si="2">D14*1000/D17</f>
        <v>100.37362385321101</v>
      </c>
      <c r="E18" s="49">
        <f t="shared" si="2"/>
        <v>1429.2058868653619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rightToLeft="1" workbookViewId="0">
      <selection activeCell="B1" sqref="B1"/>
    </sheetView>
  </sheetViews>
  <sheetFormatPr defaultRowHeight="18" x14ac:dyDescent="0.45"/>
  <cols>
    <col min="1" max="1" width="29.28515625" style="1" bestFit="1" customWidth="1"/>
    <col min="2" max="2" width="20.7109375" style="1" bestFit="1" customWidth="1"/>
    <col min="3" max="3" width="22.85546875" style="1" bestFit="1" customWidth="1"/>
    <col min="4" max="4" width="9.140625" style="1"/>
    <col min="5" max="5" width="29.28515625" style="1" bestFit="1" customWidth="1"/>
    <col min="6" max="6" width="20.7109375" style="1" bestFit="1" customWidth="1"/>
    <col min="7" max="16384" width="9.140625" style="1"/>
  </cols>
  <sheetData>
    <row r="1" spans="1:8" x14ac:dyDescent="0.45">
      <c r="A1" s="8" t="s">
        <v>0</v>
      </c>
      <c r="B1" s="8" t="s">
        <v>14</v>
      </c>
      <c r="C1" s="8" t="s">
        <v>15</v>
      </c>
      <c r="E1" s="8" t="s">
        <v>0</v>
      </c>
      <c r="F1" s="8" t="s">
        <v>14</v>
      </c>
    </row>
    <row r="2" spans="1:8" x14ac:dyDescent="0.45">
      <c r="A2" s="12" t="s">
        <v>105</v>
      </c>
      <c r="B2" s="13">
        <v>5634211</v>
      </c>
      <c r="C2" s="13">
        <v>6007059</v>
      </c>
      <c r="E2" s="12" t="s">
        <v>105</v>
      </c>
      <c r="F2" s="38">
        <f>B2/'سود و زیان'!$C$2</f>
        <v>0.28312988008888557</v>
      </c>
    </row>
    <row r="3" spans="1:8" x14ac:dyDescent="0.45">
      <c r="A3" s="12" t="s">
        <v>106</v>
      </c>
      <c r="B3" s="17">
        <v>0</v>
      </c>
      <c r="C3" s="17">
        <v>0</v>
      </c>
      <c r="E3" s="12" t="s">
        <v>106</v>
      </c>
      <c r="F3" s="38">
        <f>B3/'سود و زیان'!$C$2</f>
        <v>0</v>
      </c>
    </row>
    <row r="4" spans="1:8" x14ac:dyDescent="0.45">
      <c r="A4" s="12" t="s">
        <v>107</v>
      </c>
      <c r="B4" s="13">
        <v>48089</v>
      </c>
      <c r="C4" s="13">
        <v>61806</v>
      </c>
      <c r="E4" s="12" t="s">
        <v>107</v>
      </c>
      <c r="F4" s="38">
        <f>B4/'سود و زیان'!$C$2</f>
        <v>2.416564236517663E-3</v>
      </c>
    </row>
    <row r="5" spans="1:8" x14ac:dyDescent="0.45">
      <c r="A5" s="12" t="s">
        <v>108</v>
      </c>
      <c r="B5" s="13">
        <v>123125</v>
      </c>
      <c r="C5" s="13">
        <v>124625</v>
      </c>
      <c r="E5" s="12" t="s">
        <v>108</v>
      </c>
      <c r="F5" s="38">
        <f>B5/'سود و زیان'!$C$2</f>
        <v>6.1872667683095361E-3</v>
      </c>
    </row>
    <row r="6" spans="1:8" x14ac:dyDescent="0.45">
      <c r="A6" s="12" t="s">
        <v>109</v>
      </c>
      <c r="B6" s="13">
        <v>2825</v>
      </c>
      <c r="C6" s="13">
        <v>3255</v>
      </c>
      <c r="E6" s="12" t="s">
        <v>109</v>
      </c>
      <c r="F6" s="38">
        <f>B6/'سود و زیان'!$C$2</f>
        <v>1.4196165377035078E-4</v>
      </c>
    </row>
    <row r="7" spans="1:8" x14ac:dyDescent="0.45">
      <c r="A7" s="12" t="s">
        <v>110</v>
      </c>
      <c r="B7" s="13">
        <v>30068</v>
      </c>
      <c r="C7" s="13">
        <v>31101</v>
      </c>
      <c r="E7" s="12" t="s">
        <v>110</v>
      </c>
      <c r="F7" s="38">
        <f>B7/'سود و زیان'!$C$2</f>
        <v>1.5109745152449229E-3</v>
      </c>
      <c r="H7" s="1" t="s">
        <v>32</v>
      </c>
    </row>
    <row r="8" spans="1:8" x14ac:dyDescent="0.45">
      <c r="A8" s="50" t="s">
        <v>111</v>
      </c>
      <c r="B8" s="51">
        <v>5838318</v>
      </c>
      <c r="C8" s="51">
        <v>6227846</v>
      </c>
      <c r="E8" s="50" t="s">
        <v>111</v>
      </c>
      <c r="F8" s="58">
        <f>B8/'سود و زیان'!$C$2</f>
        <v>0.29338664726272806</v>
      </c>
    </row>
    <row r="9" spans="1:8" x14ac:dyDescent="0.45">
      <c r="A9" s="12" t="s">
        <v>112</v>
      </c>
      <c r="B9" s="13">
        <v>2131510</v>
      </c>
      <c r="C9" s="13">
        <v>6443878</v>
      </c>
      <c r="E9" s="12" t="s">
        <v>112</v>
      </c>
      <c r="F9" s="38">
        <f>B9/'سود و زیان'!$C$2</f>
        <v>0.10711245473558952</v>
      </c>
    </row>
    <row r="10" spans="1:8" x14ac:dyDescent="0.45">
      <c r="A10" s="12" t="s">
        <v>113</v>
      </c>
      <c r="B10" s="13">
        <v>3309072</v>
      </c>
      <c r="C10" s="13">
        <v>3797879</v>
      </c>
      <c r="E10" s="12" t="s">
        <v>113</v>
      </c>
      <c r="F10" s="38">
        <f>B10/'سود و زیان'!$C$2</f>
        <v>0.16628719772218128</v>
      </c>
    </row>
    <row r="11" spans="1:8" x14ac:dyDescent="0.45">
      <c r="A11" s="12" t="s">
        <v>114</v>
      </c>
      <c r="B11" s="13">
        <v>5302437</v>
      </c>
      <c r="C11" s="13">
        <v>7347795</v>
      </c>
      <c r="E11" s="12" t="s">
        <v>114</v>
      </c>
      <c r="F11" s="38">
        <f>B11/'سود و زیان'!$C$2</f>
        <v>0.26645760195861856</v>
      </c>
    </row>
    <row r="12" spans="1:8" x14ac:dyDescent="0.45">
      <c r="A12" s="12" t="s">
        <v>115</v>
      </c>
      <c r="B12" s="13">
        <v>154000</v>
      </c>
      <c r="C12" s="13">
        <v>161000</v>
      </c>
      <c r="E12" s="12" t="s">
        <v>115</v>
      </c>
      <c r="F12" s="38">
        <f>B12/'سود و زیان'!$C$2</f>
        <v>7.738794577215582E-3</v>
      </c>
    </row>
    <row r="13" spans="1:8" x14ac:dyDescent="0.45">
      <c r="A13" s="12" t="s">
        <v>116</v>
      </c>
      <c r="B13" s="13">
        <v>581417</v>
      </c>
      <c r="C13" s="13">
        <v>648217</v>
      </c>
      <c r="E13" s="12" t="s">
        <v>116</v>
      </c>
      <c r="F13" s="38">
        <f>B13/'سود و زیان'!$C$2</f>
        <v>2.9217316407149037E-2</v>
      </c>
    </row>
    <row r="14" spans="1:8" x14ac:dyDescent="0.45">
      <c r="A14" s="50" t="s">
        <v>117</v>
      </c>
      <c r="B14" s="51">
        <v>11478436</v>
      </c>
      <c r="C14" s="51">
        <v>18398769</v>
      </c>
      <c r="E14" s="50" t="s">
        <v>117</v>
      </c>
      <c r="F14" s="58">
        <f>B14/'سود و زیان'!$C$2</f>
        <v>0.57681336540075401</v>
      </c>
    </row>
    <row r="15" spans="1:8" x14ac:dyDescent="0.45">
      <c r="A15" s="52" t="s">
        <v>118</v>
      </c>
      <c r="B15" s="53">
        <v>17316754</v>
      </c>
      <c r="C15" s="53">
        <v>24626615</v>
      </c>
      <c r="E15" s="54" t="s">
        <v>118</v>
      </c>
      <c r="F15" s="59">
        <f>B15/'سود و زیان'!$C$2</f>
        <v>0.87020001266348201</v>
      </c>
    </row>
    <row r="16" spans="1:8" x14ac:dyDescent="0.45">
      <c r="A16" s="12" t="s">
        <v>119</v>
      </c>
      <c r="B16" s="12"/>
      <c r="C16" s="12"/>
      <c r="E16" s="12" t="s">
        <v>119</v>
      </c>
      <c r="F16" s="38">
        <f>B16/'سود و زیان'!$C$2</f>
        <v>0</v>
      </c>
    </row>
    <row r="17" spans="1:6" x14ac:dyDescent="0.45">
      <c r="A17" s="12" t="s">
        <v>120</v>
      </c>
      <c r="B17" s="13">
        <v>2180000</v>
      </c>
      <c r="C17" s="13">
        <v>2180000</v>
      </c>
      <c r="E17" s="12" t="s">
        <v>120</v>
      </c>
      <c r="F17" s="38">
        <f>B17/'سود و زیان'!$C$2</f>
        <v>0.10954916998915563</v>
      </c>
    </row>
    <row r="18" spans="1:6" x14ac:dyDescent="0.45">
      <c r="A18" s="12" t="s">
        <v>121</v>
      </c>
      <c r="B18" s="13">
        <v>962986</v>
      </c>
      <c r="C18" s="13">
        <v>2090389</v>
      </c>
      <c r="E18" s="12" t="s">
        <v>121</v>
      </c>
      <c r="F18" s="38">
        <f>B18/'سود و زیان'!$C$2</f>
        <v>4.8391888537237172E-2</v>
      </c>
    </row>
    <row r="19" spans="1:6" x14ac:dyDescent="0.45">
      <c r="A19" s="12" t="s">
        <v>122</v>
      </c>
      <c r="B19" s="13">
        <v>321312</v>
      </c>
      <c r="C19" s="13">
        <v>343193</v>
      </c>
      <c r="E19" s="12" t="s">
        <v>122</v>
      </c>
      <c r="F19" s="38">
        <f>B19/'سود و زیان'!$C$2</f>
        <v>1.6146542618144761E-2</v>
      </c>
    </row>
    <row r="20" spans="1:6" x14ac:dyDescent="0.45">
      <c r="A20" s="12" t="s">
        <v>123</v>
      </c>
      <c r="B20" s="13">
        <v>25000</v>
      </c>
      <c r="C20" s="13">
        <v>25000</v>
      </c>
      <c r="E20" s="12" t="s">
        <v>123</v>
      </c>
      <c r="F20" s="38">
        <f>B20/'سود و زیان'!$C$2</f>
        <v>1.2562978209765554E-3</v>
      </c>
    </row>
    <row r="21" spans="1:6" x14ac:dyDescent="0.45">
      <c r="A21" s="12" t="s">
        <v>124</v>
      </c>
      <c r="B21" s="13">
        <v>2916609</v>
      </c>
      <c r="C21" s="13">
        <v>1806357</v>
      </c>
      <c r="E21" s="12" t="s">
        <v>124</v>
      </c>
      <c r="F21" s="38">
        <f>B21/'سود و زیان'!$C$2</f>
        <v>0.14656518125362442</v>
      </c>
    </row>
    <row r="22" spans="1:6" x14ac:dyDescent="0.45">
      <c r="A22" s="12" t="s">
        <v>125</v>
      </c>
      <c r="B22" s="17">
        <v>0</v>
      </c>
      <c r="C22" s="17">
        <v>0</v>
      </c>
      <c r="E22" s="12" t="s">
        <v>125</v>
      </c>
      <c r="F22" s="38">
        <f>B22/'سود و زیان'!$C$2</f>
        <v>0</v>
      </c>
    </row>
    <row r="23" spans="1:6" x14ac:dyDescent="0.45">
      <c r="A23" s="54" t="s">
        <v>126</v>
      </c>
      <c r="B23" s="55">
        <v>6405907</v>
      </c>
      <c r="C23" s="55">
        <v>6444939</v>
      </c>
      <c r="E23" s="54" t="s">
        <v>126</v>
      </c>
      <c r="F23" s="59">
        <f>B23/'سود و زیان'!$C$2</f>
        <v>0.32190908021913855</v>
      </c>
    </row>
    <row r="24" spans="1:6" x14ac:dyDescent="0.45">
      <c r="A24" s="12" t="s">
        <v>127</v>
      </c>
      <c r="B24" s="17">
        <v>0</v>
      </c>
      <c r="C24" s="17">
        <v>0</v>
      </c>
      <c r="E24" s="12" t="s">
        <v>127</v>
      </c>
      <c r="F24" s="38">
        <f>B24/'سود و زیان'!$C$2</f>
        <v>0</v>
      </c>
    </row>
    <row r="25" spans="1:6" x14ac:dyDescent="0.45">
      <c r="A25" s="12" t="s">
        <v>128</v>
      </c>
      <c r="B25" s="13">
        <v>45208</v>
      </c>
      <c r="C25" s="13">
        <v>30138</v>
      </c>
      <c r="E25" s="12" t="s">
        <v>128</v>
      </c>
      <c r="F25" s="38">
        <f>B25/'سود و زیان'!$C$2</f>
        <v>2.2717884756283248E-3</v>
      </c>
    </row>
    <row r="26" spans="1:6" x14ac:dyDescent="0.45">
      <c r="A26" s="12" t="s">
        <v>129</v>
      </c>
      <c r="B26" s="13">
        <v>527673</v>
      </c>
      <c r="C26" s="13">
        <v>511172</v>
      </c>
      <c r="E26" s="12" t="s">
        <v>129</v>
      </c>
      <c r="F26" s="38">
        <f>B26/'سود و زیان'!$C$2</f>
        <v>2.6516577603526478E-2</v>
      </c>
    </row>
    <row r="27" spans="1:6" x14ac:dyDescent="0.45">
      <c r="A27" s="50" t="s">
        <v>130</v>
      </c>
      <c r="B27" s="51">
        <v>572881</v>
      </c>
      <c r="C27" s="51">
        <v>541310</v>
      </c>
      <c r="E27" s="50" t="s">
        <v>130</v>
      </c>
      <c r="F27" s="58">
        <f>B27/'سود و زیان'!$C$2</f>
        <v>2.8788366079154804E-2</v>
      </c>
    </row>
    <row r="28" spans="1:6" x14ac:dyDescent="0.45">
      <c r="A28" s="12" t="s">
        <v>131</v>
      </c>
      <c r="B28" s="13">
        <v>1792841</v>
      </c>
      <c r="C28" s="13">
        <v>5677378</v>
      </c>
      <c r="E28" s="12" t="s">
        <v>131</v>
      </c>
      <c r="F28" s="38">
        <f>B28/'سود و زیان'!$C$2</f>
        <v>9.0093689666297147E-2</v>
      </c>
    </row>
    <row r="29" spans="1:6" x14ac:dyDescent="0.45">
      <c r="A29" s="12" t="s">
        <v>132</v>
      </c>
      <c r="B29" s="13">
        <v>1125236</v>
      </c>
      <c r="C29" s="13">
        <v>1165441</v>
      </c>
      <c r="E29" s="12" t="s">
        <v>132</v>
      </c>
      <c r="F29" s="38">
        <f>B29/'سود و زیان'!$C$2</f>
        <v>5.6545261395375017E-2</v>
      </c>
    </row>
    <row r="30" spans="1:6" x14ac:dyDescent="0.45">
      <c r="A30" s="12" t="s">
        <v>133</v>
      </c>
      <c r="B30" s="13">
        <v>73647</v>
      </c>
      <c r="C30" s="13">
        <v>1564409</v>
      </c>
      <c r="E30" s="12" t="s">
        <v>133</v>
      </c>
      <c r="F30" s="38">
        <f>B30/'سود و زیان'!$C$2</f>
        <v>3.7009026248584153E-3</v>
      </c>
    </row>
    <row r="31" spans="1:6" x14ac:dyDescent="0.45">
      <c r="A31" s="12" t="s">
        <v>134</v>
      </c>
      <c r="B31" s="13">
        <v>5780330</v>
      </c>
      <c r="C31" s="13">
        <v>7839005</v>
      </c>
      <c r="E31" s="12" t="s">
        <v>134</v>
      </c>
      <c r="F31" s="38">
        <f>B31/'سود و زیان'!$C$2</f>
        <v>0.29047263934101653</v>
      </c>
    </row>
    <row r="32" spans="1:6" x14ac:dyDescent="0.45">
      <c r="A32" s="12" t="s">
        <v>135</v>
      </c>
      <c r="B32" s="13">
        <v>721236</v>
      </c>
      <c r="C32" s="13">
        <v>382684</v>
      </c>
      <c r="E32" s="12" t="s">
        <v>135</v>
      </c>
      <c r="F32" s="38">
        <f>B32/'سود و زیان'!$C$2</f>
        <v>3.6243488608393881E-2</v>
      </c>
    </row>
    <row r="33" spans="1:6" x14ac:dyDescent="0.45">
      <c r="A33" s="12" t="s">
        <v>136</v>
      </c>
      <c r="B33" s="13">
        <v>844676</v>
      </c>
      <c r="C33" s="13">
        <v>1011449</v>
      </c>
      <c r="E33" s="12" t="s">
        <v>136</v>
      </c>
      <c r="F33" s="38">
        <f>B33/'سود و زیان'!$C$2</f>
        <v>4.244658472924772E-2</v>
      </c>
    </row>
    <row r="34" spans="1:6" x14ac:dyDescent="0.45">
      <c r="A34" s="50" t="s">
        <v>137</v>
      </c>
      <c r="B34" s="51">
        <v>10337966</v>
      </c>
      <c r="C34" s="51">
        <v>17640366</v>
      </c>
      <c r="E34" s="50" t="s">
        <v>137</v>
      </c>
      <c r="F34" s="58">
        <f>B34/'سود و زیان'!$C$2</f>
        <v>0.51950256636518866</v>
      </c>
    </row>
    <row r="35" spans="1:6" x14ac:dyDescent="0.45">
      <c r="A35" s="54" t="s">
        <v>138</v>
      </c>
      <c r="B35" s="55">
        <v>10910847</v>
      </c>
      <c r="C35" s="55">
        <v>18181676</v>
      </c>
      <c r="E35" s="54" t="s">
        <v>138</v>
      </c>
      <c r="F35" s="59">
        <f>B35/'سود و زیان'!$C$2</f>
        <v>0.54829093244434346</v>
      </c>
    </row>
    <row r="36" spans="1:6" x14ac:dyDescent="0.45">
      <c r="A36" s="12" t="s">
        <v>139</v>
      </c>
      <c r="B36" s="13">
        <v>17316754</v>
      </c>
      <c r="C36" s="13">
        <v>24626615</v>
      </c>
      <c r="E36" s="12" t="s">
        <v>139</v>
      </c>
      <c r="F36" s="38">
        <f>B36/'سود و زیان'!$C$2</f>
        <v>0.87020001266348201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rightToLeft="1" workbookViewId="0">
      <pane xSplit="1" topLeftCell="B1" activePane="topRight" state="frozen"/>
      <selection pane="topRight" activeCell="G6" sqref="D6:G6"/>
    </sheetView>
  </sheetViews>
  <sheetFormatPr defaultRowHeight="18" x14ac:dyDescent="0.45"/>
  <cols>
    <col min="1" max="1" width="15.28515625" style="1" bestFit="1" customWidth="1"/>
    <col min="2" max="2" width="4.7109375" style="1" bestFit="1" customWidth="1"/>
    <col min="3" max="3" width="20.7109375" style="1" bestFit="1" customWidth="1"/>
    <col min="4" max="4" width="28.140625" style="1" bestFit="1" customWidth="1"/>
    <col min="5" max="5" width="22.85546875" style="1" bestFit="1" customWidth="1"/>
    <col min="6" max="6" width="23.28515625" style="1" bestFit="1" customWidth="1"/>
    <col min="7" max="7" width="23.140625" style="1" bestFit="1" customWidth="1"/>
    <col min="8" max="8" width="23.140625" style="1" customWidth="1"/>
    <col min="9" max="9" width="27.85546875" style="1" bestFit="1" customWidth="1"/>
    <col min="10" max="10" width="8.85546875" style="1" customWidth="1"/>
    <col min="11" max="11" width="15.28515625" style="1" bestFit="1" customWidth="1"/>
    <col min="12" max="12" width="9.85546875" style="1" bestFit="1" customWidth="1"/>
    <col min="13" max="13" width="9.140625" style="1"/>
    <col min="14" max="14" width="15.7109375" style="1" bestFit="1" customWidth="1"/>
    <col min="15" max="16384" width="9.140625" style="1"/>
  </cols>
  <sheetData>
    <row r="1" spans="1:14" x14ac:dyDescent="0.45">
      <c r="A1" s="11" t="s">
        <v>23</v>
      </c>
    </row>
    <row r="2" spans="1:14" s="2" customFormat="1" ht="18.75" x14ac:dyDescent="0.45">
      <c r="A2" s="8" t="s">
        <v>0</v>
      </c>
      <c r="B2" s="8" t="s">
        <v>21</v>
      </c>
      <c r="C2" s="8" t="s">
        <v>14</v>
      </c>
      <c r="D2" s="10" t="s">
        <v>20</v>
      </c>
      <c r="E2" s="65" t="s">
        <v>15</v>
      </c>
      <c r="F2" s="23" t="s">
        <v>66</v>
      </c>
      <c r="G2" s="23" t="s">
        <v>67</v>
      </c>
      <c r="H2" s="66" t="s">
        <v>140</v>
      </c>
      <c r="I2" s="24" t="s">
        <v>141</v>
      </c>
      <c r="J2" s="25"/>
      <c r="K2" s="27" t="s">
        <v>68</v>
      </c>
      <c r="L2" s="27" t="s">
        <v>69</v>
      </c>
      <c r="M2" s="27" t="s">
        <v>70</v>
      </c>
      <c r="N2" s="27" t="s">
        <v>71</v>
      </c>
    </row>
    <row r="3" spans="1:14" x14ac:dyDescent="0.45">
      <c r="A3" s="12" t="s">
        <v>27</v>
      </c>
      <c r="B3" s="12" t="s">
        <v>30</v>
      </c>
      <c r="C3" s="15">
        <v>29606</v>
      </c>
      <c r="D3" s="31">
        <f>D5</f>
        <v>35400</v>
      </c>
      <c r="E3" s="15">
        <v>8146</v>
      </c>
      <c r="F3" s="13">
        <v>13562.59</v>
      </c>
      <c r="G3" s="13">
        <v>2593.91</v>
      </c>
      <c r="H3" s="13">
        <v>2988.78</v>
      </c>
      <c r="I3" s="67">
        <f>D3-(F3+H3)</f>
        <v>18848.63</v>
      </c>
      <c r="K3" s="13">
        <f>C3</f>
        <v>29606</v>
      </c>
      <c r="L3" s="13">
        <f>F3</f>
        <v>13562.59</v>
      </c>
      <c r="M3" s="13">
        <f>E3</f>
        <v>8146</v>
      </c>
      <c r="N3" s="13">
        <f>L3-M3</f>
        <v>5416.59</v>
      </c>
    </row>
    <row r="4" spans="1:14" x14ac:dyDescent="0.45">
      <c r="A4" s="12" t="s">
        <v>28</v>
      </c>
      <c r="B4" s="12" t="s">
        <v>30</v>
      </c>
      <c r="C4" s="16">
        <v>10</v>
      </c>
      <c r="D4" s="12">
        <v>0</v>
      </c>
      <c r="E4" s="16">
        <v>0</v>
      </c>
      <c r="F4" s="17">
        <v>0</v>
      </c>
      <c r="G4" s="12">
        <v>0</v>
      </c>
      <c r="H4" s="12">
        <v>0</v>
      </c>
      <c r="I4" s="12"/>
      <c r="K4" s="28">
        <f>K3/12</f>
        <v>2467.1666666666665</v>
      </c>
      <c r="L4" s="28">
        <f>L3/5</f>
        <v>2712.518</v>
      </c>
      <c r="M4" s="12">
        <f>M3/3</f>
        <v>2715.3333333333335</v>
      </c>
      <c r="N4" s="12">
        <f>N3/2</f>
        <v>2708.2950000000001</v>
      </c>
    </row>
    <row r="5" spans="1:14" x14ac:dyDescent="0.45">
      <c r="A5" s="12" t="s">
        <v>29</v>
      </c>
      <c r="B5" s="12" t="s">
        <v>30</v>
      </c>
      <c r="C5" s="14">
        <f>C3+C4</f>
        <v>29616</v>
      </c>
      <c r="D5" s="32">
        <f>پنل!D6+پنل!D7</f>
        <v>35400</v>
      </c>
      <c r="E5" s="14">
        <f>E3+E4</f>
        <v>8146</v>
      </c>
      <c r="F5" s="13">
        <f>F3+F4</f>
        <v>13562.59</v>
      </c>
      <c r="G5" s="13">
        <f>G3+G4</f>
        <v>2593.91</v>
      </c>
      <c r="H5" s="13">
        <f>H3+H4</f>
        <v>2988.78</v>
      </c>
      <c r="I5" s="13">
        <f>I3+I4</f>
        <v>18848.63</v>
      </c>
    </row>
    <row r="7" spans="1:14" x14ac:dyDescent="0.45">
      <c r="A7" s="11" t="s">
        <v>24</v>
      </c>
      <c r="K7" s="12" t="s">
        <v>72</v>
      </c>
      <c r="L7" s="29">
        <v>14000</v>
      </c>
    </row>
    <row r="8" spans="1:14" x14ac:dyDescent="0.45">
      <c r="A8" s="8" t="s">
        <v>0</v>
      </c>
      <c r="B8" s="8" t="s">
        <v>21</v>
      </c>
      <c r="C8" s="8" t="s">
        <v>14</v>
      </c>
      <c r="D8" s="10" t="s">
        <v>20</v>
      </c>
      <c r="E8" s="65" t="s">
        <v>15</v>
      </c>
      <c r="F8" s="23" t="s">
        <v>66</v>
      </c>
      <c r="G8" s="23" t="s">
        <v>67</v>
      </c>
      <c r="H8" s="66" t="s">
        <v>140</v>
      </c>
      <c r="I8" s="10" t="s">
        <v>141</v>
      </c>
      <c r="K8" s="12" t="s">
        <v>73</v>
      </c>
      <c r="L8" s="29">
        <f>L7/12</f>
        <v>1166.6666666666667</v>
      </c>
    </row>
    <row r="9" spans="1:14" x14ac:dyDescent="0.45">
      <c r="A9" s="12" t="s">
        <v>27</v>
      </c>
      <c r="B9" s="12" t="s">
        <v>30</v>
      </c>
      <c r="C9" s="15">
        <v>29716</v>
      </c>
      <c r="D9" s="31">
        <f>D3</f>
        <v>35400</v>
      </c>
      <c r="E9" s="15">
        <v>7407</v>
      </c>
      <c r="F9" s="13">
        <v>12688.21</v>
      </c>
      <c r="G9" s="26">
        <v>3052.36</v>
      </c>
      <c r="H9" s="26">
        <v>3758.73</v>
      </c>
      <c r="I9" s="31">
        <f>D9-(F9+H9)</f>
        <v>18953.060000000001</v>
      </c>
    </row>
    <row r="10" spans="1:14" x14ac:dyDescent="0.45">
      <c r="A10" s="12" t="s">
        <v>28</v>
      </c>
      <c r="B10" s="12" t="s">
        <v>30</v>
      </c>
      <c r="C10" s="16">
        <v>17</v>
      </c>
      <c r="D10" s="31">
        <f>D4</f>
        <v>0</v>
      </c>
      <c r="E10" s="16">
        <v>0</v>
      </c>
      <c r="F10" s="12">
        <v>0</v>
      </c>
      <c r="G10" s="12">
        <v>0</v>
      </c>
      <c r="H10" s="12">
        <v>0</v>
      </c>
      <c r="I10" s="31">
        <f t="shared" ref="I10:I11" si="0">I4</f>
        <v>0</v>
      </c>
      <c r="J10" s="18"/>
    </row>
    <row r="11" spans="1:14" x14ac:dyDescent="0.45">
      <c r="A11" s="12" t="s">
        <v>29</v>
      </c>
      <c r="B11" s="12" t="s">
        <v>30</v>
      </c>
      <c r="C11" s="14">
        <f>C9+C10</f>
        <v>29733</v>
      </c>
      <c r="D11" s="31">
        <f>D5</f>
        <v>35400</v>
      </c>
      <c r="E11" s="14"/>
      <c r="F11" s="13">
        <f>F9+F10</f>
        <v>12688.21</v>
      </c>
      <c r="G11" s="13">
        <f>G9+G10</f>
        <v>3052.36</v>
      </c>
      <c r="H11" s="13">
        <f>H9+H10</f>
        <v>3758.73</v>
      </c>
      <c r="I11" s="31">
        <f t="shared" si="0"/>
        <v>18848.63</v>
      </c>
    </row>
    <row r="13" spans="1:14" x14ac:dyDescent="0.45">
      <c r="A13" s="11" t="s">
        <v>25</v>
      </c>
    </row>
    <row r="14" spans="1:14" x14ac:dyDescent="0.45">
      <c r="A14" s="8" t="s">
        <v>0</v>
      </c>
      <c r="B14" s="8" t="s">
        <v>21</v>
      </c>
      <c r="C14" s="8" t="s">
        <v>14</v>
      </c>
      <c r="D14" s="10" t="s">
        <v>20</v>
      </c>
      <c r="E14" s="65" t="s">
        <v>15</v>
      </c>
      <c r="F14" s="23" t="s">
        <v>66</v>
      </c>
      <c r="G14" s="23" t="s">
        <v>67</v>
      </c>
      <c r="H14" s="66" t="s">
        <v>140</v>
      </c>
      <c r="I14" s="10" t="s">
        <v>141</v>
      </c>
    </row>
    <row r="15" spans="1:14" x14ac:dyDescent="0.45">
      <c r="A15" s="12" t="s">
        <v>27</v>
      </c>
      <c r="B15" s="12" t="s">
        <v>31</v>
      </c>
      <c r="C15" s="15">
        <v>669395881</v>
      </c>
      <c r="D15" s="12"/>
      <c r="E15" s="15">
        <f>686797353854/1000</f>
        <v>686797353.85399997</v>
      </c>
      <c r="F15" s="13">
        <v>695085849</v>
      </c>
      <c r="G15" s="13">
        <v>702554939</v>
      </c>
      <c r="H15" s="13">
        <v>800881361</v>
      </c>
      <c r="I15" s="32">
        <f>G15*(1+پنل!D5)</f>
        <v>913321420.70000005</v>
      </c>
    </row>
    <row r="16" spans="1:14" x14ac:dyDescent="0.45">
      <c r="A16" s="12" t="s">
        <v>28</v>
      </c>
      <c r="B16" s="12" t="s">
        <v>31</v>
      </c>
      <c r="C16" s="15">
        <v>468941176</v>
      </c>
      <c r="D16" s="12"/>
      <c r="E16" s="16">
        <v>0</v>
      </c>
      <c r="F16" s="12">
        <v>0</v>
      </c>
      <c r="G16" s="12">
        <v>0</v>
      </c>
      <c r="H16" s="12"/>
      <c r="I16" s="12">
        <v>0</v>
      </c>
    </row>
    <row r="17" spans="1:9" x14ac:dyDescent="0.45">
      <c r="A17" s="33"/>
      <c r="B17" s="33"/>
      <c r="C17" s="34"/>
      <c r="D17" s="33"/>
      <c r="E17" s="35"/>
      <c r="F17" s="33"/>
      <c r="G17" s="33"/>
      <c r="H17" s="33"/>
      <c r="I17" s="33"/>
    </row>
    <row r="19" spans="1:9" x14ac:dyDescent="0.45">
      <c r="A19" s="11" t="s">
        <v>26</v>
      </c>
    </row>
    <row r="20" spans="1:9" x14ac:dyDescent="0.45">
      <c r="A20" s="8" t="s">
        <v>0</v>
      </c>
      <c r="B20" s="8" t="s">
        <v>21</v>
      </c>
      <c r="C20" s="8" t="s">
        <v>14</v>
      </c>
      <c r="D20" s="10" t="s">
        <v>20</v>
      </c>
      <c r="E20" s="65" t="s">
        <v>15</v>
      </c>
      <c r="F20" s="23" t="s">
        <v>66</v>
      </c>
      <c r="G20" s="23" t="s">
        <v>67</v>
      </c>
      <c r="H20" s="23"/>
      <c r="I20" s="10" t="s">
        <v>141</v>
      </c>
    </row>
    <row r="21" spans="1:9" x14ac:dyDescent="0.45">
      <c r="A21" s="12" t="s">
        <v>27</v>
      </c>
      <c r="B21" s="12" t="s">
        <v>22</v>
      </c>
      <c r="C21" s="15">
        <v>19891768</v>
      </c>
      <c r="D21" s="31">
        <f>I21+F21+H21</f>
        <v>29139930.483843874</v>
      </c>
      <c r="E21" s="15">
        <v>5087108</v>
      </c>
      <c r="F21" s="13">
        <v>8819398</v>
      </c>
      <c r="G21" s="13">
        <v>2144452</v>
      </c>
      <c r="H21" s="13">
        <f>H15*H9/1000000</f>
        <v>3010296.7980315299</v>
      </c>
      <c r="I21" s="31">
        <f>I15*I9/1000000</f>
        <v>17310235.685812343</v>
      </c>
    </row>
    <row r="22" spans="1:9" x14ac:dyDescent="0.45">
      <c r="A22" s="12" t="s">
        <v>28</v>
      </c>
      <c r="B22" s="12" t="s">
        <v>22</v>
      </c>
      <c r="C22" s="15">
        <v>7972</v>
      </c>
      <c r="D22" s="16">
        <v>0</v>
      </c>
      <c r="E22" s="16">
        <v>0</v>
      </c>
      <c r="F22" s="12">
        <v>0</v>
      </c>
      <c r="G22" s="12">
        <v>0</v>
      </c>
      <c r="H22" s="13">
        <f>H16*H10/1000000</f>
        <v>0</v>
      </c>
      <c r="I22" s="31">
        <v>0</v>
      </c>
    </row>
    <row r="23" spans="1:9" x14ac:dyDescent="0.45">
      <c r="A23" s="12" t="s">
        <v>29</v>
      </c>
      <c r="B23" s="12" t="s">
        <v>22</v>
      </c>
      <c r="C23" s="14">
        <v>19899740</v>
      </c>
      <c r="D23" s="14">
        <f>D21+D22</f>
        <v>29139930.483843874</v>
      </c>
      <c r="E23" s="14">
        <v>5087108</v>
      </c>
      <c r="F23" s="13">
        <f>F21+F22</f>
        <v>8819398</v>
      </c>
      <c r="G23" s="13">
        <f>G21+G22</f>
        <v>2144452</v>
      </c>
      <c r="H23" s="13">
        <f>H21+H22</f>
        <v>3010296.7980315299</v>
      </c>
      <c r="I23" s="31">
        <f>I21+I22</f>
        <v>17310235.685812343</v>
      </c>
    </row>
    <row r="25" spans="1:9" x14ac:dyDescent="0.45">
      <c r="C25" s="19"/>
      <c r="E25" s="19"/>
    </row>
    <row r="26" spans="1:9" x14ac:dyDescent="0.45">
      <c r="C26" s="19"/>
      <c r="E26" s="19"/>
      <c r="F26" s="19"/>
    </row>
    <row r="27" spans="1:9" x14ac:dyDescent="0.45">
      <c r="C27" s="19"/>
      <c r="E27" s="19"/>
    </row>
    <row r="28" spans="1:9" x14ac:dyDescent="0.45">
      <c r="C28" s="20"/>
      <c r="E28" s="20"/>
    </row>
    <row r="29" spans="1:9" x14ac:dyDescent="0.45">
      <c r="C29" s="20"/>
      <c r="E29" s="20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rightToLeft="1" workbookViewId="0">
      <selection activeCell="D5" sqref="D5:D6"/>
    </sheetView>
  </sheetViews>
  <sheetFormatPr defaultRowHeight="18" x14ac:dyDescent="0.45"/>
  <cols>
    <col min="1" max="1" width="28.28515625" style="1" bestFit="1" customWidth="1"/>
    <col min="2" max="2" width="9.140625" style="1"/>
    <col min="3" max="3" width="20.7109375" style="1" bestFit="1" customWidth="1"/>
    <col min="4" max="4" width="28.140625" style="19" bestFit="1" customWidth="1"/>
    <col min="5" max="5" width="22.85546875" style="1" bestFit="1" customWidth="1"/>
    <col min="6" max="7" width="22.85546875" style="1" customWidth="1"/>
    <col min="8" max="8" width="27.85546875" style="19" bestFit="1" customWidth="1"/>
    <col min="9" max="9" width="13.42578125" style="1" bestFit="1" customWidth="1"/>
    <col min="10" max="16384" width="9.140625" style="1"/>
  </cols>
  <sheetData>
    <row r="2" spans="1:9" x14ac:dyDescent="0.45">
      <c r="A2" s="8" t="s">
        <v>0</v>
      </c>
      <c r="B2" s="8" t="s">
        <v>21</v>
      </c>
      <c r="C2" s="8" t="s">
        <v>14</v>
      </c>
      <c r="D2" s="36" t="s">
        <v>20</v>
      </c>
      <c r="E2" s="65" t="s">
        <v>15</v>
      </c>
      <c r="F2" s="65" t="s">
        <v>143</v>
      </c>
      <c r="G2" s="65" t="s">
        <v>144</v>
      </c>
      <c r="H2" s="36" t="s">
        <v>141</v>
      </c>
    </row>
    <row r="3" spans="1:9" x14ac:dyDescent="0.45">
      <c r="A3" s="12" t="s">
        <v>33</v>
      </c>
      <c r="B3" s="12" t="s">
        <v>22</v>
      </c>
      <c r="C3" s="13">
        <v>12196301</v>
      </c>
      <c r="D3" s="29">
        <f>'مواد مستقیم'!D26</f>
        <v>18788188.866744358</v>
      </c>
      <c r="E3" s="13">
        <v>3873102</v>
      </c>
      <c r="F3" s="13">
        <v>8301394</v>
      </c>
      <c r="G3" s="13">
        <v>5809935</v>
      </c>
      <c r="H3" s="29">
        <f>D3-(F3)</f>
        <v>10486794.866744358</v>
      </c>
      <c r="I3" s="20"/>
    </row>
    <row r="4" spans="1:9" x14ac:dyDescent="0.45">
      <c r="A4" s="12" t="s">
        <v>34</v>
      </c>
      <c r="B4" s="12" t="s">
        <v>22</v>
      </c>
      <c r="C4" s="13">
        <v>874152</v>
      </c>
      <c r="D4" s="30">
        <f>C4*(1+پنل!D4)*('تولید و فروش'!D5/'تولید و فروش'!C5+1)/2</f>
        <v>1594808.7691496431</v>
      </c>
      <c r="E4" s="13">
        <v>215007</v>
      </c>
      <c r="F4" s="13">
        <v>700169</v>
      </c>
      <c r="G4" s="13">
        <v>421255</v>
      </c>
      <c r="H4" s="29">
        <f>D4-F4</f>
        <v>894639.76914964314</v>
      </c>
      <c r="I4" s="20"/>
    </row>
    <row r="5" spans="1:9" x14ac:dyDescent="0.45">
      <c r="A5" s="12" t="s">
        <v>35</v>
      </c>
      <c r="B5" s="12" t="s">
        <v>22</v>
      </c>
      <c r="C5" s="13">
        <v>1709897</v>
      </c>
      <c r="D5" s="29">
        <f>سربار!D13</f>
        <v>2525595.1812168951</v>
      </c>
      <c r="E5" s="13">
        <v>528099</v>
      </c>
      <c r="F5" s="13">
        <v>1344036</v>
      </c>
      <c r="G5" s="13">
        <v>765665</v>
      </c>
      <c r="H5" s="29"/>
      <c r="I5" s="20"/>
    </row>
    <row r="6" spans="1:9" x14ac:dyDescent="0.45">
      <c r="A6" s="12" t="s">
        <v>29</v>
      </c>
      <c r="B6" s="12" t="s">
        <v>22</v>
      </c>
      <c r="C6" s="13">
        <v>14780350</v>
      </c>
      <c r="D6" s="29">
        <f>D3+D4+D5</f>
        <v>22908592.817110896</v>
      </c>
      <c r="E6" s="13">
        <v>4616208</v>
      </c>
      <c r="F6" s="13">
        <v>10345599</v>
      </c>
      <c r="G6" s="13">
        <v>6996855</v>
      </c>
      <c r="H6" s="29"/>
      <c r="I6" s="20"/>
    </row>
    <row r="7" spans="1:9" x14ac:dyDescent="0.45">
      <c r="A7" s="12" t="s">
        <v>36</v>
      </c>
      <c r="B7" s="12" t="s">
        <v>22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/>
      <c r="I7" s="20"/>
    </row>
    <row r="8" spans="1:9" x14ac:dyDescent="0.45">
      <c r="A8" s="12" t="s">
        <v>37</v>
      </c>
      <c r="B8" s="12" t="s">
        <v>22</v>
      </c>
      <c r="C8" s="13">
        <v>14780350</v>
      </c>
      <c r="D8" s="29">
        <f>D6+D7</f>
        <v>22908592.817110896</v>
      </c>
      <c r="E8" s="13">
        <v>4616208</v>
      </c>
      <c r="F8" s="13">
        <v>10345599</v>
      </c>
      <c r="G8" s="13">
        <v>6996855</v>
      </c>
      <c r="H8" s="29"/>
      <c r="I8" s="20"/>
    </row>
    <row r="9" spans="1:9" x14ac:dyDescent="0.45">
      <c r="A9" s="12" t="s">
        <v>38</v>
      </c>
      <c r="B9" s="12" t="s">
        <v>22</v>
      </c>
      <c r="C9" s="13">
        <v>-156873</v>
      </c>
      <c r="D9" s="29"/>
      <c r="E9" s="13">
        <v>-217757</v>
      </c>
      <c r="F9" s="13">
        <v>-7592</v>
      </c>
      <c r="G9" s="13"/>
      <c r="H9" s="29"/>
      <c r="I9" s="20"/>
    </row>
    <row r="10" spans="1:9" x14ac:dyDescent="0.45">
      <c r="A10" s="12" t="s">
        <v>39</v>
      </c>
      <c r="B10" s="12" t="s">
        <v>22</v>
      </c>
      <c r="C10" s="17">
        <v>0</v>
      </c>
      <c r="D10" s="29"/>
      <c r="E10" s="17">
        <v>0</v>
      </c>
      <c r="F10" s="17">
        <v>0</v>
      </c>
      <c r="G10" s="17"/>
      <c r="H10" s="29"/>
      <c r="I10" s="20"/>
    </row>
    <row r="11" spans="1:9" x14ac:dyDescent="0.45">
      <c r="A11" s="12" t="s">
        <v>40</v>
      </c>
      <c r="B11" s="12" t="s">
        <v>22</v>
      </c>
      <c r="C11" s="13">
        <v>14623477</v>
      </c>
      <c r="D11" s="29"/>
      <c r="E11" s="13">
        <v>4398451</v>
      </c>
      <c r="F11" s="13">
        <v>10338007</v>
      </c>
      <c r="G11" s="13"/>
      <c r="H11" s="29"/>
      <c r="I11" s="20"/>
    </row>
    <row r="12" spans="1:9" x14ac:dyDescent="0.45">
      <c r="A12" s="12" t="s">
        <v>41</v>
      </c>
      <c r="B12" s="12" t="s">
        <v>22</v>
      </c>
      <c r="C12" s="13">
        <v>77459</v>
      </c>
      <c r="D12" s="29"/>
      <c r="E12" s="13">
        <v>75205</v>
      </c>
      <c r="F12" s="13">
        <v>75205</v>
      </c>
      <c r="G12" s="13"/>
      <c r="H12" s="29"/>
      <c r="I12" s="20"/>
    </row>
    <row r="13" spans="1:9" x14ac:dyDescent="0.45">
      <c r="A13" s="12" t="s">
        <v>42</v>
      </c>
      <c r="B13" s="12" t="s">
        <v>22</v>
      </c>
      <c r="C13" s="13">
        <v>-75205</v>
      </c>
      <c r="D13" s="29"/>
      <c r="E13" s="13">
        <v>-483814</v>
      </c>
      <c r="F13" s="13">
        <v>-168409</v>
      </c>
      <c r="G13" s="13"/>
      <c r="H13" s="29"/>
      <c r="I13" s="20"/>
    </row>
    <row r="14" spans="1:9" x14ac:dyDescent="0.45">
      <c r="A14" s="12" t="s">
        <v>43</v>
      </c>
      <c r="B14" s="12" t="s">
        <v>22</v>
      </c>
      <c r="C14" s="13">
        <v>14625731</v>
      </c>
      <c r="D14" s="29"/>
      <c r="E14" s="13">
        <v>3989842</v>
      </c>
      <c r="F14" s="13">
        <v>10244803</v>
      </c>
      <c r="G14" s="13"/>
      <c r="H14" s="29"/>
      <c r="I14" s="20"/>
    </row>
    <row r="15" spans="1:9" x14ac:dyDescent="0.45">
      <c r="A15" s="12" t="s">
        <v>44</v>
      </c>
      <c r="B15" s="12" t="s">
        <v>22</v>
      </c>
      <c r="C15" s="17">
        <v>0</v>
      </c>
      <c r="D15" s="29"/>
      <c r="E15" s="17">
        <v>0</v>
      </c>
      <c r="F15" s="17">
        <v>0</v>
      </c>
      <c r="G15" s="17"/>
      <c r="H15" s="29"/>
      <c r="I15" s="20"/>
    </row>
    <row r="16" spans="1:9" x14ac:dyDescent="0.45">
      <c r="A16" s="12" t="s">
        <v>45</v>
      </c>
      <c r="B16" s="12" t="s">
        <v>22</v>
      </c>
      <c r="C16" s="13">
        <v>14625731</v>
      </c>
      <c r="D16" s="29">
        <f>D8</f>
        <v>22908592.817110896</v>
      </c>
      <c r="E16" s="13">
        <v>3989842</v>
      </c>
      <c r="F16" s="13">
        <v>10244803</v>
      </c>
      <c r="G16" s="13"/>
      <c r="H1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topLeftCell="A13" workbookViewId="0">
      <selection activeCell="G20" sqref="G20:G26"/>
    </sheetView>
  </sheetViews>
  <sheetFormatPr defaultRowHeight="18" x14ac:dyDescent="0.45"/>
  <cols>
    <col min="1" max="1" width="18.5703125" style="1" bestFit="1" customWidth="1"/>
    <col min="2" max="2" width="9.140625" style="1"/>
    <col min="3" max="3" width="20.7109375" style="1" bestFit="1" customWidth="1"/>
    <col min="4" max="4" width="28.140625" style="1" bestFit="1" customWidth="1"/>
    <col min="5" max="5" width="22.85546875" style="1" bestFit="1" customWidth="1"/>
    <col min="6" max="6" width="22.85546875" style="1" customWidth="1"/>
    <col min="7" max="7" width="27.85546875" style="1" bestFit="1" customWidth="1"/>
    <col min="8" max="8" width="12" style="1" bestFit="1" customWidth="1"/>
    <col min="9" max="9" width="9.140625" style="1"/>
    <col min="10" max="10" width="11.28515625" style="1" bestFit="1" customWidth="1"/>
    <col min="11" max="11" width="10.85546875" style="1" bestFit="1" customWidth="1"/>
    <col min="12" max="16384" width="9.140625" style="1"/>
  </cols>
  <sheetData>
    <row r="1" spans="1:11" x14ac:dyDescent="0.45">
      <c r="A1" s="11" t="s">
        <v>46</v>
      </c>
    </row>
    <row r="2" spans="1:11" x14ac:dyDescent="0.45">
      <c r="A2" s="8" t="s">
        <v>0</v>
      </c>
      <c r="B2" s="8" t="s">
        <v>21</v>
      </c>
      <c r="C2" s="8" t="s">
        <v>14</v>
      </c>
      <c r="D2" s="10" t="s">
        <v>20</v>
      </c>
      <c r="E2" s="65" t="s">
        <v>15</v>
      </c>
      <c r="F2" s="65" t="s">
        <v>143</v>
      </c>
      <c r="G2" s="10" t="s">
        <v>141</v>
      </c>
    </row>
    <row r="3" spans="1:11" x14ac:dyDescent="0.45">
      <c r="A3" s="12" t="s">
        <v>47</v>
      </c>
      <c r="B3" s="12" t="s">
        <v>30</v>
      </c>
      <c r="C3" s="13">
        <v>5159.9920000000002</v>
      </c>
      <c r="D3" s="31">
        <f>F3+G3</f>
        <v>6136.9494628227985</v>
      </c>
      <c r="E3" s="13">
        <v>1449.175</v>
      </c>
      <c r="F3" s="13">
        <v>2852.9549999999999</v>
      </c>
      <c r="G3" s="13">
        <f>G30*('تولید و فروش'!$I$5)</f>
        <v>3283.9944628227986</v>
      </c>
      <c r="H3" s="19"/>
      <c r="I3" s="19"/>
      <c r="J3" s="19"/>
    </row>
    <row r="4" spans="1:11" x14ac:dyDescent="0.45">
      <c r="A4" s="12" t="s">
        <v>48</v>
      </c>
      <c r="B4" s="12" t="s">
        <v>30</v>
      </c>
      <c r="C4" s="13">
        <v>8907.1749999999993</v>
      </c>
      <c r="D4" s="31">
        <f t="shared" ref="D4:D7" si="0">F4+G4</f>
        <v>10664.809211245611</v>
      </c>
      <c r="E4" s="13">
        <v>2474.605</v>
      </c>
      <c r="F4" s="13">
        <v>4995.9799999999996</v>
      </c>
      <c r="G4" s="13">
        <f>G31*('تولید و فروش'!$I$5)</f>
        <v>5668.8292112456111</v>
      </c>
      <c r="H4" s="19"/>
      <c r="I4" s="19"/>
      <c r="J4" s="19"/>
    </row>
    <row r="5" spans="1:11" x14ac:dyDescent="0.45">
      <c r="A5" s="12" t="s">
        <v>49</v>
      </c>
      <c r="B5" s="12" t="s">
        <v>30</v>
      </c>
      <c r="C5" s="13">
        <v>7591.1239999999998</v>
      </c>
      <c r="D5" s="31">
        <f t="shared" si="0"/>
        <v>9139.0355799608333</v>
      </c>
      <c r="E5" s="13">
        <v>2136.0300000000002</v>
      </c>
      <c r="F5" s="13">
        <v>4307.7860000000001</v>
      </c>
      <c r="G5" s="13">
        <f>G32*('تولید و فروش'!$I$5)</f>
        <v>4831.2495799608323</v>
      </c>
      <c r="H5" s="19"/>
      <c r="I5" s="19"/>
      <c r="J5" s="19"/>
    </row>
    <row r="6" spans="1:11" x14ac:dyDescent="0.45">
      <c r="A6" s="12" t="s">
        <v>50</v>
      </c>
      <c r="B6" s="12" t="s">
        <v>30</v>
      </c>
      <c r="C6" s="13">
        <v>4623.0280000000002</v>
      </c>
      <c r="D6" s="31">
        <f t="shared" si="0"/>
        <v>5631.2683045529448</v>
      </c>
      <c r="E6" s="13">
        <v>1278.1859999999999</v>
      </c>
      <c r="F6" s="13">
        <v>2689.0160000000001</v>
      </c>
      <c r="G6" s="13">
        <f>G33*('تولید و فروش'!$I$5)</f>
        <v>2942.2523045529447</v>
      </c>
      <c r="H6" s="19"/>
      <c r="I6" s="19"/>
      <c r="J6" s="19"/>
    </row>
    <row r="7" spans="1:11" x14ac:dyDescent="0.45">
      <c r="A7" s="12" t="s">
        <v>51</v>
      </c>
      <c r="B7" s="12" t="s">
        <v>30</v>
      </c>
      <c r="C7" s="13">
        <v>3952.444</v>
      </c>
      <c r="D7" s="31">
        <f t="shared" si="0"/>
        <v>4781.9048322433819</v>
      </c>
      <c r="E7" s="13">
        <v>1121.8219999999999</v>
      </c>
      <c r="F7" s="13">
        <v>2266.4349999999999</v>
      </c>
      <c r="G7" s="13">
        <f>G34*('تولید و فروش'!$I$5)</f>
        <v>2515.4698322433819</v>
      </c>
      <c r="H7" s="19"/>
      <c r="I7" s="19"/>
      <c r="J7" s="19"/>
    </row>
    <row r="8" spans="1:11" x14ac:dyDescent="0.45">
      <c r="A8" s="12" t="s">
        <v>53</v>
      </c>
      <c r="B8" s="12" t="s">
        <v>30</v>
      </c>
      <c r="C8" s="13">
        <f>SUM(C3:C7)</f>
        <v>30233.762999999995</v>
      </c>
      <c r="D8" s="31">
        <f>F8+G8</f>
        <v>36353.967390825565</v>
      </c>
      <c r="E8" s="13">
        <f>SUM(E3:E7)</f>
        <v>8459.8179999999993</v>
      </c>
      <c r="F8" s="13">
        <v>17112.171999999999</v>
      </c>
      <c r="G8" s="13">
        <f>SUM(G3:G7)</f>
        <v>19241.795390825569</v>
      </c>
    </row>
    <row r="10" spans="1:11" x14ac:dyDescent="0.45">
      <c r="A10" s="11" t="s">
        <v>52</v>
      </c>
    </row>
    <row r="11" spans="1:11" x14ac:dyDescent="0.45">
      <c r="A11" s="8" t="s">
        <v>0</v>
      </c>
      <c r="B11" s="8" t="s">
        <v>21</v>
      </c>
      <c r="C11" s="8" t="s">
        <v>14</v>
      </c>
      <c r="D11" s="10" t="s">
        <v>20</v>
      </c>
      <c r="E11" s="65" t="s">
        <v>15</v>
      </c>
      <c r="F11" s="65" t="s">
        <v>143</v>
      </c>
      <c r="G11" s="10" t="s">
        <v>141</v>
      </c>
      <c r="J11" s="12" t="s">
        <v>84</v>
      </c>
      <c r="K11" s="12"/>
    </row>
    <row r="12" spans="1:11" x14ac:dyDescent="0.45">
      <c r="A12" s="12" t="s">
        <v>47</v>
      </c>
      <c r="B12" s="12" t="s">
        <v>31</v>
      </c>
      <c r="C12" s="13">
        <f>(C21/C3)*1000000</f>
        <v>479418572.74197322</v>
      </c>
      <c r="D12" s="13"/>
      <c r="E12" s="13">
        <f t="shared" ref="E12" si="1">(E21/E3)*1000000</f>
        <v>470811323.68416512</v>
      </c>
      <c r="F12" s="13">
        <f>F21*1000000/F3</f>
        <v>509282130.28246152</v>
      </c>
      <c r="G12" s="13">
        <f>F12*پنل!$D$3/پنل!$C$3</f>
        <v>572942396.56776917</v>
      </c>
      <c r="H12" s="1" t="s">
        <v>74</v>
      </c>
      <c r="J12" s="12" t="s">
        <v>78</v>
      </c>
      <c r="K12" s="12">
        <v>178.12</v>
      </c>
    </row>
    <row r="13" spans="1:11" x14ac:dyDescent="0.45">
      <c r="A13" s="12" t="s">
        <v>48</v>
      </c>
      <c r="B13" s="12" t="s">
        <v>31</v>
      </c>
      <c r="C13" s="13">
        <f t="shared" ref="C13:E17" si="2">(C22/C4)*1000000</f>
        <v>441172313.33166802</v>
      </c>
      <c r="D13" s="13"/>
      <c r="E13" s="13">
        <f t="shared" si="2"/>
        <v>479693526.8456986</v>
      </c>
      <c r="F13" s="13">
        <f t="shared" ref="F13:F16" si="3">F22*1000000/F4</f>
        <v>498678337.3832562</v>
      </c>
      <c r="G13" s="13">
        <f>F13*پنل!$D$3/پنل!$C$3</f>
        <v>561013129.55616319</v>
      </c>
      <c r="H13" s="1" t="s">
        <v>75</v>
      </c>
      <c r="J13" s="12" t="s">
        <v>79</v>
      </c>
      <c r="K13" s="12">
        <v>179.84</v>
      </c>
    </row>
    <row r="14" spans="1:11" x14ac:dyDescent="0.45">
      <c r="A14" s="12" t="s">
        <v>49</v>
      </c>
      <c r="B14" s="12" t="s">
        <v>31</v>
      </c>
      <c r="C14" s="13">
        <f t="shared" si="2"/>
        <v>224111211.98915997</v>
      </c>
      <c r="D14" s="13"/>
      <c r="E14" s="13">
        <f t="shared" si="2"/>
        <v>281941264.86987537</v>
      </c>
      <c r="F14" s="13">
        <f t="shared" si="3"/>
        <v>311280086.80096924</v>
      </c>
      <c r="G14" s="13">
        <f>F14*پنل!$D$3/پنل!$C$3</f>
        <v>350190097.65109044</v>
      </c>
      <c r="H14" s="1" t="s">
        <v>76</v>
      </c>
      <c r="J14" s="12" t="s">
        <v>82</v>
      </c>
      <c r="K14" s="12">
        <v>175.18</v>
      </c>
    </row>
    <row r="15" spans="1:11" x14ac:dyDescent="0.45">
      <c r="A15" s="12" t="s">
        <v>50</v>
      </c>
      <c r="B15" s="12" t="s">
        <v>31</v>
      </c>
      <c r="C15" s="13">
        <f t="shared" si="2"/>
        <v>545602579.08885682</v>
      </c>
      <c r="D15" s="13"/>
      <c r="E15" s="13">
        <f t="shared" si="2"/>
        <v>680063777.88522172</v>
      </c>
      <c r="F15" s="13">
        <f t="shared" si="3"/>
        <v>691621767.96270454</v>
      </c>
      <c r="G15" s="13">
        <f>F15*پنل!$D$3/پنل!$C$3</f>
        <v>778074488.95804262</v>
      </c>
      <c r="H15" s="1" t="s">
        <v>77</v>
      </c>
      <c r="J15" s="12" t="s">
        <v>80</v>
      </c>
      <c r="K15" s="12">
        <f>AVERAGE(K12:K14)</f>
        <v>177.71333333333337</v>
      </c>
    </row>
    <row r="16" spans="1:11" x14ac:dyDescent="0.45">
      <c r="A16" s="12" t="s">
        <v>51</v>
      </c>
      <c r="B16" s="12" t="s">
        <v>31</v>
      </c>
      <c r="C16" s="13">
        <f t="shared" si="2"/>
        <v>397049015.7482307</v>
      </c>
      <c r="D16" s="13"/>
      <c r="E16" s="13">
        <f t="shared" si="2"/>
        <v>474477234.35625267</v>
      </c>
      <c r="F16" s="13">
        <f t="shared" si="3"/>
        <v>510201263.21734357</v>
      </c>
      <c r="G16" s="13">
        <f>F16*پنل!$D$3/پنل!$C$3</f>
        <v>573976421.11951149</v>
      </c>
      <c r="H16" s="1" t="s">
        <v>77</v>
      </c>
      <c r="J16" s="12" t="s">
        <v>81</v>
      </c>
      <c r="K16" s="12">
        <v>158</v>
      </c>
    </row>
    <row r="17" spans="1:13" x14ac:dyDescent="0.45">
      <c r="A17" s="12" t="s">
        <v>53</v>
      </c>
      <c r="B17" s="12" t="s">
        <v>31</v>
      </c>
      <c r="C17" s="13">
        <f t="shared" si="2"/>
        <v>403400033.26744348</v>
      </c>
      <c r="D17" s="13"/>
      <c r="E17" s="13">
        <f t="shared" si="2"/>
        <v>457823324.33156371</v>
      </c>
      <c r="F17" s="13"/>
      <c r="G17" s="13"/>
      <c r="J17" s="12" t="s">
        <v>83</v>
      </c>
      <c r="K17" s="38">
        <f>(K16/K15)-1</f>
        <v>-0.11092771129534473</v>
      </c>
    </row>
    <row r="19" spans="1:13" x14ac:dyDescent="0.45">
      <c r="A19" s="11" t="s">
        <v>54</v>
      </c>
      <c r="J19" s="12" t="s">
        <v>85</v>
      </c>
      <c r="K19" s="12"/>
      <c r="L19" s="12" t="s">
        <v>87</v>
      </c>
      <c r="M19" s="12"/>
    </row>
    <row r="20" spans="1:13" x14ac:dyDescent="0.45">
      <c r="A20" s="8" t="s">
        <v>0</v>
      </c>
      <c r="B20" s="8" t="s">
        <v>21</v>
      </c>
      <c r="C20" s="8" t="s">
        <v>14</v>
      </c>
      <c r="D20" s="10" t="s">
        <v>20</v>
      </c>
      <c r="E20" s="65" t="s">
        <v>15</v>
      </c>
      <c r="F20" s="65" t="s">
        <v>143</v>
      </c>
      <c r="G20" s="10" t="s">
        <v>141</v>
      </c>
      <c r="J20" s="12" t="s">
        <v>86</v>
      </c>
      <c r="K20" s="29">
        <v>443221.2</v>
      </c>
      <c r="L20" s="29">
        <v>239000</v>
      </c>
      <c r="M20" s="12">
        <f>K20/L20</f>
        <v>1.854482008368201</v>
      </c>
    </row>
    <row r="21" spans="1:13" x14ac:dyDescent="0.45">
      <c r="A21" s="12" t="s">
        <v>47</v>
      </c>
      <c r="B21" s="12" t="s">
        <v>22</v>
      </c>
      <c r="C21" s="13">
        <v>2473796</v>
      </c>
      <c r="D21" s="68">
        <f>F21+G21</f>
        <v>3334498.6578449779</v>
      </c>
      <c r="E21" s="13">
        <v>682288</v>
      </c>
      <c r="F21" s="13">
        <v>1452959</v>
      </c>
      <c r="G21" s="31">
        <f>G12*G3/1000000</f>
        <v>1881539.6578449779</v>
      </c>
      <c r="J21" s="12" t="s">
        <v>81</v>
      </c>
      <c r="K21" s="29">
        <v>507867</v>
      </c>
      <c r="L21" s="29">
        <v>270000</v>
      </c>
      <c r="M21" s="12">
        <f>K21/L21</f>
        <v>1.8809888888888888</v>
      </c>
    </row>
    <row r="22" spans="1:13" x14ac:dyDescent="0.45">
      <c r="A22" s="12" t="s">
        <v>48</v>
      </c>
      <c r="B22" s="12" t="s">
        <v>22</v>
      </c>
      <c r="C22" s="13">
        <v>3929599</v>
      </c>
      <c r="D22" s="68">
        <f t="shared" ref="D22:D25" si="4">F22+G22</f>
        <v>5671674.6167202964</v>
      </c>
      <c r="E22" s="13">
        <v>1187052</v>
      </c>
      <c r="F22" s="13">
        <v>2491387</v>
      </c>
      <c r="G22" s="31">
        <f t="shared" ref="G22:G25" si="5">G13*G4/1000000</f>
        <v>3180287.6167202964</v>
      </c>
      <c r="J22" s="12" t="s">
        <v>83</v>
      </c>
      <c r="K22" s="22">
        <f>K21/K20-1</f>
        <v>0.14585448529989087</v>
      </c>
      <c r="L22" s="12"/>
      <c r="M22" s="38">
        <f>M21/M20-1</f>
        <v>1.4293414765458756E-2</v>
      </c>
    </row>
    <row r="23" spans="1:13" x14ac:dyDescent="0.45">
      <c r="A23" s="12" t="s">
        <v>49</v>
      </c>
      <c r="B23" s="12" t="s">
        <v>22</v>
      </c>
      <c r="C23" s="13">
        <v>1701256</v>
      </c>
      <c r="D23" s="68">
        <f t="shared" si="4"/>
        <v>3032783.7621832732</v>
      </c>
      <c r="E23" s="13">
        <v>602235</v>
      </c>
      <c r="F23" s="13">
        <v>1340928</v>
      </c>
      <c r="G23" s="31">
        <f t="shared" si="5"/>
        <v>1691855.7621832734</v>
      </c>
    </row>
    <row r="24" spans="1:13" x14ac:dyDescent="0.45">
      <c r="A24" s="12" t="s">
        <v>50</v>
      </c>
      <c r="B24" s="12" t="s">
        <v>22</v>
      </c>
      <c r="C24" s="13">
        <v>2522336</v>
      </c>
      <c r="D24" s="68">
        <f t="shared" si="4"/>
        <v>4149073.4582506558</v>
      </c>
      <c r="E24" s="13">
        <v>869248</v>
      </c>
      <c r="F24" s="13">
        <v>1859782</v>
      </c>
      <c r="G24" s="31">
        <f t="shared" si="5"/>
        <v>2289291.4582506558</v>
      </c>
    </row>
    <row r="25" spans="1:13" x14ac:dyDescent="0.45">
      <c r="A25" s="12" t="s">
        <v>51</v>
      </c>
      <c r="B25" s="12" t="s">
        <v>22</v>
      </c>
      <c r="C25" s="13">
        <v>1569314</v>
      </c>
      <c r="D25" s="68">
        <f t="shared" si="4"/>
        <v>2600158.3717451543</v>
      </c>
      <c r="E25" s="13">
        <v>532279</v>
      </c>
      <c r="F25" s="13">
        <v>1156338</v>
      </c>
      <c r="G25" s="31">
        <f t="shared" si="5"/>
        <v>1443820.3717451543</v>
      </c>
      <c r="J25" s="12" t="s">
        <v>88</v>
      </c>
      <c r="K25" s="12"/>
    </row>
    <row r="26" spans="1:13" x14ac:dyDescent="0.45">
      <c r="A26" s="12" t="s">
        <v>53</v>
      </c>
      <c r="B26" s="12" t="s">
        <v>22</v>
      </c>
      <c r="C26" s="13">
        <f>SUM(C21:C25)</f>
        <v>12196301</v>
      </c>
      <c r="D26" s="68">
        <f>F26+G26</f>
        <v>18788188.866744358</v>
      </c>
      <c r="E26" s="13">
        <f>SUM(E21:E25)</f>
        <v>3873102</v>
      </c>
      <c r="F26" s="13">
        <f>SUM(F21:F25)</f>
        <v>8301394</v>
      </c>
      <c r="G26" s="31">
        <f>SUM(G21:G25)</f>
        <v>10486794.866744358</v>
      </c>
      <c r="J26" s="12" t="s">
        <v>78</v>
      </c>
      <c r="K26" s="13">
        <v>266747819</v>
      </c>
    </row>
    <row r="27" spans="1:13" x14ac:dyDescent="0.45">
      <c r="J27" s="12" t="s">
        <v>89</v>
      </c>
      <c r="K27" s="13">
        <v>278530101</v>
      </c>
    </row>
    <row r="28" spans="1:13" x14ac:dyDescent="0.45">
      <c r="A28" s="11" t="s">
        <v>55</v>
      </c>
      <c r="J28" s="12" t="s">
        <v>82</v>
      </c>
      <c r="K28" s="13">
        <v>301014947</v>
      </c>
    </row>
    <row r="29" spans="1:13" x14ac:dyDescent="0.45">
      <c r="A29" s="8" t="s">
        <v>0</v>
      </c>
      <c r="B29" s="8" t="s">
        <v>21</v>
      </c>
      <c r="C29" s="8" t="s">
        <v>14</v>
      </c>
      <c r="D29" s="10" t="s">
        <v>20</v>
      </c>
      <c r="E29" s="65" t="s">
        <v>15</v>
      </c>
      <c r="F29" s="65" t="s">
        <v>143</v>
      </c>
      <c r="G29" s="10" t="s">
        <v>141</v>
      </c>
      <c r="J29" s="12" t="s">
        <v>80</v>
      </c>
      <c r="K29" s="13">
        <f>AVERAGE(K26:K28)</f>
        <v>282097622.33333331</v>
      </c>
    </row>
    <row r="30" spans="1:13" x14ac:dyDescent="0.45">
      <c r="A30" s="12" t="s">
        <v>47</v>
      </c>
      <c r="B30" s="12"/>
      <c r="C30" s="22">
        <f>C3/'تولید و فروش'!C$5</f>
        <v>0.17422987574284171</v>
      </c>
      <c r="D30" s="37">
        <f>C30</f>
        <v>0.17422987574284171</v>
      </c>
      <c r="E30" s="22">
        <f>E3/'تولید و فروش'!E$5</f>
        <v>0.1779001964154186</v>
      </c>
      <c r="F30" s="22">
        <f>F3/('تولید و فروش'!$F$5+'تولید و فروش'!$H$5)</f>
        <v>0.17236971924378466</v>
      </c>
      <c r="G30" s="37">
        <f>C30</f>
        <v>0.17422987574284171</v>
      </c>
      <c r="J30" s="12" t="s">
        <v>81</v>
      </c>
      <c r="K30" s="13">
        <v>421609686</v>
      </c>
    </row>
    <row r="31" spans="1:13" x14ac:dyDescent="0.45">
      <c r="A31" s="12" t="s">
        <v>48</v>
      </c>
      <c r="B31" s="12"/>
      <c r="C31" s="22">
        <f>C4/'تولید و فروش'!C$5</f>
        <v>0.3007555037817396</v>
      </c>
      <c r="D31" s="37">
        <f t="shared" ref="D31:D35" si="6">C31</f>
        <v>0.3007555037817396</v>
      </c>
      <c r="E31" s="22">
        <f>E4/'تولید و فروش'!E$5</f>
        <v>0.30378161060643261</v>
      </c>
      <c r="F31" s="22">
        <f>F4/('تولید و فروش'!$F$5+'تولید و فروش'!$H$5)</f>
        <v>0.30184691659965307</v>
      </c>
      <c r="G31" s="37">
        <f t="shared" ref="G31:G35" si="7">C31</f>
        <v>0.3007555037817396</v>
      </c>
      <c r="J31" s="12" t="s">
        <v>90</v>
      </c>
      <c r="K31" s="29">
        <f>K29/L20</f>
        <v>1180.3247796373778</v>
      </c>
    </row>
    <row r="32" spans="1:13" x14ac:dyDescent="0.45">
      <c r="A32" s="12" t="s">
        <v>49</v>
      </c>
      <c r="B32" s="12"/>
      <c r="C32" s="22">
        <f>C5/'تولید و فروش'!C$5</f>
        <v>0.25631834143706106</v>
      </c>
      <c r="D32" s="37">
        <f t="shared" si="6"/>
        <v>0.25631834143706106</v>
      </c>
      <c r="E32" s="22">
        <f>E5/'تولید و فروش'!E$5</f>
        <v>0.26221826663393077</v>
      </c>
      <c r="F32" s="22">
        <f>F5/('تولید و فروش'!$F$5+'تولید و فروش'!$H$5)</f>
        <v>0.26026763947636966</v>
      </c>
      <c r="G32" s="37">
        <f t="shared" si="7"/>
        <v>0.25631834143706106</v>
      </c>
      <c r="J32" s="12" t="s">
        <v>91</v>
      </c>
      <c r="K32" s="39">
        <f>K30/L21</f>
        <v>1561.5173555555555</v>
      </c>
    </row>
    <row r="33" spans="1:11" x14ac:dyDescent="0.45">
      <c r="A33" s="12" t="s">
        <v>50</v>
      </c>
      <c r="B33" s="12"/>
      <c r="C33" s="22">
        <f>C6/'تولید و فروش'!C$5</f>
        <v>0.15609900054024853</v>
      </c>
      <c r="D33" s="37">
        <f t="shared" si="6"/>
        <v>0.15609900054024853</v>
      </c>
      <c r="E33" s="22">
        <f>E6/'تولید و فروش'!E$5</f>
        <v>0.15690964890743922</v>
      </c>
      <c r="F33" s="22">
        <f>F6/('تولید و فروش'!$F$5+'تولید و فروش'!$H$5)</f>
        <v>0.16246485940438768</v>
      </c>
      <c r="G33" s="37">
        <f t="shared" si="7"/>
        <v>0.15609900054024853</v>
      </c>
      <c r="J33" s="12" t="s">
        <v>92</v>
      </c>
      <c r="K33" s="38">
        <f>K32/K31-1</f>
        <v>0.32295566652026797</v>
      </c>
    </row>
    <row r="34" spans="1:11" x14ac:dyDescent="0.45">
      <c r="A34" s="12" t="s">
        <v>51</v>
      </c>
      <c r="B34" s="12"/>
      <c r="C34" s="22">
        <f>C7/'تولید و فروش'!C$5</f>
        <v>0.13345637493246892</v>
      </c>
      <c r="D34" s="37">
        <f t="shared" si="6"/>
        <v>0.13345637493246892</v>
      </c>
      <c r="E34" s="22">
        <f>E7/'تولید و فروش'!E$5</f>
        <v>0.13771446108519517</v>
      </c>
      <c r="F34" s="22">
        <f>F7/('تولید و فروش'!$F$5+'تولید و فروش'!$H$5)</f>
        <v>0.13693337772039416</v>
      </c>
      <c r="G34" s="37">
        <f t="shared" si="7"/>
        <v>0.13345637493246892</v>
      </c>
    </row>
    <row r="35" spans="1:11" x14ac:dyDescent="0.45">
      <c r="A35" s="12" t="s">
        <v>53</v>
      </c>
      <c r="B35" s="12"/>
      <c r="C35" s="22">
        <f>C8/'تولید و فروش'!C$5</f>
        <v>1.0208590964343596</v>
      </c>
      <c r="D35" s="37">
        <f t="shared" si="6"/>
        <v>1.0208590964343596</v>
      </c>
      <c r="E35" s="22">
        <f>E8/'تولید و فروش'!E$5</f>
        <v>1.0385241836484163</v>
      </c>
      <c r="F35" s="22">
        <f>F8/('تولید و فروش'!$F$5+'تولید و فروش'!$H$5)</f>
        <v>1.0338825124445892</v>
      </c>
      <c r="G35" s="37">
        <f t="shared" si="7"/>
        <v>1.0208590964343596</v>
      </c>
    </row>
    <row r="36" spans="1:11" x14ac:dyDescent="0.45">
      <c r="C36" s="19"/>
    </row>
    <row r="37" spans="1:11" x14ac:dyDescent="0.45">
      <c r="C37" s="19"/>
    </row>
    <row r="38" spans="1:11" x14ac:dyDescent="0.45">
      <c r="C38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rightToLeft="1" workbookViewId="0">
      <selection activeCell="D11" sqref="D11"/>
    </sheetView>
  </sheetViews>
  <sheetFormatPr defaultRowHeight="18" x14ac:dyDescent="0.45"/>
  <cols>
    <col min="1" max="1" width="26.7109375" style="1" bestFit="1" customWidth="1"/>
    <col min="2" max="2" width="9.140625" style="1"/>
    <col min="3" max="3" width="20.7109375" style="1" bestFit="1" customWidth="1"/>
    <col min="4" max="4" width="28.140625" style="1" bestFit="1" customWidth="1"/>
    <col min="5" max="5" width="22.85546875" style="1" bestFit="1" customWidth="1"/>
    <col min="6" max="6" width="22.85546875" style="1" customWidth="1"/>
    <col min="7" max="7" width="26.85546875" style="1" bestFit="1" customWidth="1"/>
    <col min="8" max="8" width="27.85546875" style="1" bestFit="1" customWidth="1"/>
  </cols>
  <sheetData>
    <row r="2" spans="1:8" x14ac:dyDescent="0.25">
      <c r="A2" s="8" t="s">
        <v>0</v>
      </c>
      <c r="B2" s="8" t="s">
        <v>21</v>
      </c>
      <c r="C2" s="8" t="s">
        <v>14</v>
      </c>
      <c r="D2" s="10" t="s">
        <v>20</v>
      </c>
      <c r="E2" s="65" t="s">
        <v>15</v>
      </c>
      <c r="F2" s="65" t="s">
        <v>145</v>
      </c>
      <c r="G2" s="9" t="s">
        <v>18</v>
      </c>
      <c r="H2" s="10" t="s">
        <v>19</v>
      </c>
    </row>
    <row r="3" spans="1:8" x14ac:dyDescent="0.45">
      <c r="A3" s="12" t="s">
        <v>56</v>
      </c>
      <c r="B3" s="12" t="s">
        <v>22</v>
      </c>
      <c r="C3" s="13">
        <v>936342</v>
      </c>
      <c r="D3" s="30">
        <f>C3*(1+پنل!D4)*('تولید و فروش'!D5/'تولید و فروش'!C5+3)/4</f>
        <v>1632282.5131923978</v>
      </c>
      <c r="E3" s="13">
        <v>194845</v>
      </c>
      <c r="F3" s="13">
        <v>272469</v>
      </c>
      <c r="G3" s="13">
        <v>693050</v>
      </c>
      <c r="H3" s="29">
        <f>D3-E3</f>
        <v>1437437.5131923978</v>
      </c>
    </row>
    <row r="4" spans="1:8" x14ac:dyDescent="0.45">
      <c r="A4" s="12" t="s">
        <v>57</v>
      </c>
      <c r="B4" s="12" t="s">
        <v>22</v>
      </c>
      <c r="C4" s="13">
        <v>166574</v>
      </c>
      <c r="D4" s="29">
        <f>H4+E4</f>
        <v>200362</v>
      </c>
      <c r="E4" s="13">
        <v>48092</v>
      </c>
      <c r="F4" s="13">
        <v>74624</v>
      </c>
      <c r="G4" s="13">
        <v>152270</v>
      </c>
      <c r="H4" s="29">
        <f>G4</f>
        <v>152270</v>
      </c>
    </row>
    <row r="5" spans="1:8" x14ac:dyDescent="0.45">
      <c r="A5" s="12" t="s">
        <v>58</v>
      </c>
      <c r="B5" s="12" t="s">
        <v>22</v>
      </c>
      <c r="C5" s="13">
        <v>82121</v>
      </c>
      <c r="D5" s="29">
        <f>H5+E5</f>
        <v>104160</v>
      </c>
      <c r="E5" s="13">
        <v>38202</v>
      </c>
      <c r="F5" s="13">
        <v>22099</v>
      </c>
      <c r="G5" s="13">
        <v>65958</v>
      </c>
      <c r="H5" s="29">
        <f>G5</f>
        <v>65958</v>
      </c>
    </row>
    <row r="6" spans="1:8" x14ac:dyDescent="0.45">
      <c r="A6" s="12" t="s">
        <v>59</v>
      </c>
      <c r="B6" s="12" t="s">
        <v>22</v>
      </c>
      <c r="C6" s="13">
        <v>111031</v>
      </c>
      <c r="D6" s="29">
        <f>C6*('مواد مستقیم'!D26/'مواد مستقیم'!C26)</f>
        <v>171041.31802449716</v>
      </c>
      <c r="E6" s="13">
        <v>59978</v>
      </c>
      <c r="F6" s="13">
        <v>59377</v>
      </c>
      <c r="G6" s="13">
        <v>121783</v>
      </c>
      <c r="H6" s="29">
        <f>D6-E6</f>
        <v>111063.31802449716</v>
      </c>
    </row>
    <row r="7" spans="1:8" x14ac:dyDescent="0.45">
      <c r="A7" s="12" t="s">
        <v>60</v>
      </c>
      <c r="B7" s="12" t="s">
        <v>22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</row>
    <row r="8" spans="1:8" x14ac:dyDescent="0.45">
      <c r="A8" s="12" t="s">
        <v>61</v>
      </c>
      <c r="B8" s="12" t="s">
        <v>22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</row>
    <row r="9" spans="1:8" x14ac:dyDescent="0.45">
      <c r="A9" s="12" t="s">
        <v>62</v>
      </c>
      <c r="B9" s="12" t="s">
        <v>22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</row>
    <row r="10" spans="1:8" x14ac:dyDescent="0.45">
      <c r="A10" s="12" t="s">
        <v>63</v>
      </c>
      <c r="B10" s="12" t="s">
        <v>22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</row>
    <row r="11" spans="1:8" x14ac:dyDescent="0.45">
      <c r="A11" s="12" t="s">
        <v>64</v>
      </c>
      <c r="B11" s="12" t="s">
        <v>22</v>
      </c>
      <c r="C11" s="13">
        <v>11201</v>
      </c>
      <c r="D11" s="30">
        <f>C11*(1+پنل!D9)</f>
        <v>15121.35</v>
      </c>
      <c r="E11" s="13">
        <v>3517</v>
      </c>
      <c r="F11" s="13">
        <v>4046</v>
      </c>
      <c r="G11" s="13">
        <v>10052</v>
      </c>
      <c r="H11" s="29">
        <f>D11-E11</f>
        <v>11604.35</v>
      </c>
    </row>
    <row r="12" spans="1:8" x14ac:dyDescent="0.45">
      <c r="A12" s="12" t="s">
        <v>65</v>
      </c>
      <c r="B12" s="12" t="s">
        <v>22</v>
      </c>
      <c r="C12" s="13">
        <v>402628</v>
      </c>
      <c r="D12" s="30">
        <f>C12*(1+پنل!D8)</f>
        <v>402628</v>
      </c>
      <c r="E12" s="13">
        <v>183465</v>
      </c>
      <c r="F12" s="13">
        <v>333050</v>
      </c>
      <c r="G12" s="13">
        <v>530713</v>
      </c>
      <c r="H12" s="29">
        <f>D12-E12</f>
        <v>219163</v>
      </c>
    </row>
    <row r="13" spans="1:8" x14ac:dyDescent="0.45">
      <c r="A13" s="12" t="s">
        <v>29</v>
      </c>
      <c r="B13" s="12" t="s">
        <v>22</v>
      </c>
      <c r="C13" s="13">
        <v>1709897</v>
      </c>
      <c r="D13" s="29">
        <f>SUM(D3:D12)</f>
        <v>2525595.1812168951</v>
      </c>
      <c r="E13" s="13">
        <v>528099</v>
      </c>
      <c r="F13" s="13">
        <v>765665</v>
      </c>
      <c r="G13" s="13">
        <v>1573826</v>
      </c>
      <c r="H13" s="29">
        <f>SUM(H3:H12)</f>
        <v>1997496.1812168951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rightToLeft="1" workbookViewId="0">
      <selection activeCell="C14" sqref="C14"/>
    </sheetView>
  </sheetViews>
  <sheetFormatPr defaultRowHeight="18" x14ac:dyDescent="0.45"/>
  <cols>
    <col min="1" max="1" width="26.7109375" style="1" bestFit="1" customWidth="1"/>
    <col min="2" max="2" width="9.140625" style="1"/>
    <col min="3" max="3" width="20.7109375" style="1" bestFit="1" customWidth="1"/>
    <col min="4" max="4" width="22.85546875" style="1" bestFit="1" customWidth="1"/>
    <col min="5" max="5" width="26.85546875" style="1" bestFit="1" customWidth="1"/>
    <col min="6" max="6" width="27.85546875" style="1" bestFit="1" customWidth="1"/>
    <col min="7" max="7" width="28.140625" style="1" bestFit="1" customWidth="1"/>
  </cols>
  <sheetData>
    <row r="2" spans="1:7" x14ac:dyDescent="0.25">
      <c r="A2" s="8" t="s">
        <v>0</v>
      </c>
      <c r="B2" s="8" t="s">
        <v>21</v>
      </c>
      <c r="C2" s="8" t="s">
        <v>14</v>
      </c>
      <c r="D2" s="8" t="s">
        <v>15</v>
      </c>
      <c r="E2" s="9" t="s">
        <v>18</v>
      </c>
      <c r="F2" s="10" t="s">
        <v>19</v>
      </c>
      <c r="G2" s="10" t="s">
        <v>20</v>
      </c>
    </row>
    <row r="3" spans="1:7" x14ac:dyDescent="0.45">
      <c r="A3" s="12" t="s">
        <v>56</v>
      </c>
      <c r="B3" s="12" t="s">
        <v>22</v>
      </c>
      <c r="C3" s="13">
        <v>321225</v>
      </c>
      <c r="D3" s="13">
        <v>79915</v>
      </c>
      <c r="E3" s="13">
        <v>309972</v>
      </c>
      <c r="F3" s="29">
        <f>G3-D3</f>
        <v>453993.88422689342</v>
      </c>
      <c r="G3" s="30">
        <f>(1+پنل!D4)*C3</f>
        <v>533908.88422689342</v>
      </c>
    </row>
    <row r="4" spans="1:7" x14ac:dyDescent="0.45">
      <c r="A4" s="12" t="s">
        <v>57</v>
      </c>
      <c r="B4" s="12" t="s">
        <v>22</v>
      </c>
      <c r="C4" s="13">
        <v>14594</v>
      </c>
      <c r="D4" s="13">
        <v>6343</v>
      </c>
      <c r="E4" s="13">
        <v>12549</v>
      </c>
      <c r="F4" s="29">
        <f>E4</f>
        <v>12549</v>
      </c>
      <c r="G4" s="29">
        <f>F4+D4</f>
        <v>18892</v>
      </c>
    </row>
    <row r="5" spans="1:7" x14ac:dyDescent="0.45">
      <c r="A5" s="12" t="s">
        <v>58</v>
      </c>
      <c r="B5" s="12" t="s">
        <v>22</v>
      </c>
      <c r="C5" s="13">
        <v>1183</v>
      </c>
      <c r="D5" s="13">
        <v>733</v>
      </c>
      <c r="E5" s="13">
        <v>1050</v>
      </c>
      <c r="F5" s="29">
        <f>E5</f>
        <v>1050</v>
      </c>
      <c r="G5" s="29">
        <f>D5+E5</f>
        <v>1783</v>
      </c>
    </row>
    <row r="6" spans="1:7" x14ac:dyDescent="0.45">
      <c r="A6" s="12" t="s">
        <v>59</v>
      </c>
      <c r="B6" s="12" t="s">
        <v>22</v>
      </c>
      <c r="C6" s="13">
        <v>6558</v>
      </c>
      <c r="D6" s="13">
        <v>2082</v>
      </c>
      <c r="E6" s="13">
        <v>5590</v>
      </c>
      <c r="F6" s="29">
        <f>G6-D6</f>
        <v>4476</v>
      </c>
      <c r="G6" s="30">
        <f>C6*(1+پنل!D8)</f>
        <v>6558</v>
      </c>
    </row>
    <row r="7" spans="1:7" x14ac:dyDescent="0.45">
      <c r="A7" s="12" t="s">
        <v>60</v>
      </c>
      <c r="B7" s="12" t="s">
        <v>22</v>
      </c>
      <c r="C7" s="29">
        <v>45630</v>
      </c>
      <c r="D7" s="29">
        <v>8635</v>
      </c>
      <c r="E7" s="29">
        <v>56925</v>
      </c>
      <c r="F7" s="29">
        <f>G7-D7</f>
        <v>36995</v>
      </c>
      <c r="G7" s="30">
        <f>C7*(1+پنل!D8)</f>
        <v>45630</v>
      </c>
    </row>
    <row r="8" spans="1:7" x14ac:dyDescent="0.45">
      <c r="A8" s="12" t="s">
        <v>61</v>
      </c>
      <c r="B8" s="12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</row>
    <row r="9" spans="1:7" x14ac:dyDescent="0.45">
      <c r="A9" s="12" t="s">
        <v>62</v>
      </c>
      <c r="B9" s="12" t="s">
        <v>22</v>
      </c>
      <c r="C9" s="29">
        <v>200399</v>
      </c>
      <c r="D9" s="29">
        <v>0</v>
      </c>
      <c r="E9" s="29">
        <v>0</v>
      </c>
      <c r="F9" s="29">
        <f>C9</f>
        <v>200399</v>
      </c>
      <c r="G9" s="29">
        <f>F9+E9</f>
        <v>200399</v>
      </c>
    </row>
    <row r="10" spans="1:7" x14ac:dyDescent="0.45">
      <c r="A10" s="12" t="s">
        <v>63</v>
      </c>
      <c r="B10" s="12" t="s">
        <v>22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</row>
    <row r="11" spans="1:7" x14ac:dyDescent="0.45">
      <c r="A11" s="12" t="s">
        <v>64</v>
      </c>
      <c r="B11" s="12" t="s">
        <v>22</v>
      </c>
      <c r="C11" s="29">
        <v>255616</v>
      </c>
      <c r="D11" s="29">
        <v>85049</v>
      </c>
      <c r="E11" s="29">
        <v>239563</v>
      </c>
      <c r="F11" s="29">
        <f>G11-D11</f>
        <v>325803.87861971545</v>
      </c>
      <c r="G11" s="30">
        <f>C11*(1+پنل!D9)*('تولید و فروش'!D11/'تولید و فروش'!C11)</f>
        <v>410852.87861971545</v>
      </c>
    </row>
    <row r="12" spans="1:7" x14ac:dyDescent="0.45">
      <c r="A12" s="12" t="s">
        <v>65</v>
      </c>
      <c r="B12" s="12" t="s">
        <v>22</v>
      </c>
      <c r="C12" s="29">
        <v>212007</v>
      </c>
      <c r="D12" s="29">
        <v>72685</v>
      </c>
      <c r="E12" s="29">
        <v>357836</v>
      </c>
      <c r="F12" s="29">
        <f>G12-D12</f>
        <v>139322</v>
      </c>
      <c r="G12" s="30">
        <f>C12*(1+پنل!D8)</f>
        <v>212007</v>
      </c>
    </row>
    <row r="13" spans="1:7" x14ac:dyDescent="0.45">
      <c r="A13" s="41" t="s">
        <v>29</v>
      </c>
      <c r="B13" s="41" t="s">
        <v>22</v>
      </c>
      <c r="C13" s="40">
        <v>1057212</v>
      </c>
      <c r="D13" s="40">
        <v>255442</v>
      </c>
      <c r="E13" s="40">
        <v>983485</v>
      </c>
      <c r="F13" s="40">
        <f>SUM(F3:F12)</f>
        <v>1174588.7628466089</v>
      </c>
      <c r="G13" s="40">
        <f>SUM(G3:G12)</f>
        <v>1430030.7628466089</v>
      </c>
    </row>
    <row r="16" spans="1:7" x14ac:dyDescent="0.45">
      <c r="E16" s="1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rightToLeft="1" workbookViewId="0">
      <selection activeCell="C7" sqref="C7"/>
    </sheetView>
  </sheetViews>
  <sheetFormatPr defaultRowHeight="18" x14ac:dyDescent="0.45"/>
  <cols>
    <col min="1" max="2" width="9.140625" style="1"/>
    <col min="3" max="3" width="20.7109375" style="1" bestFit="1" customWidth="1"/>
    <col min="4" max="4" width="22.85546875" style="1" bestFit="1" customWidth="1"/>
    <col min="5" max="5" width="26.85546875" style="1" bestFit="1" customWidth="1"/>
    <col min="6" max="6" width="27.85546875" style="1" bestFit="1" customWidth="1"/>
    <col min="7" max="7" width="28.140625" style="1" bestFit="1" customWidth="1"/>
  </cols>
  <sheetData>
    <row r="2" spans="1:7" x14ac:dyDescent="0.25">
      <c r="A2" s="8" t="s">
        <v>0</v>
      </c>
      <c r="B2" s="8" t="s">
        <v>21</v>
      </c>
      <c r="C2" s="8" t="s">
        <v>14</v>
      </c>
      <c r="D2" s="8" t="s">
        <v>15</v>
      </c>
      <c r="E2" s="9" t="s">
        <v>18</v>
      </c>
      <c r="F2" s="10" t="s">
        <v>19</v>
      </c>
      <c r="G2" s="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پنل</vt:lpstr>
      <vt:lpstr>سود و زیان</vt:lpstr>
      <vt:lpstr>ترازنامه</vt:lpstr>
      <vt:lpstr>تولید و فروش</vt:lpstr>
      <vt:lpstr>بهای تمام شده</vt:lpstr>
      <vt:lpstr>مواد مستقیم</vt:lpstr>
      <vt:lpstr>سربار</vt:lpstr>
      <vt:lpstr>هزینه عمومی اداری</vt:lpstr>
      <vt:lpstr>گردش موجودی مواد کالا</vt:lpstr>
      <vt:lpstr>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2022-06-28T08:34:25Z</dcterms:created>
  <dcterms:modified xsi:type="dcterms:W3CDTF">2022-07-26T10:09:16Z</dcterms:modified>
</cp:coreProperties>
</file>