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2\database\fundamental\statement\pekerman\pe\"/>
    </mc:Choice>
  </mc:AlternateContent>
  <bookViews>
    <workbookView xWindow="0" yWindow="0" windowWidth="12660" windowHeight="7620" activeTab="1"/>
  </bookViews>
  <sheets>
    <sheet name="EPS" sheetId="13" r:id="rId1"/>
    <sheet name="پنل" sheetId="8" r:id="rId2"/>
    <sheet name="مفروضات ترازنامه" sheetId="12" r:id="rId3"/>
    <sheet name="سود وزیان" sheetId="1" r:id="rId4"/>
    <sheet name="تراز نامه" sheetId="2" r:id="rId5"/>
    <sheet name="جریان وجوه نقد" sheetId="10" r:id="rId6"/>
    <sheet name="هزینه مالی" sheetId="11" r:id="rId7"/>
    <sheet name="تولید فروش" sheetId="3" r:id="rId8"/>
    <sheet name="بهای تمام شده" sheetId="4" r:id="rId9"/>
    <sheet name="مواد مستقیم" sheetId="5" r:id="rId10"/>
    <sheet name="سربار" sheetId="6" r:id="rId11"/>
    <sheet name="قیمت مواد اولیه" sheetId="9" r:id="rId12"/>
    <sheet name="عمومی اداری" sheetId="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2" l="1"/>
  <c r="G31" i="12"/>
  <c r="D30" i="12"/>
  <c r="E30" i="12"/>
  <c r="F30" i="12"/>
  <c r="C30" i="12"/>
  <c r="D43" i="12"/>
  <c r="E43" i="12"/>
  <c r="F43" i="12"/>
  <c r="C43" i="12"/>
  <c r="G43" i="12" s="1"/>
  <c r="B16" i="1"/>
  <c r="U15" i="1"/>
  <c r="C16" i="1"/>
  <c r="V15" i="1"/>
  <c r="D16" i="1"/>
  <c r="W15" i="1"/>
  <c r="E16" i="1"/>
  <c r="X15" i="1"/>
  <c r="F16" i="1"/>
  <c r="B13" i="8"/>
  <c r="B14" i="8"/>
  <c r="B12" i="8"/>
  <c r="E8" i="8"/>
  <c r="F20" i="1"/>
  <c r="C20" i="1"/>
  <c r="H20" i="1" s="1"/>
  <c r="D20" i="1"/>
  <c r="E20" i="1"/>
  <c r="B20" i="1"/>
  <c r="C19" i="1"/>
  <c r="D19" i="1"/>
  <c r="E19" i="1"/>
  <c r="F19" i="1"/>
  <c r="H19" i="1" s="1"/>
  <c r="B19" i="1"/>
  <c r="E10" i="11"/>
  <c r="F10" i="11"/>
  <c r="C10" i="11"/>
  <c r="D10" i="11"/>
  <c r="B10" i="11"/>
  <c r="F9" i="11"/>
  <c r="E9" i="11"/>
  <c r="D39" i="12"/>
  <c r="E39" i="12"/>
  <c r="F39" i="12"/>
  <c r="C39" i="12"/>
  <c r="D35" i="12"/>
  <c r="E35" i="12"/>
  <c r="F35" i="12"/>
  <c r="C35" i="12"/>
  <c r="E8" i="11"/>
  <c r="C7" i="11"/>
  <c r="C11" i="11" s="1"/>
  <c r="D7" i="11"/>
  <c r="D11" i="11" s="1"/>
  <c r="E7" i="11"/>
  <c r="E11" i="11" s="1"/>
  <c r="B7" i="11"/>
  <c r="B11" i="11" s="1"/>
  <c r="D31" i="12"/>
  <c r="E31" i="12"/>
  <c r="F31" i="12"/>
  <c r="C31" i="12"/>
  <c r="F26" i="12"/>
  <c r="E26" i="12"/>
  <c r="G26" i="12" s="1"/>
  <c r="D26" i="12"/>
  <c r="C26" i="12"/>
  <c r="F22" i="12"/>
  <c r="E22" i="12"/>
  <c r="D22" i="12"/>
  <c r="C22" i="12"/>
  <c r="G22" i="12" s="1"/>
  <c r="D18" i="12"/>
  <c r="E18" i="12"/>
  <c r="F18" i="12"/>
  <c r="C18" i="12"/>
  <c r="F17" i="12"/>
  <c r="E17" i="12"/>
  <c r="D17" i="12"/>
  <c r="C17" i="12"/>
  <c r="E13" i="12"/>
  <c r="F13" i="12"/>
  <c r="D13" i="12"/>
  <c r="C13" i="12"/>
  <c r="G35" i="12" l="1"/>
  <c r="G39" i="12"/>
  <c r="H19" i="2" s="1"/>
  <c r="G17" i="12"/>
  <c r="G18" i="12"/>
  <c r="F11" i="11"/>
  <c r="F5" i="12" l="1"/>
  <c r="F4" i="12"/>
  <c r="F8" i="12" s="1"/>
  <c r="E5" i="12"/>
  <c r="E4" i="12"/>
  <c r="E8" i="12" s="1"/>
  <c r="D5" i="12"/>
  <c r="D4" i="12"/>
  <c r="D8" i="12" s="1"/>
  <c r="C5" i="12"/>
  <c r="C4" i="12"/>
  <c r="C8" i="12" s="1"/>
  <c r="G8" i="12" s="1"/>
  <c r="C3" i="12"/>
  <c r="C9" i="12" l="1"/>
  <c r="C6" i="12"/>
  <c r="D3" i="12" s="1"/>
  <c r="D6" i="12" s="1"/>
  <c r="E3" i="12" s="1"/>
  <c r="E6" i="12" s="1"/>
  <c r="F3" i="12" s="1"/>
  <c r="F6" i="12" s="1"/>
  <c r="G3" i="12" s="1"/>
  <c r="B8" i="11"/>
  <c r="D41" i="2"/>
  <c r="E41" i="2"/>
  <c r="F41" i="2"/>
  <c r="G41" i="2"/>
  <c r="C41" i="2"/>
  <c r="G42" i="2"/>
  <c r="F42" i="2"/>
  <c r="D8" i="11" s="1"/>
  <c r="D9" i="11" s="1"/>
  <c r="E42" i="2"/>
  <c r="C8" i="11" s="1"/>
  <c r="D42" i="2"/>
  <c r="C42" i="2"/>
  <c r="E5" i="11"/>
  <c r="E4" i="11"/>
  <c r="D5" i="11"/>
  <c r="D4" i="11"/>
  <c r="C5" i="11"/>
  <c r="C4" i="11"/>
  <c r="B5" i="11"/>
  <c r="B4" i="11"/>
  <c r="B3" i="11"/>
  <c r="B6" i="11" s="1"/>
  <c r="C3" i="11" s="1"/>
  <c r="D9" i="12" l="1"/>
  <c r="E9" i="12"/>
  <c r="F9" i="12"/>
  <c r="G9" i="12" s="1"/>
  <c r="C9" i="11"/>
  <c r="B9" i="11"/>
  <c r="C6" i="11"/>
  <c r="D3" i="11" s="1"/>
  <c r="C18" i="1"/>
  <c r="D18" i="1"/>
  <c r="E18" i="1"/>
  <c r="F18" i="1"/>
  <c r="H18" i="1" s="1"/>
  <c r="B18" i="1"/>
  <c r="D15" i="7"/>
  <c r="E15" i="7"/>
  <c r="F15" i="7"/>
  <c r="G15" i="7"/>
  <c r="C15" i="7"/>
  <c r="G17" i="4"/>
  <c r="I12" i="4"/>
  <c r="I19" i="4"/>
  <c r="H19" i="4"/>
  <c r="G19" i="4"/>
  <c r="D19" i="4"/>
  <c r="E19" i="4"/>
  <c r="F19" i="4"/>
  <c r="C19" i="4"/>
  <c r="H15" i="6"/>
  <c r="D15" i="6"/>
  <c r="E15" i="6"/>
  <c r="F15" i="6"/>
  <c r="G15" i="6"/>
  <c r="C15" i="6"/>
  <c r="H69" i="5"/>
  <c r="H65" i="5"/>
  <c r="H66" i="5"/>
  <c r="H67" i="5"/>
  <c r="H68" i="5"/>
  <c r="H63" i="5"/>
  <c r="H64" i="5"/>
  <c r="H62" i="5"/>
  <c r="J39" i="3"/>
  <c r="I39" i="3"/>
  <c r="K19" i="3"/>
  <c r="L23" i="3"/>
  <c r="L20" i="3"/>
  <c r="L21" i="3"/>
  <c r="L22" i="3"/>
  <c r="L19" i="3"/>
  <c r="L28" i="3"/>
  <c r="L29" i="3"/>
  <c r="L30" i="3"/>
  <c r="L31" i="3"/>
  <c r="L27" i="3"/>
  <c r="I27" i="3"/>
  <c r="J27" i="3"/>
  <c r="I28" i="3"/>
  <c r="J28" i="3"/>
  <c r="I29" i="3"/>
  <c r="J29" i="3"/>
  <c r="I30" i="3"/>
  <c r="J30" i="3"/>
  <c r="I31" i="3"/>
  <c r="J31" i="3"/>
  <c r="H27" i="3"/>
  <c r="H28" i="3"/>
  <c r="H29" i="3"/>
  <c r="H30" i="3"/>
  <c r="H31" i="3"/>
  <c r="G27" i="3"/>
  <c r="G28" i="3"/>
  <c r="G29" i="3"/>
  <c r="G30" i="3"/>
  <c r="G31" i="3"/>
  <c r="F27" i="3"/>
  <c r="F28" i="3"/>
  <c r="F29" i="3"/>
  <c r="F30" i="3"/>
  <c r="F31" i="3"/>
  <c r="E27" i="3"/>
  <c r="E28" i="3"/>
  <c r="E29" i="3"/>
  <c r="E30" i="3"/>
  <c r="E31" i="3"/>
  <c r="D27" i="3"/>
  <c r="D28" i="3"/>
  <c r="D29" i="3"/>
  <c r="D30" i="3"/>
  <c r="D31" i="3"/>
  <c r="C28" i="3"/>
  <c r="C29" i="3"/>
  <c r="C30" i="3"/>
  <c r="C31" i="3"/>
  <c r="C27" i="3"/>
  <c r="E39" i="3"/>
  <c r="F39" i="3"/>
  <c r="G39" i="3"/>
  <c r="H39" i="3"/>
  <c r="D39" i="3"/>
  <c r="G11" i="4"/>
  <c r="D17" i="4"/>
  <c r="E17" i="4"/>
  <c r="F17" i="4"/>
  <c r="C17" i="4"/>
  <c r="D6" i="11" l="1"/>
  <c r="E3" i="11" s="1"/>
  <c r="D18" i="4"/>
  <c r="G18" i="4"/>
  <c r="E18" i="4"/>
  <c r="F18" i="4"/>
  <c r="G5" i="1"/>
  <c r="I13" i="7"/>
  <c r="H5" i="1" s="1"/>
  <c r="I12" i="7"/>
  <c r="I10" i="7"/>
  <c r="I8" i="7"/>
  <c r="I6" i="7"/>
  <c r="I3" i="7"/>
  <c r="H13" i="7"/>
  <c r="G3" i="1"/>
  <c r="Y3" i="1" s="1"/>
  <c r="I12" i="6"/>
  <c r="I8" i="6"/>
  <c r="I10" i="6"/>
  <c r="I4" i="4"/>
  <c r="H27" i="2" s="1"/>
  <c r="H57" i="5"/>
  <c r="L53" i="5"/>
  <c r="L52" i="5"/>
  <c r="L51" i="5"/>
  <c r="H58" i="5"/>
  <c r="L57" i="5"/>
  <c r="L58" i="5"/>
  <c r="L56" i="5"/>
  <c r="H55" i="5"/>
  <c r="H54" i="5"/>
  <c r="H52" i="5"/>
  <c r="H49" i="5"/>
  <c r="L48" i="5"/>
  <c r="L49" i="5" s="1"/>
  <c r="H48" i="5" s="1"/>
  <c r="L47" i="5"/>
  <c r="H47" i="5"/>
  <c r="H46" i="5"/>
  <c r="H45" i="5"/>
  <c r="H44" i="5"/>
  <c r="K36" i="3"/>
  <c r="K37" i="3"/>
  <c r="K38" i="3"/>
  <c r="K39" i="3" s="1"/>
  <c r="K35" i="3"/>
  <c r="E6" i="11" l="1"/>
  <c r="F3" i="11" s="1"/>
  <c r="I13" i="6"/>
  <c r="I5" i="4" s="1"/>
  <c r="H34" i="5" l="1"/>
  <c r="H35" i="5"/>
  <c r="H36" i="5"/>
  <c r="H37" i="5"/>
  <c r="H38" i="5"/>
  <c r="H33" i="5"/>
  <c r="J43" i="3"/>
  <c r="J44" i="3"/>
  <c r="J45" i="3"/>
  <c r="J46" i="3"/>
  <c r="I44" i="3"/>
  <c r="I45" i="3"/>
  <c r="I46" i="3"/>
  <c r="I43" i="3"/>
  <c r="J23" i="3"/>
  <c r="I23" i="3"/>
  <c r="V5" i="3"/>
  <c r="V6" i="3"/>
  <c r="V7" i="3"/>
  <c r="V4" i="3"/>
  <c r="U4" i="3"/>
  <c r="U5" i="3"/>
  <c r="U6" i="3"/>
  <c r="U7" i="3"/>
  <c r="P7" i="3"/>
  <c r="Q7" i="3"/>
  <c r="R7" i="3"/>
  <c r="S7" i="3"/>
  <c r="T7" i="3"/>
  <c r="P5" i="3"/>
  <c r="Q5" i="3"/>
  <c r="R5" i="3"/>
  <c r="S5" i="3"/>
  <c r="T5" i="3"/>
  <c r="P6" i="3"/>
  <c r="Q6" i="3"/>
  <c r="R6" i="3"/>
  <c r="S6" i="3"/>
  <c r="T6" i="3"/>
  <c r="Q4" i="3"/>
  <c r="R4" i="3"/>
  <c r="S4" i="3"/>
  <c r="T4" i="3"/>
  <c r="P4" i="3"/>
  <c r="J7" i="3"/>
  <c r="J11" i="3" s="1"/>
  <c r="I7" i="3"/>
  <c r="I13" i="3" s="1"/>
  <c r="W5" i="3" l="1"/>
  <c r="K4" i="3" s="1"/>
  <c r="L4" i="3" s="1"/>
  <c r="J13" i="3"/>
  <c r="I47" i="3"/>
  <c r="I51" i="3" s="1"/>
  <c r="J12" i="3"/>
  <c r="W4" i="3"/>
  <c r="K3" i="3" s="1"/>
  <c r="L3" i="3" s="1"/>
  <c r="K43" i="3" s="1"/>
  <c r="L43" i="3" s="1"/>
  <c r="J15" i="3"/>
  <c r="I53" i="3"/>
  <c r="J14" i="3"/>
  <c r="I54" i="3"/>
  <c r="W6" i="3"/>
  <c r="K5" i="3" s="1"/>
  <c r="J47" i="3"/>
  <c r="I52" i="3"/>
  <c r="W7" i="3"/>
  <c r="K6" i="3" s="1"/>
  <c r="I55" i="3"/>
  <c r="I14" i="3"/>
  <c r="I12" i="3"/>
  <c r="I11" i="3"/>
  <c r="I15" i="3"/>
  <c r="H13" i="6"/>
  <c r="D89" i="5"/>
  <c r="E89" i="5"/>
  <c r="F89" i="5"/>
  <c r="G89" i="5"/>
  <c r="C89" i="5"/>
  <c r="F80" i="5"/>
  <c r="D83" i="5"/>
  <c r="D74" i="5"/>
  <c r="E74" i="5"/>
  <c r="F74" i="5"/>
  <c r="G74" i="5"/>
  <c r="D75" i="5"/>
  <c r="E75" i="5"/>
  <c r="F75" i="5"/>
  <c r="G75" i="5"/>
  <c r="D76" i="5"/>
  <c r="E76" i="5"/>
  <c r="F76" i="5"/>
  <c r="G76" i="5"/>
  <c r="D77" i="5"/>
  <c r="E77" i="5"/>
  <c r="F77" i="5"/>
  <c r="G77" i="5"/>
  <c r="D78" i="5"/>
  <c r="E78" i="5"/>
  <c r="F78" i="5"/>
  <c r="G78" i="5"/>
  <c r="D79" i="5"/>
  <c r="E79" i="5"/>
  <c r="F79" i="5"/>
  <c r="G79" i="5"/>
  <c r="D80" i="5"/>
  <c r="E80" i="5"/>
  <c r="G80" i="5"/>
  <c r="D82" i="5"/>
  <c r="E82" i="5"/>
  <c r="F82" i="5"/>
  <c r="G82" i="5"/>
  <c r="E83" i="5"/>
  <c r="F83" i="5"/>
  <c r="G83" i="5"/>
  <c r="D84" i="5"/>
  <c r="E84" i="5"/>
  <c r="F84" i="5"/>
  <c r="G84" i="5"/>
  <c r="D85" i="5"/>
  <c r="E85" i="5"/>
  <c r="F85" i="5"/>
  <c r="G85" i="5"/>
  <c r="D86" i="5"/>
  <c r="E86" i="5"/>
  <c r="F86" i="5"/>
  <c r="G86" i="5"/>
  <c r="D87" i="5"/>
  <c r="E87" i="5"/>
  <c r="F87" i="5"/>
  <c r="G87" i="5"/>
  <c r="D88" i="5"/>
  <c r="E88" i="5"/>
  <c r="F88" i="5"/>
  <c r="G88" i="5"/>
  <c r="C75" i="5"/>
  <c r="C76" i="5"/>
  <c r="C77" i="5"/>
  <c r="C78" i="5"/>
  <c r="C79" i="5"/>
  <c r="C80" i="5"/>
  <c r="C82" i="5"/>
  <c r="C83" i="5"/>
  <c r="C84" i="5"/>
  <c r="C85" i="5"/>
  <c r="C86" i="5"/>
  <c r="C87" i="5"/>
  <c r="C88" i="5"/>
  <c r="C74" i="5"/>
  <c r="L6" i="3" l="1"/>
  <c r="K7" i="3"/>
  <c r="L5" i="3"/>
  <c r="J51" i="3"/>
  <c r="J55" i="3"/>
  <c r="J52" i="3"/>
  <c r="J53" i="3"/>
  <c r="K20" i="3"/>
  <c r="J54" i="3"/>
  <c r="D62" i="5"/>
  <c r="E63" i="5"/>
  <c r="G63" i="5"/>
  <c r="D64" i="5"/>
  <c r="E64" i="5"/>
  <c r="G64" i="5"/>
  <c r="D65" i="5"/>
  <c r="E65" i="5"/>
  <c r="G65" i="5"/>
  <c r="D66" i="5"/>
  <c r="E66" i="5"/>
  <c r="G66" i="5"/>
  <c r="D67" i="5"/>
  <c r="E67" i="5"/>
  <c r="G67" i="5"/>
  <c r="D68" i="5"/>
  <c r="E68" i="5"/>
  <c r="C68" i="5"/>
  <c r="C67" i="5"/>
  <c r="C64" i="5"/>
  <c r="C63" i="5"/>
  <c r="D51" i="3"/>
  <c r="E51" i="3"/>
  <c r="F51" i="3"/>
  <c r="G51" i="3"/>
  <c r="D52" i="3"/>
  <c r="E52" i="3"/>
  <c r="F52" i="3"/>
  <c r="G52" i="3"/>
  <c r="D53" i="3"/>
  <c r="E53" i="3"/>
  <c r="F53" i="3"/>
  <c r="G53" i="3"/>
  <c r="D54" i="3"/>
  <c r="E54" i="3"/>
  <c r="F54" i="3"/>
  <c r="G54" i="3"/>
  <c r="D55" i="3"/>
  <c r="E55" i="3"/>
  <c r="F55" i="3"/>
  <c r="G55" i="3"/>
  <c r="C52" i="3"/>
  <c r="C53" i="3"/>
  <c r="C54" i="3"/>
  <c r="C55" i="3"/>
  <c r="C51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C12" i="3"/>
  <c r="C13" i="3"/>
  <c r="C14" i="3"/>
  <c r="C15" i="3"/>
  <c r="C11" i="3"/>
  <c r="D33" i="5"/>
  <c r="D39" i="5"/>
  <c r="D22" i="5"/>
  <c r="D29" i="5" s="1"/>
  <c r="D23" i="5"/>
  <c r="D34" i="5" s="1"/>
  <c r="E22" i="5"/>
  <c r="E33" i="5" s="1"/>
  <c r="F22" i="5"/>
  <c r="F33" i="5" s="1"/>
  <c r="G22" i="5"/>
  <c r="G33" i="5" s="1"/>
  <c r="E23" i="5"/>
  <c r="E34" i="5" s="1"/>
  <c r="F23" i="5"/>
  <c r="F34" i="5" s="1"/>
  <c r="G23" i="5"/>
  <c r="G34" i="5" s="1"/>
  <c r="D24" i="5"/>
  <c r="D35" i="5" s="1"/>
  <c r="E24" i="5"/>
  <c r="E35" i="5" s="1"/>
  <c r="F24" i="5"/>
  <c r="F35" i="5" s="1"/>
  <c r="G24" i="5"/>
  <c r="G35" i="5" s="1"/>
  <c r="D25" i="5"/>
  <c r="D36" i="5" s="1"/>
  <c r="E25" i="5"/>
  <c r="E36" i="5" s="1"/>
  <c r="F25" i="5"/>
  <c r="F36" i="5" s="1"/>
  <c r="G25" i="5"/>
  <c r="G36" i="5" s="1"/>
  <c r="D26" i="5"/>
  <c r="D37" i="5" s="1"/>
  <c r="E26" i="5"/>
  <c r="E37" i="5" s="1"/>
  <c r="F26" i="5"/>
  <c r="F37" i="5" s="1"/>
  <c r="G26" i="5"/>
  <c r="G37" i="5" s="1"/>
  <c r="D27" i="5"/>
  <c r="D38" i="5" s="1"/>
  <c r="E27" i="5"/>
  <c r="E38" i="5" s="1"/>
  <c r="F27" i="5"/>
  <c r="F38" i="5" s="1"/>
  <c r="G27" i="5"/>
  <c r="G38" i="5" s="1"/>
  <c r="D28" i="5"/>
  <c r="E28" i="5"/>
  <c r="E39" i="5" s="1"/>
  <c r="F28" i="5"/>
  <c r="F39" i="5" s="1"/>
  <c r="G28" i="5"/>
  <c r="G39" i="5" s="1"/>
  <c r="H39" i="5" s="1"/>
  <c r="C24" i="5"/>
  <c r="C35" i="5" s="1"/>
  <c r="C25" i="5"/>
  <c r="C36" i="5" s="1"/>
  <c r="C26" i="5"/>
  <c r="C37" i="5" s="1"/>
  <c r="C27" i="5"/>
  <c r="C38" i="5" s="1"/>
  <c r="C28" i="5"/>
  <c r="C39" i="5" s="1"/>
  <c r="C23" i="5"/>
  <c r="C34" i="5" s="1"/>
  <c r="C22" i="5"/>
  <c r="C62" i="5" s="1"/>
  <c r="H44" i="3"/>
  <c r="H45" i="3"/>
  <c r="H46" i="3"/>
  <c r="H43" i="3"/>
  <c r="H23" i="3"/>
  <c r="H7" i="3"/>
  <c r="H17" i="4" s="1"/>
  <c r="H18" i="4" s="1"/>
  <c r="X3" i="1"/>
  <c r="X4" i="1"/>
  <c r="X5" i="1"/>
  <c r="X6" i="1"/>
  <c r="X7" i="1"/>
  <c r="X8" i="1"/>
  <c r="X9" i="1"/>
  <c r="X10" i="1"/>
  <c r="X11" i="1"/>
  <c r="X12" i="1"/>
  <c r="X13" i="1"/>
  <c r="X14" i="1"/>
  <c r="W3" i="1"/>
  <c r="W4" i="1"/>
  <c r="W5" i="1"/>
  <c r="W6" i="1"/>
  <c r="W7" i="1"/>
  <c r="W8" i="1"/>
  <c r="W9" i="1"/>
  <c r="W10" i="1"/>
  <c r="W11" i="1"/>
  <c r="W12" i="1"/>
  <c r="W13" i="1"/>
  <c r="W14" i="1"/>
  <c r="V3" i="1"/>
  <c r="V4" i="1"/>
  <c r="V5" i="1"/>
  <c r="V6" i="1"/>
  <c r="V7" i="1"/>
  <c r="V8" i="1"/>
  <c r="V9" i="1"/>
  <c r="V10" i="1"/>
  <c r="V11" i="1"/>
  <c r="V12" i="1"/>
  <c r="V13" i="1"/>
  <c r="V14" i="1"/>
  <c r="U4" i="1"/>
  <c r="U5" i="1"/>
  <c r="U6" i="1"/>
  <c r="U7" i="1"/>
  <c r="U8" i="1"/>
  <c r="U9" i="1"/>
  <c r="U10" i="1"/>
  <c r="U11" i="1"/>
  <c r="U12" i="1"/>
  <c r="U13" i="1"/>
  <c r="U14" i="1"/>
  <c r="U3" i="1"/>
  <c r="W2" i="1"/>
  <c r="X2" i="1"/>
  <c r="V2" i="1"/>
  <c r="U2" i="1"/>
  <c r="M2" i="1"/>
  <c r="N2" i="1"/>
  <c r="O2" i="1"/>
  <c r="P2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L3" i="1"/>
  <c r="L4" i="1"/>
  <c r="L5" i="1"/>
  <c r="L6" i="1"/>
  <c r="L7" i="1"/>
  <c r="L8" i="1"/>
  <c r="L9" i="1"/>
  <c r="L10" i="1"/>
  <c r="L11" i="1"/>
  <c r="L12" i="1"/>
  <c r="L2" i="1"/>
  <c r="K15" i="3" l="1"/>
  <c r="K11" i="3"/>
  <c r="K12" i="3"/>
  <c r="K44" i="3"/>
  <c r="K22" i="3"/>
  <c r="K46" i="3" s="1"/>
  <c r="L7" i="3"/>
  <c r="H24" i="5" s="1"/>
  <c r="K14" i="3"/>
  <c r="K13" i="3"/>
  <c r="G68" i="5"/>
  <c r="H12" i="3"/>
  <c r="H14" i="3"/>
  <c r="H13" i="3"/>
  <c r="H15" i="3"/>
  <c r="F29" i="5"/>
  <c r="E62" i="5"/>
  <c r="E69" i="5" s="1"/>
  <c r="E29" i="5"/>
  <c r="D63" i="5"/>
  <c r="D69" i="5" s="1"/>
  <c r="C29" i="5"/>
  <c r="C65" i="5"/>
  <c r="G62" i="5"/>
  <c r="C33" i="5"/>
  <c r="G29" i="5"/>
  <c r="C66" i="5"/>
  <c r="F68" i="5"/>
  <c r="F67" i="5"/>
  <c r="F66" i="5"/>
  <c r="F65" i="5"/>
  <c r="F64" i="5"/>
  <c r="F63" i="5"/>
  <c r="F62" i="5"/>
  <c r="H47" i="3"/>
  <c r="G2" i="1" s="1"/>
  <c r="H15" i="7" s="1"/>
  <c r="H11" i="3"/>
  <c r="H22" i="5" l="1"/>
  <c r="H4" i="5"/>
  <c r="H74" i="5" s="1"/>
  <c r="H6" i="5"/>
  <c r="H76" i="5" s="1"/>
  <c r="Q6" i="1"/>
  <c r="Q2" i="1"/>
  <c r="Q5" i="1"/>
  <c r="Y2" i="1"/>
  <c r="Q3" i="1"/>
  <c r="G4" i="1"/>
  <c r="Y4" i="1" s="1"/>
  <c r="L11" i="3"/>
  <c r="L15" i="3"/>
  <c r="L12" i="3"/>
  <c r="L14" i="3"/>
  <c r="H23" i="5"/>
  <c r="L13" i="3"/>
  <c r="L46" i="3"/>
  <c r="H27" i="5"/>
  <c r="H26" i="5"/>
  <c r="H28" i="5"/>
  <c r="H10" i="5" s="1"/>
  <c r="H80" i="5" s="1"/>
  <c r="H25" i="5"/>
  <c r="K21" i="3"/>
  <c r="L44" i="3"/>
  <c r="G69" i="5"/>
  <c r="H54" i="3"/>
  <c r="H51" i="3"/>
  <c r="H55" i="3"/>
  <c r="H52" i="3"/>
  <c r="H53" i="3"/>
  <c r="C69" i="5"/>
  <c r="F69" i="5"/>
  <c r="H12" i="5" l="1"/>
  <c r="H82" i="5" s="1"/>
  <c r="K45" i="3"/>
  <c r="K23" i="3"/>
  <c r="H9" i="5"/>
  <c r="H79" i="5" s="1"/>
  <c r="H5" i="5"/>
  <c r="H75" i="5" s="1"/>
  <c r="H7" i="5"/>
  <c r="H77" i="5" s="1"/>
  <c r="G7" i="1"/>
  <c r="Q4" i="1"/>
  <c r="H18" i="5"/>
  <c r="H88" i="5" s="1"/>
  <c r="H29" i="5"/>
  <c r="H8" i="5"/>
  <c r="H78" i="5" s="1"/>
  <c r="H14" i="5"/>
  <c r="H84" i="5" s="1"/>
  <c r="H15" i="5" l="1"/>
  <c r="H85" i="5" s="1"/>
  <c r="H16" i="5"/>
  <c r="H86" i="5" s="1"/>
  <c r="H13" i="5"/>
  <c r="H83" i="5" s="1"/>
  <c r="L45" i="3"/>
  <c r="K47" i="3"/>
  <c r="H17" i="5"/>
  <c r="H87" i="5" s="1"/>
  <c r="H89" i="5" l="1"/>
  <c r="I3" i="4" s="1"/>
  <c r="L47" i="3"/>
  <c r="K55" i="3"/>
  <c r="K51" i="3"/>
  <c r="K54" i="3"/>
  <c r="K52" i="3"/>
  <c r="K53" i="3"/>
  <c r="I6" i="4" l="1"/>
  <c r="I8" i="4" s="1"/>
  <c r="I15" i="6"/>
  <c r="L53" i="3"/>
  <c r="L51" i="3"/>
  <c r="H2" i="1"/>
  <c r="H9" i="1" s="1"/>
  <c r="L55" i="3"/>
  <c r="L52" i="3"/>
  <c r="L54" i="3"/>
  <c r="H6" i="2" l="1"/>
  <c r="H5" i="2"/>
  <c r="G4" i="12"/>
  <c r="G5" i="12" s="1"/>
  <c r="G6" i="12" s="1"/>
  <c r="H11" i="2" s="1"/>
  <c r="I9" i="4"/>
  <c r="I11" i="4" s="1"/>
  <c r="H18" i="2"/>
  <c r="H8" i="2"/>
  <c r="H4" i="2"/>
  <c r="I15" i="7"/>
  <c r="Z2" i="1"/>
  <c r="H6" i="1"/>
  <c r="R6" i="1" s="1"/>
  <c r="R5" i="1"/>
  <c r="R2" i="1"/>
  <c r="I17" i="4" l="1"/>
  <c r="H41" i="2"/>
  <c r="I18" i="4" l="1"/>
  <c r="I13" i="4"/>
  <c r="I14" i="4" s="1"/>
  <c r="I16" i="4" s="1"/>
  <c r="H17" i="2" s="1"/>
  <c r="H3" i="1" l="1"/>
  <c r="H24" i="2"/>
  <c r="H42" i="2" l="1"/>
  <c r="F8" i="11" s="1"/>
  <c r="F4" i="11" s="1"/>
  <c r="F7" i="11" s="1"/>
  <c r="H8" i="1" s="1"/>
  <c r="H4" i="1"/>
  <c r="R3" i="1"/>
  <c r="F5" i="11" l="1"/>
  <c r="F6" i="11" s="1"/>
  <c r="H21" i="2" s="1"/>
  <c r="R4" i="1"/>
  <c r="H7" i="1"/>
  <c r="H10" i="1" s="1"/>
  <c r="H11" i="1" l="1"/>
  <c r="H12" i="1" s="1"/>
  <c r="H38" i="2" s="1"/>
  <c r="H39" i="2" s="1"/>
  <c r="H13" i="1" l="1"/>
  <c r="E7" i="8" s="1"/>
  <c r="A2" i="13" s="1"/>
  <c r="H15" i="1"/>
  <c r="H20" i="2" s="1"/>
  <c r="D11" i="8" l="1"/>
  <c r="E9" i="8"/>
</calcChain>
</file>

<file path=xl/sharedStrings.xml><?xml version="1.0" encoding="utf-8"?>
<sst xmlns="http://schemas.openxmlformats.org/spreadsheetml/2006/main" count="988" uniqueCount="312">
  <si>
    <t>فروش</t>
  </si>
  <si>
    <t>بهای تمام شده کالای فروش رفته</t>
  </si>
  <si>
    <t>سود (زیان) ناخالص</t>
  </si>
  <si>
    <t>هزینه های عمومی, اداری و تشکیلاتی</t>
  </si>
  <si>
    <t>-</t>
  </si>
  <si>
    <t>سود (زیان) عملیاتی</t>
  </si>
  <si>
    <t>هزینه های مالی</t>
  </si>
  <si>
    <t>مالیات</t>
  </si>
  <si>
    <t>سود (زیان) خالص</t>
  </si>
  <si>
    <t>سود هر سهم پس از کسر مالیات</t>
  </si>
  <si>
    <t>سرمایه</t>
  </si>
  <si>
    <t>سالانه 1396/12</t>
  </si>
  <si>
    <t>سالانه 1397/12</t>
  </si>
  <si>
    <t>سالانه 1398/12</t>
  </si>
  <si>
    <t>سالانه 1399/12</t>
  </si>
  <si>
    <t>سالانه 1400/12</t>
  </si>
  <si>
    <t>شرح</t>
  </si>
  <si>
    <t>سایر درآمد های عملیاتی</t>
  </si>
  <si>
    <t>سایر درامدها و هزینه های غیرعملیاتی</t>
  </si>
  <si>
    <t>سود قبل از مالیات</t>
  </si>
  <si>
    <t>بودجه 1401/12</t>
  </si>
  <si>
    <t>تحلیلی 1401/12</t>
  </si>
  <si>
    <t>تحلیلی 1402/12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</si>
  <si>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</si>
  <si>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</si>
  <si>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</si>
  <si>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</si>
  <si>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</si>
  <si>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جمع داراییهای جاری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</si>
  <si>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</si>
  <si>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</si>
  <si>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</si>
  <si>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</si>
  <si>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</si>
  <si>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</si>
  <si>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</si>
  <si>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</si>
  <si>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پرداختنی‌های تجاری و سایر پرداختنی‌ها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</si>
  <si>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</si>
  <si>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</si>
  <si>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</si>
  <si>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</si>
  <si>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</si>
  <si>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</si>
  <si>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</si>
  <si>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</si>
  <si>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</si>
  <si>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</si>
  <si>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</si>
  <si>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بدهیها و حقوق صاحبان سهام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</si>
  <si>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</si>
  <si>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</si>
  <si>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</si>
  <si>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</si>
  <si>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</si>
  <si>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</si>
  <si>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</si>
  <si>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</si>
  <si>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</si>
  <si>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دریافتنی تجاری بلند مدت</t>
  </si>
  <si>
    <t>جمع بدهیها</t>
  </si>
  <si>
    <t>مقدار تولید</t>
  </si>
  <si>
    <t>نوار</t>
  </si>
  <si>
    <t>تیوب</t>
  </si>
  <si>
    <t>تایر بایاس</t>
  </si>
  <si>
    <t>تایر رادیال</t>
  </si>
  <si>
    <t>جمع</t>
  </si>
  <si>
    <t>مقدار فروش</t>
  </si>
  <si>
    <t>نرخ فروش</t>
  </si>
  <si>
    <t>واحد</t>
  </si>
  <si>
    <t>ر.</t>
  </si>
  <si>
    <t>مبلغ فروش</t>
  </si>
  <si>
    <t>م.ر</t>
  </si>
  <si>
    <t>بهای تمام شده</t>
  </si>
  <si>
    <t>مواد مستقیم مصرفی</t>
  </si>
  <si>
    <t>دستمزد مستقیم تولید</t>
  </si>
  <si>
    <t>سربار تولید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</si>
  <si>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</si>
  <si>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</si>
  <si>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</si>
  <si>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</si>
  <si>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</si>
  <si>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</si>
  <si>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</si>
  <si>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خدمات ارایه شده</t>
  </si>
  <si>
    <t>نخ تایر</t>
  </si>
  <si>
    <t>تیوب ولو</t>
  </si>
  <si>
    <t>مواد شیمیائی ، روغن و ...</t>
  </si>
  <si>
    <t>سیم</t>
  </si>
  <si>
    <t>کائوچوی طبیعی</t>
  </si>
  <si>
    <t>کائوچوی مصنوعی</t>
  </si>
  <si>
    <t>دوده</t>
  </si>
  <si>
    <t>کیلوگرم</t>
  </si>
  <si>
    <t>نرخ مصرف</t>
  </si>
  <si>
    <t>مقدار مصرف طی دوره وارداتی</t>
  </si>
  <si>
    <t>ست ( عدد )</t>
  </si>
  <si>
    <t>مقدار مصرف طی دوره داخلی</t>
  </si>
  <si>
    <t>نرخ مصرف طی دوره وارداتی</t>
  </si>
  <si>
    <t>نرخ مصرف طی دوره داخلی</t>
  </si>
  <si>
    <t>مقدار مصرف به تفکیک</t>
  </si>
  <si>
    <t>کل مقدار مصرف</t>
  </si>
  <si>
    <t>نسبت محصولات وارداتی به کل</t>
  </si>
  <si>
    <t xml:space="preserve">جمع </t>
  </si>
  <si>
    <t>ضرایب تولید</t>
  </si>
  <si>
    <t>نسبت مقدار فروش</t>
  </si>
  <si>
    <t xml:space="preserve">ضرایب مصرف </t>
  </si>
  <si>
    <t>ر</t>
  </si>
  <si>
    <t>مبلغ مصرف</t>
  </si>
  <si>
    <t>مبلغ مصرف طی دوره وارداتی</t>
  </si>
  <si>
    <t>مبلغ مصرف طی دوره داخلی</t>
  </si>
  <si>
    <t>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</si>
  <si>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</si>
  <si>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</si>
  <si>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</si>
  <si>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</si>
  <si>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</si>
  <si>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</si>
  <si>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</si>
  <si>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</si>
  <si>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</si>
  <si>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</si>
  <si>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سه ماه منتهی به 1401/3</t>
  </si>
  <si>
    <t>ماه منتهی به 1401/3</t>
  </si>
  <si>
    <t>بودجه 1401</t>
  </si>
  <si>
    <t>میانگین 3 ماه</t>
  </si>
  <si>
    <t>میانگین ماهانه</t>
  </si>
  <si>
    <t>برآرود ماهانه</t>
  </si>
  <si>
    <t>تحلیلی 9 ماه منتهی به 1401/12</t>
  </si>
  <si>
    <t>نرخ دلار</t>
  </si>
  <si>
    <t>رشد حقوق و دستمزد</t>
  </si>
  <si>
    <t>تورم</t>
  </si>
  <si>
    <t>رشد حمل و نقل</t>
  </si>
  <si>
    <t>افزایش نرخ تایر نسبت به 3 ماه سال</t>
  </si>
  <si>
    <t>میانگین پارسال</t>
  </si>
  <si>
    <t>فعلی</t>
  </si>
  <si>
    <t>رشد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</si>
  <si>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</si>
  <si>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</si>
  <si>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</si>
  <si>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</si>
  <si>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</si>
  <si>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</si>
  <si>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</si>
  <si>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</si>
  <si>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</si>
  <si>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</si>
  <si>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</si>
  <si>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</si>
  <si>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</si>
  <si>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</si>
  <si>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</si>
  <si>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</si>
  <si>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کائوچو مالزی</t>
  </si>
  <si>
    <t>قیمت کائوچو مالزی</t>
  </si>
  <si>
    <t>1400-01</t>
  </si>
  <si>
    <t>1400-02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</si>
  <si>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</si>
  <si>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</si>
  <si>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</si>
  <si>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</si>
  <si>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</si>
  <si>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</si>
  <si>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</si>
  <si>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</si>
  <si>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</si>
  <si>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</si>
  <si>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1401-01</t>
  </si>
  <si>
    <t>1401-02</t>
  </si>
  <si>
    <t>1401-03</t>
  </si>
  <si>
    <t xml:space="preserve">دوده </t>
  </si>
  <si>
    <t>یانگین پارسال</t>
  </si>
  <si>
    <t>زشد</t>
  </si>
  <si>
    <t xml:space="preserve"> </t>
  </si>
  <si>
    <t>قیمت دوده شکربن</t>
  </si>
  <si>
    <t>قیمت کاثوچوی مصنوعی</t>
  </si>
  <si>
    <t>1400/04/02</t>
  </si>
  <si>
    <t>1400/04/08</t>
  </si>
  <si>
    <t>1400/06/16</t>
  </si>
  <si>
    <t>1400/07/20</t>
  </si>
  <si>
    <t>1400/08/25</t>
  </si>
  <si>
    <t>1400/09/02</t>
  </si>
  <si>
    <t>1400/05/12</t>
  </si>
  <si>
    <t>1400/04/22</t>
  </si>
  <si>
    <t>1400/09/30</t>
  </si>
  <si>
    <t>1400/10/07</t>
  </si>
  <si>
    <t>1400/06/23</t>
  </si>
  <si>
    <t>1400/06/30</t>
  </si>
  <si>
    <t>1400/07/07</t>
  </si>
  <si>
    <t>1400/06/02</t>
  </si>
  <si>
    <t>1400/04/15</t>
  </si>
  <si>
    <t>1400/11/12</t>
  </si>
  <si>
    <t>1400/11/13</t>
  </si>
  <si>
    <t>1400/11/27</t>
  </si>
  <si>
    <t>1400/10/21</t>
  </si>
  <si>
    <t>1400/08/04</t>
  </si>
  <si>
    <t>1400/08/11</t>
  </si>
  <si>
    <t>1400/08/18</t>
  </si>
  <si>
    <t>1400/09/09</t>
  </si>
  <si>
    <t>1400/09/10</t>
  </si>
  <si>
    <t>1400/10/14</t>
  </si>
  <si>
    <t>1400/12/11</t>
  </si>
  <si>
    <t>1400/12/17</t>
  </si>
  <si>
    <t>1400/05/19</t>
  </si>
  <si>
    <t>1400/07/12</t>
  </si>
  <si>
    <t>1400/09/16</t>
  </si>
  <si>
    <t>1400/09/23</t>
  </si>
  <si>
    <t>1400/10/28</t>
  </si>
  <si>
    <t>1400/11/05</t>
  </si>
  <si>
    <t>1400/12/24</t>
  </si>
  <si>
    <t>1400/11/19</t>
  </si>
  <si>
    <t>1400/12/03</t>
  </si>
  <si>
    <t>1400/07/27</t>
  </si>
  <si>
    <t>1400/07/14</t>
  </si>
  <si>
    <t>1400/06/09</t>
  </si>
  <si>
    <t>1400/05/04</t>
  </si>
  <si>
    <t>1400/05/05</t>
  </si>
  <si>
    <t>کائوچو مصنوعی</t>
  </si>
  <si>
    <t xml:space="preserve">قیمت کائوچوی مصنوعی </t>
  </si>
  <si>
    <t>1401/02/06</t>
  </si>
  <si>
    <t>1401/03/10</t>
  </si>
  <si>
    <t>1401/03/03</t>
  </si>
  <si>
    <t>1401/03/24</t>
  </si>
  <si>
    <t>1401/01/09</t>
  </si>
  <si>
    <t>1401/03/31</t>
  </si>
  <si>
    <t>1401/02/17</t>
  </si>
  <si>
    <t>1401/02/20</t>
  </si>
  <si>
    <t>1401/04/08</t>
  </si>
  <si>
    <t>1401/02/27</t>
  </si>
  <si>
    <t>1401/03/18</t>
  </si>
  <si>
    <t>هزینه عمومی اداری</t>
  </si>
  <si>
    <t>k.g</t>
  </si>
  <si>
    <t>جمع بهای تمام شده کالای فروش رفته</t>
  </si>
  <si>
    <t>بهای تمام شده یک کیلو محصول</t>
  </si>
  <si>
    <t xml:space="preserve">ضریب رشد </t>
  </si>
  <si>
    <t>رشد نرخ رادیال</t>
  </si>
  <si>
    <t>نسبت تولید به فروش سالانه</t>
  </si>
  <si>
    <t>نسبت سربار به مواد و دستمزد</t>
  </si>
  <si>
    <t>نسبت کالای در جریان ساخت  به بهای تولید</t>
  </si>
  <si>
    <t xml:space="preserve">نسبت عمومی به فروش </t>
  </si>
  <si>
    <t>نسبت سایر درآمدها عملیاتی به فروش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</si>
  <si>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</si>
  <si>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</si>
  <si>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</si>
  <si>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</si>
  <si>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</si>
  <si>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</si>
  <si>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</si>
  <si>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</si>
  <si>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پرداختی بابت تحصیل دارایی های نامشهود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</si>
  <si>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</si>
  <si>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</si>
  <si>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</si>
  <si>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</si>
  <si>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</si>
  <si>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</si>
  <si>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</si>
  <si>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</si>
  <si>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</si>
  <si>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</si>
  <si>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</si>
  <si>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</si>
  <si>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</si>
  <si>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</si>
  <si>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</si>
  <si>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</si>
  <si>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</si>
  <si>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</si>
  <si>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</si>
  <si>
    <t>تخمین هزینه تامین مالی</t>
  </si>
  <si>
    <t>مانده ابتدای دوره</t>
  </si>
  <si>
    <t>دریافت تسهیلات طی دوره</t>
  </si>
  <si>
    <t xml:space="preserve">بازپرداخت تسهیلات </t>
  </si>
  <si>
    <t>مانده پایان دوره</t>
  </si>
  <si>
    <t>وجوه دریافتنی حاصل از تسهیلات</t>
  </si>
  <si>
    <t>بازپرداخت تسهیلات</t>
  </si>
  <si>
    <t>سود پرداختنی بابت تسهیلات</t>
  </si>
  <si>
    <t>خالص سرمایه در گردش</t>
  </si>
  <si>
    <t>سرمایه در گردش</t>
  </si>
  <si>
    <t>تغییرات دارایی ثابت به علاوه تغییرات سرمایه در گردش</t>
  </si>
  <si>
    <t>نیبت دریافت وام</t>
  </si>
  <si>
    <t>نسبت بازپرداخت وام</t>
  </si>
  <si>
    <t>دارایی ثابت مشهود</t>
  </si>
  <si>
    <t>اضافات دارایی ثابت مشهود</t>
  </si>
  <si>
    <t>استهلاک</t>
  </si>
  <si>
    <t>نسبت دارایی اضافات ثابت به بهای تولید</t>
  </si>
  <si>
    <t>نسبت استهلاک به دارایی ثابت</t>
  </si>
  <si>
    <t>سرمایه گزاری کوتاه مدت</t>
  </si>
  <si>
    <t>نسبت سرمایه گزاری کوتاه مدت به وجه نقد</t>
  </si>
  <si>
    <t>حساب دریافتنی</t>
  </si>
  <si>
    <t>نسبت حساب دریافتنی کوتاه مدت به فروش</t>
  </si>
  <si>
    <t>نسبت حساب دریافتنی بلند مدت به فروش</t>
  </si>
  <si>
    <t>پیش پرداخت</t>
  </si>
  <si>
    <t>نسبت پیش پرداخت به بهای تولید</t>
  </si>
  <si>
    <t>نسبت  تغییرات موجودی کالا به بهای تولید</t>
  </si>
  <si>
    <t>پرداختنی های تجاری</t>
  </si>
  <si>
    <t>نسبت پرداختنی بلند مدت به بهای تمام شده</t>
  </si>
  <si>
    <t>پیش دریافت</t>
  </si>
  <si>
    <t>نسبت پیش دریافت به فروش</t>
  </si>
  <si>
    <t>هزینه مالی</t>
  </si>
  <si>
    <t>بهره وام (هزینه مالی به تسهیلات)</t>
  </si>
  <si>
    <t>مالیات پرداختنی</t>
  </si>
  <si>
    <t>هزینه مالیات پرداختنی به مالیات سال قبل</t>
  </si>
  <si>
    <t>سایر درامدها و هزینه های غیرعملیاتی به فروش</t>
  </si>
  <si>
    <t>نسبت مالیات به سود قبل از مالیات</t>
  </si>
  <si>
    <t>EPS</t>
  </si>
  <si>
    <t>قیمت روز</t>
  </si>
  <si>
    <t>P/E</t>
  </si>
  <si>
    <t>سود سهام مصوب</t>
  </si>
  <si>
    <t>نسبت تقسیم سود</t>
  </si>
  <si>
    <t>سود سهام پرداختنی</t>
  </si>
  <si>
    <t>سود سهام پرداختنی به سود مصوب سال قبل</t>
  </si>
  <si>
    <t>نسبت تغییرات پرداختنی کوتاه مدت به بهای تمام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</si>
</sst>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3000401]#,##0"/>
    <numFmt numFmtId="167" formatCode="[$-F800]dddd\,\ mmmm\ dd\,\ yyyy"/>
    <numFmt numFmtId="168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1"/>
      <name val="B Nazanin"/>
      <charset val="178"/>
    </font>
    <font>
      <sz val="11"/>
      <color rgb="FF000000"/>
      <name val="B Nazanin"/>
      <charset val="178"/>
    </font>
    <font>
      <b/>
      <sz val="10"/>
      <color theme="1"/>
      <name val="B Nazanin"/>
      <charset val="178"/>
    </font>
    <font>
      <b/>
      <sz val="12"/>
      <color theme="0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4" borderId="1" xfId="0" applyFont="1" applyFill="1" applyBorder="1"/>
    <xf numFmtId="0" fontId="2" fillId="0" borderId="1" xfId="0" applyFont="1" applyBorder="1"/>
    <xf numFmtId="164" fontId="2" fillId="0" borderId="1" xfId="1" applyNumberFormat="1" applyFont="1" applyBorder="1"/>
    <xf numFmtId="0" fontId="3" fillId="3" borderId="1" xfId="0" applyFont="1" applyFill="1" applyBorder="1"/>
    <xf numFmtId="0" fontId="3" fillId="5" borderId="1" xfId="0" applyFont="1" applyFill="1" applyBorder="1"/>
    <xf numFmtId="165" fontId="2" fillId="0" borderId="1" xfId="2" applyNumberFormat="1" applyFont="1" applyBorder="1"/>
    <xf numFmtId="10" fontId="2" fillId="0" borderId="1" xfId="2" applyNumberFormat="1" applyFont="1" applyBorder="1"/>
    <xf numFmtId="0" fontId="2" fillId="6" borderId="1" xfId="0" applyFont="1" applyFill="1" applyBorder="1"/>
    <xf numFmtId="164" fontId="2" fillId="6" borderId="1" xfId="1" applyNumberFormat="1" applyFont="1" applyFill="1" applyBorder="1"/>
    <xf numFmtId="165" fontId="2" fillId="6" borderId="1" xfId="2" applyNumberFormat="1" applyFont="1" applyFill="1" applyBorder="1"/>
    <xf numFmtId="0" fontId="2" fillId="0" borderId="0" xfId="0" applyFont="1" applyBorder="1"/>
    <xf numFmtId="0" fontId="4" fillId="6" borderId="1" xfId="0" applyFont="1" applyFill="1" applyBorder="1"/>
    <xf numFmtId="164" fontId="4" fillId="6" borderId="1" xfId="1" applyNumberFormat="1" applyFont="1" applyFill="1" applyBorder="1"/>
    <xf numFmtId="0" fontId="4" fillId="0" borderId="0" xfId="0" applyFont="1"/>
    <xf numFmtId="164" fontId="2" fillId="0" borderId="0" xfId="0" applyNumberFormat="1" applyFont="1"/>
    <xf numFmtId="166" fontId="2" fillId="0" borderId="1" xfId="0" applyNumberFormat="1" applyFont="1" applyBorder="1"/>
    <xf numFmtId="43" fontId="2" fillId="0" borderId="1" xfId="1" applyNumberFormat="1" applyFont="1" applyBorder="1"/>
    <xf numFmtId="164" fontId="2" fillId="0" borderId="0" xfId="1" applyNumberFormat="1" applyFont="1" applyBorder="1"/>
    <xf numFmtId="0" fontId="4" fillId="0" borderId="0" xfId="0" applyFont="1" applyBorder="1"/>
    <xf numFmtId="0" fontId="3" fillId="2" borderId="0" xfId="0" applyFont="1" applyFill="1" applyBorder="1"/>
    <xf numFmtId="0" fontId="2" fillId="2" borderId="0" xfId="0" applyFont="1" applyFill="1"/>
    <xf numFmtId="0" fontId="2" fillId="7" borderId="1" xfId="0" applyFont="1" applyFill="1" applyBorder="1"/>
    <xf numFmtId="10" fontId="2" fillId="7" borderId="1" xfId="2" applyNumberFormat="1" applyFont="1" applyFill="1" applyBorder="1"/>
    <xf numFmtId="164" fontId="2" fillId="7" borderId="1" xfId="1" applyNumberFormat="1" applyFont="1" applyFill="1" applyBorder="1"/>
    <xf numFmtId="166" fontId="2" fillId="0" borderId="0" xfId="0" applyNumberFormat="1" applyFont="1" applyBorder="1"/>
    <xf numFmtId="10" fontId="2" fillId="0" borderId="1" xfId="1" applyNumberFormat="1" applyFont="1" applyBorder="1"/>
    <xf numFmtId="165" fontId="2" fillId="7" borderId="1" xfId="2" applyNumberFormat="1" applyFont="1" applyFill="1" applyBorder="1"/>
    <xf numFmtId="164" fontId="2" fillId="0" borderId="0" xfId="1" applyNumberFormat="1" applyFont="1"/>
    <xf numFmtId="0" fontId="3" fillId="8" borderId="1" xfId="0" applyFont="1" applyFill="1" applyBorder="1"/>
    <xf numFmtId="164" fontId="2" fillId="0" borderId="1" xfId="0" applyNumberFormat="1" applyFont="1" applyBorder="1"/>
    <xf numFmtId="166" fontId="2" fillId="0" borderId="1" xfId="0" applyNumberFormat="1" applyFont="1" applyBorder="1" applyAlignment="1">
      <alignment vertical="center" wrapText="1"/>
    </xf>
    <xf numFmtId="164" fontId="2" fillId="9" borderId="1" xfId="0" applyNumberFormat="1" applyFont="1" applyFill="1" applyBorder="1"/>
    <xf numFmtId="164" fontId="2" fillId="9" borderId="1" xfId="1" applyNumberFormat="1" applyFont="1" applyFill="1" applyBorder="1"/>
    <xf numFmtId="9" fontId="2" fillId="0" borderId="1" xfId="2" applyFont="1" applyBorder="1"/>
    <xf numFmtId="14" fontId="2" fillId="0" borderId="0" xfId="0" applyNumberFormat="1" applyFont="1"/>
    <xf numFmtId="167" fontId="2" fillId="0" borderId="0" xfId="0" applyNumberFormat="1" applyFont="1"/>
    <xf numFmtId="14" fontId="4" fillId="0" borderId="0" xfId="0" applyNumberFormat="1" applyFont="1"/>
    <xf numFmtId="0" fontId="2" fillId="9" borderId="1" xfId="0" applyFont="1" applyFill="1" applyBorder="1"/>
    <xf numFmtId="0" fontId="4" fillId="9" borderId="1" xfId="0" applyFont="1" applyFill="1" applyBorder="1"/>
    <xf numFmtId="164" fontId="5" fillId="0" borderId="1" xfId="1" applyNumberFormat="1" applyFont="1" applyBorder="1"/>
    <xf numFmtId="14" fontId="2" fillId="0" borderId="1" xfId="0" applyNumberFormat="1" applyFont="1" applyBorder="1"/>
    <xf numFmtId="165" fontId="5" fillId="0" borderId="1" xfId="2" applyNumberFormat="1" applyFont="1" applyBorder="1"/>
    <xf numFmtId="43" fontId="2" fillId="9" borderId="1" xfId="1" applyNumberFormat="1" applyFont="1" applyFill="1" applyBorder="1"/>
    <xf numFmtId="164" fontId="2" fillId="0" borderId="2" xfId="0" applyNumberFormat="1" applyFont="1" applyBorder="1"/>
    <xf numFmtId="43" fontId="2" fillId="0" borderId="0" xfId="0" applyNumberFormat="1" applyFont="1"/>
    <xf numFmtId="0" fontId="6" fillId="0" borderId="0" xfId="0" applyFont="1" applyBorder="1"/>
    <xf numFmtId="0" fontId="7" fillId="4" borderId="1" xfId="0" applyFont="1" applyFill="1" applyBorder="1"/>
    <xf numFmtId="168" fontId="2" fillId="0" borderId="0" xfId="0" applyNumberFormat="1" applyFont="1"/>
    <xf numFmtId="9" fontId="2" fillId="6" borderId="1" xfId="2" applyFont="1" applyFill="1" applyBorder="1"/>
    <xf numFmtId="10" fontId="2" fillId="6" borderId="1" xfId="2" applyNumberFormat="1" applyFont="1" applyFill="1" applyBorder="1"/>
    <xf numFmtId="10" fontId="2" fillId="6" borderId="1" xfId="1" applyNumberFormat="1" applyFont="1" applyFill="1" applyBorder="1"/>
    <xf numFmtId="0" fontId="4" fillId="0" borderId="1" xfId="0" applyFont="1" applyBorder="1"/>
    <xf numFmtId="10" fontId="2" fillId="0" borderId="1" xfId="0" applyNumberFormat="1" applyFont="1" applyBorder="1"/>
    <xf numFmtId="0" fontId="2" fillId="6" borderId="0" xfId="0" applyFont="1" applyFill="1"/>
    <xf numFmtId="0" fontId="2" fillId="0" borderId="1" xfId="0" applyFont="1" applyFill="1" applyBorder="1"/>
    <xf numFmtId="9" fontId="2" fillId="0" borderId="0" xfId="2" applyFont="1"/>
    <xf numFmtId="165" fontId="2" fillId="0" borderId="0" xfId="2" applyNumberFormat="1" applyFont="1"/>
    <xf numFmtId="9" fontId="2" fillId="0" borderId="0" xfId="2" applyNumberFormat="1" applyFont="1"/>
    <xf numFmtId="10" fontId="2" fillId="0" borderId="0" xfId="2" applyNumberFormat="1" applyFont="1"/>
    <xf numFmtId="0" fontId="4" fillId="0" borderId="1" xfId="0" applyFont="1" applyBorder="1" applyAlignment="1">
      <alignment horizontal="center" vertical="center"/>
    </xf>
    <xf numFmtId="43" fontId="4" fillId="0" borderId="1" xfId="0" applyNumberFormat="1" applyFont="1" applyBorder="1"/>
    <xf numFmtId="164" fontId="0" fillId="0" borderId="0" xfId="1" applyNumberFormat="1" applyFont="1"/>
    <xf numFmtId="14" fontId="4" fillId="0" borderId="1" xfId="0" applyNumberFormat="1" applyFont="1" applyBorder="1"/>
    <xf numFmtId="165" fontId="2" fillId="0" borderId="0" xfId="2" applyNumberFormat="1" applyFont="1" applyBorder="1"/>
    <xf numFmtId="0" fontId="4" fillId="10" borderId="1" xfId="0" applyFont="1" applyFill="1" applyBorder="1"/>
    <xf numFmtId="0" fontId="2" fillId="10" borderId="0" xfId="0" applyFont="1" applyFill="1"/>
    <xf numFmtId="164" fontId="4" fillId="10" borderId="1" xfId="1" applyNumberFormat="1" applyFont="1" applyFill="1" applyBorder="1"/>
    <xf numFmtId="0" fontId="2" fillId="10" borderId="1" xfId="0" applyFont="1" applyFill="1" applyBorder="1"/>
    <xf numFmtId="0" fontId="4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>
                <a:cs typeface="B Nazanin" panose="00000400000000000000" pitchFamily="2" charset="-78"/>
              </a:rPr>
              <a:t>میزان تولید</a:t>
            </a:r>
            <a:endParaRPr lang="en-US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'تولید فروش'!$C$2:$G$2</c:f>
              <c:strCache>
                <c:ptCount val="5"/>
                <c:pt idx="0">
                  <c:v>سالانه 1396/12</c:v>
                </c:pt>
                <c:pt idx="1">
                  <c:v>سالانه 1397/12</c:v>
                </c:pt>
                <c:pt idx="2">
                  <c:v>سالانه 1398/12</c:v>
                </c:pt>
                <c:pt idx="3">
                  <c:v>سالانه 1399/12</c:v>
                </c:pt>
                <c:pt idx="4">
                  <c:v>سالانه 1400/12</c:v>
                </c:pt>
              </c:strCache>
            </c:strRef>
          </c:cat>
          <c:val>
            <c:numRef>
              <c:f>'تولید فروش'!$C$7:$H$7</c:f>
              <c:numCache>
                <c:formatCode>_(* #,##0_);_(* \(#,##0\);_(* "-"??_);_(@_)</c:formatCode>
                <c:ptCount val="6"/>
                <c:pt idx="0">
                  <c:v>82454345</c:v>
                </c:pt>
                <c:pt idx="1">
                  <c:v>77173691</c:v>
                </c:pt>
                <c:pt idx="2">
                  <c:v>77744313</c:v>
                </c:pt>
                <c:pt idx="3">
                  <c:v>91262042</c:v>
                </c:pt>
                <c:pt idx="4">
                  <c:v>89699693</c:v>
                </c:pt>
                <c:pt idx="5" formatCode="[$-3000401]#,##0">
                  <c:v>87699350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99-40EB-8A1E-CA143139B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069456"/>
        <c:axId val="583735904"/>
      </c:lineChart>
      <c:catAx>
        <c:axId val="5760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35904"/>
        <c:crosses val="autoZero"/>
        <c:auto val="1"/>
        <c:lblAlgn val="ctr"/>
        <c:lblOffset val="100"/>
        <c:noMultiLvlLbl val="0"/>
      </c:catAx>
      <c:valAx>
        <c:axId val="5837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>
                <a:cs typeface="B Nazanin" panose="00000400000000000000" pitchFamily="2" charset="-78"/>
              </a:rPr>
              <a:t>توزیع بهای تمام شده 1400</a:t>
            </a:r>
          </a:p>
          <a:p>
            <a:pPr>
              <a:defRPr>
                <a:cs typeface="B Nazanin" panose="00000400000000000000" pitchFamily="2" charset="-78"/>
              </a:defRPr>
            </a:pPr>
            <a:endParaRPr lang="en-US">
              <a:cs typeface="B Nazanin" panose="00000400000000000000" pitchFamily="2" charset="-78"/>
            </a:endParaRPr>
          </a:p>
        </c:rich>
      </c:tx>
      <c:layout>
        <c:manualLayout>
          <c:xMode val="edge"/>
          <c:yMode val="edge"/>
          <c:x val="0.1404109589041096"/>
          <c:y val="3.6529667231270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53-4CC1-B122-8FADE203AF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53-4CC1-B122-8FADE203AF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53-4CC1-B122-8FADE203AFB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'بهای تمام شده'!$A$3:$A$5</c:f>
              <c:strCache>
                <c:ptCount val="3"/>
                <c:pt idx="0">
                  <c:v>مواد مستقیم مصرفی</c:v>
                </c:pt>
                <c:pt idx="1">
                  <c:v>دستمزد مستقیم تولید</c:v>
                </c:pt>
                <c:pt idx="2">
                  <c:v>سربار تولید</c:v>
                </c:pt>
              </c:strCache>
            </c:strRef>
          </c:cat>
          <c:val>
            <c:numRef>
              <c:f>'بهای تمام شده'!$G$3:$G$5</c:f>
              <c:numCache>
                <c:formatCode>_(* #,##0_);_(* \(#,##0\);_(* "-"??_);_(@_)</c:formatCode>
                <c:ptCount val="3"/>
                <c:pt idx="0">
                  <c:v>41020571</c:v>
                </c:pt>
                <c:pt idx="1">
                  <c:v>1415797</c:v>
                </c:pt>
                <c:pt idx="2">
                  <c:v>5882253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E-4900-BFAC-740CFE3974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sbr 20 price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'قیمت مواد اولیه'!$A$2:$A$17</c:f>
              <c:strCache>
                <c:ptCount val="16"/>
                <c:pt idx="0">
                  <c:v>2021-03</c:v>
                </c:pt>
                <c:pt idx="1">
                  <c:v>2021-04</c:v>
                </c:pt>
                <c:pt idx="2">
                  <c:v>2021-05</c:v>
                </c:pt>
                <c:pt idx="3">
                  <c:v>2021-06</c:v>
                </c:pt>
                <c:pt idx="4">
                  <c:v>2021-07</c:v>
                </c:pt>
                <c:pt idx="5">
                  <c:v>2021-08</c:v>
                </c:pt>
                <c:pt idx="6">
                  <c:v>2021-09</c:v>
                </c:pt>
                <c:pt idx="7">
                  <c:v>2021-10</c:v>
                </c:pt>
                <c:pt idx="8">
                  <c:v>2021-11</c:v>
                </c:pt>
                <c:pt idx="9">
                  <c:v>2021-12</c:v>
                </c:pt>
                <c:pt idx="10">
                  <c:v>2022-01</c:v>
                </c:pt>
                <c:pt idx="11">
                  <c:v>2022-02</c:v>
                </c:pt>
                <c:pt idx="12">
                  <c:v>2022-03</c:v>
                </c:pt>
                <c:pt idx="13">
                  <c:v>2022-04</c:v>
                </c:pt>
                <c:pt idx="14">
                  <c:v>2022-05</c:v>
                </c:pt>
                <c:pt idx="15">
                  <c:v>2022-06</c:v>
                </c:pt>
              </c:strCache>
            </c:strRef>
          </c:cat>
          <c:val>
            <c:numRef>
              <c:f>'قیمت مواد اولیه'!$B$2:$B$17</c:f>
              <c:numCache>
                <c:formatCode>General</c:formatCode>
                <c:ptCount val="16"/>
                <c:pt idx="0">
                  <c:v>175.25</c:v>
                </c:pt>
                <c:pt idx="1">
                  <c:v>164.72</c:v>
                </c:pt>
                <c:pt idx="2">
                  <c:v>169.09</c:v>
                </c:pt>
                <c:pt idx="3">
                  <c:v>164.51</c:v>
                </c:pt>
                <c:pt idx="4">
                  <c:v>164.32</c:v>
                </c:pt>
                <c:pt idx="5">
                  <c:v>172.67</c:v>
                </c:pt>
                <c:pt idx="6">
                  <c:v>163.22999999999999</c:v>
                </c:pt>
                <c:pt idx="7">
                  <c:v>174.39</c:v>
                </c:pt>
                <c:pt idx="8">
                  <c:v>175.65</c:v>
                </c:pt>
                <c:pt idx="9">
                  <c:v>172.08</c:v>
                </c:pt>
                <c:pt idx="10">
                  <c:v>178.12</c:v>
                </c:pt>
                <c:pt idx="11">
                  <c:v>179.84</c:v>
                </c:pt>
                <c:pt idx="12">
                  <c:v>175.18</c:v>
                </c:pt>
                <c:pt idx="13">
                  <c:v>171.15</c:v>
                </c:pt>
                <c:pt idx="14">
                  <c:v>162.81</c:v>
                </c:pt>
                <c:pt idx="15">
                  <c:v>164.15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F-4DB3-987E-AC9B30B38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158720"/>
        <c:axId val="503848848"/>
      </c:barChart>
      <c:catAx>
        <c:axId val="41915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48848"/>
        <c:crosses val="autoZero"/>
        <c:auto val="1"/>
        <c:lblAlgn val="ctr"/>
        <c:lblOffset val="100"/>
        <c:noMultiLvlLbl val="0"/>
      </c:catAx>
      <c:valAx>
        <c:axId val="5038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 b="1">
                <a:cs typeface="B Nazanin" panose="00000400000000000000" pitchFamily="2" charset="-78"/>
              </a:rPr>
              <a:t>دوده</a:t>
            </a:r>
            <a:r>
              <a:rPr lang="fa-IR" b="1" baseline="0">
                <a:cs typeface="B Nazanin" panose="00000400000000000000" pitchFamily="2" charset="-78"/>
              </a:rPr>
              <a:t> شکربن</a:t>
            </a:r>
            <a:endParaRPr lang="en-US" b="1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'قیمت مواد اولیه'!$A$19:$A$33</c:f>
              <c:strCache>
                <c:ptCount val="15"/>
                <c:pt idx="0">
                  <c:v>1400-01</c:v>
                </c:pt>
                <c:pt idx="1">
                  <c:v>1400-02</c:v>
                </c:pt>
                <c:pt idx="2">
                  <c:v>1400-03</c:v>
                </c:pt>
                <c:pt idx="3">
                  <c:v>1400-04</c:v>
                </c:pt>
                <c:pt idx="4">
                  <c:v>1400-05</c:v>
                </c:pt>
                <c:pt idx="5">
                  <c:v>1400-06</c:v>
                </c:pt>
                <c:pt idx="6">
                  <c:v>1400-07</c:v>
                </c:pt>
                <c:pt idx="7">
                  <c:v>1400-08</c:v>
                </c:pt>
                <c:pt idx="8">
                  <c:v>1400-09</c:v>
                </c:pt>
                <c:pt idx="9">
                  <c:v>1400-10</c:v>
                </c:pt>
                <c:pt idx="10">
                  <c:v>1400-11</c:v>
                </c:pt>
                <c:pt idx="11">
                  <c:v>1400-12</c:v>
                </c:pt>
                <c:pt idx="12">
                  <c:v>1401-01</c:v>
                </c:pt>
                <c:pt idx="13">
                  <c:v>1401-02</c:v>
                </c:pt>
                <c:pt idx="14">
                  <c:v>1401-03</c:v>
                </c:pt>
              </c:strCache>
            </c:strRef>
          </c:cat>
          <c:val>
            <c:numRef>
              <c:f>'قیمت مواد اولیه'!$B$19:$B$33</c:f>
              <c:numCache>
                <c:formatCode>_(* #,##0_);_(* \(#,##0\);_(* "-"??_);_(@_)</c:formatCode>
                <c:ptCount val="15"/>
                <c:pt idx="0">
                  <c:v>215898800</c:v>
                </c:pt>
                <c:pt idx="1">
                  <c:v>231751237</c:v>
                </c:pt>
                <c:pt idx="2">
                  <c:v>230976380</c:v>
                </c:pt>
                <c:pt idx="3">
                  <c:v>234388419</c:v>
                </c:pt>
                <c:pt idx="4">
                  <c:v>241910745</c:v>
                </c:pt>
                <c:pt idx="5">
                  <c:v>249101253</c:v>
                </c:pt>
                <c:pt idx="6">
                  <c:v>256711392</c:v>
                </c:pt>
                <c:pt idx="7">
                  <c:v>265543867</c:v>
                </c:pt>
                <c:pt idx="8">
                  <c:v>265818531</c:v>
                </c:pt>
                <c:pt idx="9">
                  <c:v>266747819</c:v>
                </c:pt>
                <c:pt idx="10">
                  <c:v>278530101</c:v>
                </c:pt>
                <c:pt idx="11">
                  <c:v>302300401</c:v>
                </c:pt>
                <c:pt idx="12">
                  <c:v>352693791</c:v>
                </c:pt>
                <c:pt idx="13">
                  <c:v>371887598</c:v>
                </c:pt>
                <c:pt idx="14">
                  <c:v>421609686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A-4941-9354-1521852B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202160"/>
        <c:axId val="503202992"/>
      </c:barChart>
      <c:catAx>
        <c:axId val="5032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02992"/>
        <c:crosses val="autoZero"/>
        <c:auto val="1"/>
        <c:lblAlgn val="ctr"/>
        <c:lblOffset val="100"/>
        <c:noMultiLvlLbl val="0"/>
      </c:catAx>
      <c:valAx>
        <c:axId val="503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0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7</xdr:row>
      <xdr:rowOff>195262</xdr:rowOff>
    </xdr:from>
    <xdr:to>
      <xdr:col>22</xdr:col>
      <xdr:colOff>114300</xdr:colOff>
      <xdr:row>19</xdr:row>
      <xdr:rowOff>195262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819149</xdr:colOff>
      <xdr:row>24</xdr:row>
      <xdr:rowOff>219075</xdr:rowOff>
    </xdr:from>
    <xdr:to>
      <xdr:col>5</xdr:col>
      <xdr:colOff>800099</xdr:colOff>
      <xdr:row>37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166687</xdr:rowOff>
    </xdr:from>
    <xdr:to>
      <xdr:col>10</xdr:col>
      <xdr:colOff>314325</xdr:colOff>
      <xdr:row>13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16</xdr:row>
      <xdr:rowOff>142876</xdr:rowOff>
    </xdr:from>
    <xdr:to>
      <xdr:col>13</xdr:col>
      <xdr:colOff>38100</xdr:colOff>
      <xdr:row>30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workbookViewId="0">
      <selection activeCell="C18" sqref="C18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304</v>
      </c>
    </row>
    <row r="2" spans="1:1" x14ac:dyDescent="0.25">
      <c r="A2" s="64">
        <f>پنل!E7</f>
        <v>-2280.3466218301637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tabSelected="1" workbookViewId="0">
      <selection activeCell="E13" sqref="E13:E14"/>
    </sheetView>
  </sheetViews>
  <sheetFormatPr defaultRowHeight="18" x14ac:dyDescent="0.45"/>
  <cols>
    <col min="1" max="1" width="25.28515625" style="1" bestFit="1" customWidth="1"/>
    <col min="2" max="2" width="9.140625" style="1"/>
    <col min="3" max="3" width="13.85546875" style="1" bestFit="1" customWidth="1"/>
    <col min="4" max="4" width="14" style="1" bestFit="1" customWidth="1"/>
    <col min="5" max="6" width="14.5703125" style="1" bestFit="1" customWidth="1"/>
    <col min="7" max="16384" width="9.140625" style="1"/>
  </cols>
  <sheetData>
    <row r="1" spans="1:9" x14ac:dyDescent="0.45">
      <c r="A1" s="3" t="s">
        <v>16</v>
      </c>
      <c r="B1" s="3" t="s">
        <v>69</v>
      </c>
      <c r="C1" s="3" t="s">
        <v>15</v>
      </c>
      <c r="D1" s="6" t="s">
        <v>20</v>
      </c>
      <c r="E1" s="7" t="s">
        <v>21</v>
      </c>
      <c r="F1" s="7" t="s">
        <v>22</v>
      </c>
    </row>
    <row r="2" spans="1:9" x14ac:dyDescent="0.45">
      <c r="A2" s="4" t="s">
        <v>128</v>
      </c>
      <c r="B2" s="4"/>
      <c r="C2" s="5">
        <v>239000</v>
      </c>
      <c r="D2" s="5"/>
      <c r="E2" s="5">
        <v>400000</v>
      </c>
      <c r="F2" s="5"/>
    </row>
    <row r="3" spans="1:9" x14ac:dyDescent="0.45">
      <c r="A3" s="4" t="s">
        <v>132</v>
      </c>
      <c r="B3" s="4"/>
      <c r="C3" s="4"/>
      <c r="D3" s="4"/>
      <c r="E3" s="36">
        <v>0.3</v>
      </c>
      <c r="F3" s="4"/>
    </row>
    <row r="4" spans="1:9" x14ac:dyDescent="0.45">
      <c r="A4" s="4" t="s">
        <v>129</v>
      </c>
      <c r="B4" s="4"/>
      <c r="C4" s="4"/>
      <c r="D4" s="4"/>
      <c r="E4" s="36">
        <v>0.4</v>
      </c>
      <c r="F4" s="4"/>
    </row>
    <row r="5" spans="1:9" x14ac:dyDescent="0.45">
      <c r="A5" s="4" t="s">
        <v>130</v>
      </c>
      <c r="B5" s="4"/>
      <c r="C5" s="4"/>
      <c r="D5" s="4"/>
      <c r="E5" s="36">
        <v>0.3</v>
      </c>
      <c r="F5" s="4"/>
    </row>
    <row r="6" spans="1:9" x14ac:dyDescent="0.45">
      <c r="A6" s="4" t="s">
        <v>131</v>
      </c>
      <c r="B6" s="4"/>
      <c r="C6" s="4"/>
      <c r="D6" s="4"/>
      <c r="E6" s="4"/>
      <c r="F6" s="4"/>
    </row>
    <row r="7" spans="1:9" x14ac:dyDescent="0.45">
      <c r="A7" s="62" t="s">
        <v>304</v>
      </c>
      <c r="B7" s="4"/>
      <c r="C7" s="4"/>
      <c r="D7" s="4"/>
      <c r="E7" s="5">
        <f>'سود وزیان'!H13</f>
        <v>-2280.3466218301637</v>
      </c>
      <c r="F7" s="4"/>
    </row>
    <row r="8" spans="1:9" x14ac:dyDescent="0.45">
      <c r="A8" s="4" t="s">
        <v>305</v>
      </c>
      <c r="B8" s="4"/>
      <c r="C8" s="4"/>
      <c r="D8" s="4"/>
      <c r="E8" s="54">
        <f>15400</f>
        <v>15400</v>
      </c>
      <c r="F8" s="4"/>
    </row>
    <row r="9" spans="1:9" x14ac:dyDescent="0.45">
      <c r="A9" s="62" t="s">
        <v>306</v>
      </c>
      <c r="B9" s="4"/>
      <c r="C9" s="4"/>
      <c r="D9" s="4"/>
      <c r="E9" s="63">
        <f>E8/E7</f>
        <v>-6.7533592711621386</v>
      </c>
      <c r="F9" s="4"/>
    </row>
    <row r="11" spans="1:9" x14ac:dyDescent="0.45">
      <c r="C11" s="30"/>
      <c r="D11" s="5">
        <f>E7</f>
        <v>-2280.3466218301637</v>
      </c>
      <c r="E11" s="5">
        <v>230000</v>
      </c>
      <c r="F11" s="5">
        <v>250000</v>
      </c>
      <c r="G11" s="5">
        <v>270000</v>
      </c>
      <c r="H11" s="5">
        <v>290000</v>
      </c>
      <c r="I11" s="5">
        <v>310000</v>
      </c>
    </row>
    <row r="12" spans="1:9" x14ac:dyDescent="0.45">
      <c r="A12" s="4">
        <v>4</v>
      </c>
      <c r="B12" s="5">
        <f>$E$8/A12</f>
        <v>3850</v>
      </c>
      <c r="D12" s="36">
        <v>0.3</v>
      </c>
      <c r="E12" s="5">
        <f t="dataTable" ref="E12:I14" dt2D="1" dtr="1" r1="E2" r2="E3"/>
        <v>2035.987223853158</v>
      </c>
      <c r="F12" s="5">
        <v>1528.1832420080545</v>
      </c>
      <c r="G12" s="5">
        <v>1020.3792601629635</v>
      </c>
      <c r="H12" s="5">
        <v>512.57527831787229</v>
      </c>
      <c r="I12" s="5">
        <v>4.7712964727681451</v>
      </c>
    </row>
    <row r="13" spans="1:9" x14ac:dyDescent="0.45">
      <c r="A13" s="4">
        <v>5.5</v>
      </c>
      <c r="B13" s="5">
        <f t="shared" ref="B13:B14" si="0">$E$8/A13</f>
        <v>2800</v>
      </c>
      <c r="D13" s="36">
        <v>0.35</v>
      </c>
      <c r="E13" s="5">
        <v>2769.6056925579196</v>
      </c>
      <c r="F13" s="5">
        <v>2261.8017107128157</v>
      </c>
      <c r="G13" s="5">
        <v>1753.9977288677242</v>
      </c>
      <c r="H13" s="5">
        <v>1246.1937470226337</v>
      </c>
      <c r="I13" s="5">
        <v>738.3897651775294</v>
      </c>
    </row>
    <row r="14" spans="1:9" x14ac:dyDescent="0.45">
      <c r="A14" s="4">
        <v>7</v>
      </c>
      <c r="B14" s="5">
        <f t="shared" si="0"/>
        <v>2200</v>
      </c>
      <c r="D14" s="36">
        <v>0.4</v>
      </c>
      <c r="E14" s="5">
        <v>3503.2241612626699</v>
      </c>
      <c r="F14" s="5">
        <v>2995.420179417566</v>
      </c>
      <c r="G14" s="5">
        <v>2487.6161975724758</v>
      </c>
      <c r="H14" s="5">
        <v>1979.8122157273842</v>
      </c>
      <c r="I14" s="5">
        <v>1472.0082338822806</v>
      </c>
    </row>
    <row r="15" spans="1:9" x14ac:dyDescent="0.45">
      <c r="B15" s="58"/>
    </row>
  </sheetData>
  <conditionalFormatting sqref="E12:I14">
    <cfRule type="colorScale" priority="1">
      <colorScale>
        <cfvo type="num" val="$B$14"/>
        <cfvo type="num" val="$B$13"/>
        <cfvo type="num" val="$B$12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rightToLeft="1" topLeftCell="A15" workbookViewId="0">
      <selection activeCell="G31" sqref="G31"/>
    </sheetView>
  </sheetViews>
  <sheetFormatPr defaultRowHeight="18" x14ac:dyDescent="0.45"/>
  <cols>
    <col min="1" max="1" width="38.42578125" style="1" bestFit="1" customWidth="1"/>
    <col min="2" max="2" width="6.7109375" style="1" customWidth="1"/>
    <col min="3" max="6" width="13.85546875" style="1" bestFit="1" customWidth="1"/>
    <col min="7" max="8" width="14.5703125" style="1" bestFit="1" customWidth="1"/>
    <col min="9" max="16384" width="9.140625" style="1"/>
  </cols>
  <sheetData>
    <row r="1" spans="1:8" x14ac:dyDescent="0.45">
      <c r="A1" s="16" t="s">
        <v>281</v>
      </c>
    </row>
    <row r="2" spans="1:8" x14ac:dyDescent="0.45">
      <c r="A2" s="3" t="s">
        <v>16</v>
      </c>
      <c r="B2" s="3" t="s">
        <v>69</v>
      </c>
      <c r="C2" s="3" t="s">
        <v>12</v>
      </c>
      <c r="D2" s="3" t="s">
        <v>13</v>
      </c>
      <c r="E2" s="3" t="s">
        <v>14</v>
      </c>
      <c r="F2" s="3" t="s">
        <v>15</v>
      </c>
      <c r="G2" s="7" t="s">
        <v>21</v>
      </c>
      <c r="H2" s="7" t="s">
        <v>22</v>
      </c>
    </row>
    <row r="3" spans="1:8" x14ac:dyDescent="0.45">
      <c r="A3" s="4" t="s">
        <v>269</v>
      </c>
      <c r="B3" s="4" t="s">
        <v>72</v>
      </c>
      <c r="C3" s="5">
        <f>'تراز نامه'!C11</f>
        <v>2075691</v>
      </c>
      <c r="D3" s="5">
        <f>C6</f>
        <v>2166338</v>
      </c>
      <c r="E3" s="5">
        <f>D6</f>
        <v>2150802</v>
      </c>
      <c r="F3" s="5">
        <f>E6</f>
        <v>3709945</v>
      </c>
      <c r="G3" s="5">
        <f>F6</f>
        <v>4910042</v>
      </c>
      <c r="H3" s="5"/>
    </row>
    <row r="4" spans="1:8" x14ac:dyDescent="0.45">
      <c r="A4" s="4" t="s">
        <v>282</v>
      </c>
      <c r="B4" s="4" t="s">
        <v>72</v>
      </c>
      <c r="C4" s="5">
        <f>-'جریان وجوه نقد'!D8</f>
        <v>451794</v>
      </c>
      <c r="D4" s="5">
        <f>-'جریان وجوه نقد'!E8</f>
        <v>355618</v>
      </c>
      <c r="E4" s="5">
        <f>-'جریان وجوه نقد'!F8</f>
        <v>2002236</v>
      </c>
      <c r="F4" s="5">
        <f>-'جریان وجوه نقد'!G8</f>
        <v>1727839</v>
      </c>
      <c r="G4" s="5">
        <f>G8*'بهای تمام شده'!I8</f>
        <v>3147334.5308143315</v>
      </c>
      <c r="H4" s="5"/>
    </row>
    <row r="5" spans="1:8" x14ac:dyDescent="0.45">
      <c r="A5" s="4" t="s">
        <v>283</v>
      </c>
      <c r="B5" s="4" t="s">
        <v>72</v>
      </c>
      <c r="C5" s="5">
        <f>-(سربار!D9+'عمومی اداری'!D9)</f>
        <v>-361147</v>
      </c>
      <c r="D5" s="5">
        <f>-(سربار!E9+'عمومی اداری'!E9)</f>
        <v>-371154</v>
      </c>
      <c r="E5" s="5">
        <f>-(سربار!F9+'عمومی اداری'!F9)</f>
        <v>-443093</v>
      </c>
      <c r="F5" s="5">
        <f>-(سربار!G9+'عمومی اداری'!G9)</f>
        <v>-527742</v>
      </c>
      <c r="G5" s="19">
        <f>-G9*(G3+G4)</f>
        <v>-978765.9400876424</v>
      </c>
      <c r="H5" s="5"/>
    </row>
    <row r="6" spans="1:8" x14ac:dyDescent="0.45">
      <c r="A6" s="4" t="s">
        <v>272</v>
      </c>
      <c r="B6" s="4" t="s">
        <v>72</v>
      </c>
      <c r="C6" s="5">
        <f>SUM(C3:C5)</f>
        <v>2166338</v>
      </c>
      <c r="D6" s="5">
        <f>SUM(D3:D5)</f>
        <v>2150802</v>
      </c>
      <c r="E6" s="5">
        <f>SUM(E3:E5)</f>
        <v>3709945</v>
      </c>
      <c r="F6" s="5">
        <f>SUM(F3:F5)</f>
        <v>4910042</v>
      </c>
      <c r="G6" s="5">
        <f>SUM(G3:G5)</f>
        <v>7078610.5907266885</v>
      </c>
      <c r="H6" s="5"/>
    </row>
    <row r="8" spans="1:8" x14ac:dyDescent="0.45">
      <c r="A8" s="4" t="s">
        <v>284</v>
      </c>
      <c r="B8" s="4"/>
      <c r="C8" s="8">
        <f>C4/'بهای تمام شده'!D8</f>
        <v>4.4864357991746158E-2</v>
      </c>
      <c r="D8" s="8">
        <f>D4/'بهای تمام شده'!E8</f>
        <v>2.4454062830695063E-2</v>
      </c>
      <c r="E8" s="8">
        <f>E4/'بهای تمام شده'!F8</f>
        <v>6.6638793944053046E-2</v>
      </c>
      <c r="F8" s="8">
        <f>F4/'بهای تمام شده'!G8</f>
        <v>3.5759277981049997E-2</v>
      </c>
      <c r="G8" s="9">
        <f>GEOMEAN(C8:F8)</f>
        <v>4.0210742055494068E-2</v>
      </c>
      <c r="H8" s="9"/>
    </row>
    <row r="9" spans="1:8" x14ac:dyDescent="0.45">
      <c r="A9" s="4" t="s">
        <v>285</v>
      </c>
      <c r="B9" s="4"/>
      <c r="C9" s="8">
        <f>C5/-(C4+C3)</f>
        <v>0.14288789053149673</v>
      </c>
      <c r="D9" s="8">
        <f t="shared" ref="D9:F9" si="0">D5/-(D4+D3)</f>
        <v>0.14716910207791095</v>
      </c>
      <c r="E9" s="8">
        <f t="shared" si="0"/>
        <v>0.10669129442109608</v>
      </c>
      <c r="F9" s="8">
        <f t="shared" si="0"/>
        <v>9.7050931041027008E-2</v>
      </c>
      <c r="G9" s="9">
        <f>GEOMEAN(C9:F9)</f>
        <v>0.12147451919920664</v>
      </c>
      <c r="H9" s="9"/>
    </row>
    <row r="11" spans="1:8" x14ac:dyDescent="0.45">
      <c r="A11" s="16" t="s">
        <v>286</v>
      </c>
    </row>
    <row r="12" spans="1:8" x14ac:dyDescent="0.45">
      <c r="A12" s="3" t="s">
        <v>16</v>
      </c>
      <c r="B12" s="3" t="s">
        <v>69</v>
      </c>
      <c r="C12" s="3" t="s">
        <v>12</v>
      </c>
      <c r="D12" s="3" t="s">
        <v>13</v>
      </c>
      <c r="E12" s="3" t="s">
        <v>14</v>
      </c>
      <c r="F12" s="3" t="s">
        <v>15</v>
      </c>
      <c r="G12" s="7" t="s">
        <v>21</v>
      </c>
      <c r="H12" s="7" t="s">
        <v>22</v>
      </c>
    </row>
    <row r="13" spans="1:8" x14ac:dyDescent="0.45">
      <c r="A13" s="1" t="s">
        <v>287</v>
      </c>
      <c r="C13" s="60">
        <f>'تراز نامه'!D3/'تراز نامه'!C2</f>
        <v>1.1558128138031789</v>
      </c>
      <c r="D13" s="60">
        <f>'تراز نامه'!E3/'تراز نامه'!D2</f>
        <v>8.9371415089112241E-2</v>
      </c>
      <c r="E13" s="60">
        <f>'تراز نامه'!F3/'تراز نامه'!E2</f>
        <v>0</v>
      </c>
      <c r="F13" s="60">
        <f>'تراز نامه'!G3/'تراز نامه'!F2</f>
        <v>0</v>
      </c>
      <c r="G13" s="1">
        <v>0</v>
      </c>
    </row>
    <row r="15" spans="1:8" x14ac:dyDescent="0.45">
      <c r="A15" s="16" t="s">
        <v>288</v>
      </c>
    </row>
    <row r="16" spans="1:8" x14ac:dyDescent="0.45">
      <c r="A16" s="3" t="s">
        <v>16</v>
      </c>
      <c r="B16" s="3" t="s">
        <v>69</v>
      </c>
      <c r="C16" s="3" t="s">
        <v>12</v>
      </c>
      <c r="D16" s="3" t="s">
        <v>13</v>
      </c>
      <c r="E16" s="3" t="s">
        <v>14</v>
      </c>
      <c r="F16" s="3" t="s">
        <v>15</v>
      </c>
      <c r="G16" s="7" t="s">
        <v>21</v>
      </c>
      <c r="H16" s="7" t="s">
        <v>22</v>
      </c>
    </row>
    <row r="17" spans="1:8" x14ac:dyDescent="0.45">
      <c r="A17" s="4" t="s">
        <v>289</v>
      </c>
      <c r="B17" s="4"/>
      <c r="C17" s="9">
        <f>'تراز نامه'!D4/'سود وزیان'!C2</f>
        <v>0.21272093910332651</v>
      </c>
      <c r="D17" s="9">
        <f>'تراز نامه'!E4/'سود وزیان'!D2</f>
        <v>0.15701064095922956</v>
      </c>
      <c r="E17" s="9">
        <f>'تراز نامه'!F4/'سود وزیان'!E2</f>
        <v>0.15680881425789961</v>
      </c>
      <c r="F17" s="9">
        <f>'تراز نامه'!G4/'سود وزیان'!F2</f>
        <v>0.12829178399714372</v>
      </c>
      <c r="G17" s="9">
        <f>GEOMEAN(C17:F17)</f>
        <v>0.16100047629669331</v>
      </c>
      <c r="H17" s="9"/>
    </row>
    <row r="18" spans="1:8" x14ac:dyDescent="0.45">
      <c r="A18" s="4" t="s">
        <v>290</v>
      </c>
      <c r="B18" s="4"/>
      <c r="C18" s="9">
        <f>'تراز نامه'!D24/'سود وزیان'!C2</f>
        <v>2.8327134228456315E-3</v>
      </c>
      <c r="D18" s="9">
        <f>'تراز نامه'!E24/'سود وزیان'!D2</f>
        <v>5.4786581196104691E-3</v>
      </c>
      <c r="E18" s="9">
        <f>'تراز نامه'!F24/'سود وزیان'!E2</f>
        <v>3.5654795030626131E-3</v>
      </c>
      <c r="F18" s="9">
        <f>'تراز نامه'!G24/'سود وزیان'!F2</f>
        <v>3.7139044512357736E-3</v>
      </c>
      <c r="G18" s="9">
        <f>GEOMEAN(C18:F18)</f>
        <v>3.7862246431368701E-3</v>
      </c>
      <c r="H18" s="4"/>
    </row>
    <row r="20" spans="1:8" x14ac:dyDescent="0.45">
      <c r="A20" s="16" t="s">
        <v>291</v>
      </c>
    </row>
    <row r="21" spans="1:8" x14ac:dyDescent="0.45">
      <c r="A21" s="3" t="s">
        <v>16</v>
      </c>
      <c r="B21" s="3" t="s">
        <v>69</v>
      </c>
      <c r="C21" s="3" t="s">
        <v>12</v>
      </c>
      <c r="D21" s="3" t="s">
        <v>13</v>
      </c>
      <c r="E21" s="3" t="s">
        <v>14</v>
      </c>
      <c r="F21" s="3" t="s">
        <v>15</v>
      </c>
      <c r="G21" s="7" t="s">
        <v>21</v>
      </c>
      <c r="H21" s="7" t="s">
        <v>22</v>
      </c>
    </row>
    <row r="22" spans="1:8" x14ac:dyDescent="0.45">
      <c r="A22" s="4" t="s">
        <v>292</v>
      </c>
      <c r="B22" s="4"/>
      <c r="C22" s="8">
        <f>'تراز نامه'!D6/'بهای تمام شده'!D8</f>
        <v>0.15759336364117529</v>
      </c>
      <c r="D22" s="8">
        <f>'تراز نامه'!E6/'بهای تمام شده'!E8</f>
        <v>0.11231520874261387</v>
      </c>
      <c r="E22" s="8">
        <f>'تراز نامه'!F6/'بهای تمام شده'!F8</f>
        <v>0.1920935700744143</v>
      </c>
      <c r="F22" s="8">
        <f>'تراز نامه'!G6/'بهای تمام شده'!G8</f>
        <v>0.12041891675675098</v>
      </c>
      <c r="G22" s="8">
        <f>GEOMEAN(C22:F22)</f>
        <v>0.14224794776346134</v>
      </c>
      <c r="H22" s="8"/>
    </row>
    <row r="24" spans="1:8" x14ac:dyDescent="0.45">
      <c r="A24" s="16" t="s">
        <v>26</v>
      </c>
    </row>
    <row r="25" spans="1:8" x14ac:dyDescent="0.45">
      <c r="A25" s="3" t="s">
        <v>16</v>
      </c>
      <c r="B25" s="3" t="s">
        <v>69</v>
      </c>
      <c r="C25" s="3" t="s">
        <v>12</v>
      </c>
      <c r="D25" s="3" t="s">
        <v>13</v>
      </c>
      <c r="E25" s="3" t="s">
        <v>14</v>
      </c>
      <c r="F25" s="3" t="s">
        <v>15</v>
      </c>
      <c r="G25" s="7" t="s">
        <v>21</v>
      </c>
      <c r="H25" s="7" t="s">
        <v>22</v>
      </c>
    </row>
    <row r="26" spans="1:8" x14ac:dyDescent="0.45">
      <c r="A26" s="4" t="s">
        <v>293</v>
      </c>
      <c r="B26" s="4"/>
      <c r="C26" s="8">
        <f>('تراز نامه'!D5-'تراز نامه'!C5)/'بهای تمام شده'!D8</f>
        <v>3.1677159816055678E-2</v>
      </c>
      <c r="D26" s="8">
        <f>('تراز نامه'!E5-'تراز نامه'!D5)/'بهای تمام شده'!E8</f>
        <v>0.10479018877842254</v>
      </c>
      <c r="E26" s="8">
        <f>('تراز نامه'!F5-'تراز نامه'!E5)/'بهای تمام شده'!F8</f>
        <v>0.22611282488490519</v>
      </c>
      <c r="F26" s="8">
        <f>('تراز نامه'!G5-'تراز نامه'!F5)/'بهای تمام شده'!G8</f>
        <v>9.7668557221448852E-3</v>
      </c>
      <c r="G26" s="9">
        <f>GEOMEAN(D26:F26)</f>
        <v>6.1395074439018656E-2</v>
      </c>
      <c r="H26" s="4"/>
    </row>
    <row r="28" spans="1:8" x14ac:dyDescent="0.45">
      <c r="A28" s="16" t="s">
        <v>294</v>
      </c>
    </row>
    <row r="29" spans="1:8" x14ac:dyDescent="0.45">
      <c r="A29" s="3" t="s">
        <v>16</v>
      </c>
      <c r="B29" s="3" t="s">
        <v>69</v>
      </c>
      <c r="C29" s="3" t="s">
        <v>12</v>
      </c>
      <c r="D29" s="3" t="s">
        <v>13</v>
      </c>
      <c r="E29" s="3" t="s">
        <v>14</v>
      </c>
      <c r="F29" s="3" t="s">
        <v>15</v>
      </c>
      <c r="G29" s="7" t="s">
        <v>21</v>
      </c>
      <c r="H29" s="7" t="s">
        <v>22</v>
      </c>
    </row>
    <row r="30" spans="1:8" x14ac:dyDescent="0.45">
      <c r="A30" s="4" t="s">
        <v>311</v>
      </c>
      <c r="B30" s="4"/>
      <c r="C30" s="9">
        <f>('تراز نامه'!D17-'تراز نامه'!C17)/'بهای تمام شده'!D16</f>
        <v>0.13322509503564717</v>
      </c>
      <c r="D30" s="9">
        <f>('تراز نامه'!E17-'تراز نامه'!D17)/'بهای تمام شده'!E16</f>
        <v>2.813106032578323E-2</v>
      </c>
      <c r="E30" s="9">
        <f>('تراز نامه'!F17-'تراز نامه'!E17)/'بهای تمام شده'!F16</f>
        <v>9.1501787233075269E-2</v>
      </c>
      <c r="F30" s="9">
        <f>('تراز نامه'!G17-'تراز نامه'!F17)/'بهای تمام شده'!G16</f>
        <v>7.5338339336940507E-2</v>
      </c>
      <c r="G30" s="9">
        <f>GEOMEAN(C30:F30)</f>
        <v>7.1294239404401993E-2</v>
      </c>
      <c r="H30" s="9"/>
    </row>
    <row r="31" spans="1:8" x14ac:dyDescent="0.45">
      <c r="A31" s="4" t="s">
        <v>295</v>
      </c>
      <c r="B31" s="4"/>
      <c r="C31" s="9">
        <f>'تراز نامه'!D24/'بهای تمام شده'!D16</f>
        <v>3.3409932143063609E-3</v>
      </c>
      <c r="D31" s="9">
        <f>'تراز نامه'!E24/'بهای تمام شده'!E16</f>
        <v>6.5595492804123171E-3</v>
      </c>
      <c r="E31" s="9">
        <f>'تراز نامه'!F24/'بهای تمام شده'!F16</f>
        <v>4.5447433374186177E-3</v>
      </c>
      <c r="F31" s="9">
        <f>'تراز نامه'!G24/'بهای تمام شده'!G16</f>
        <v>3.9464283834515545E-3</v>
      </c>
      <c r="G31" s="9">
        <f>GEOMEAN(C31:F31)</f>
        <v>4.4526216648006984E-3</v>
      </c>
      <c r="H31" s="9"/>
    </row>
    <row r="33" spans="1:8" x14ac:dyDescent="0.45">
      <c r="A33" s="16" t="s">
        <v>296</v>
      </c>
    </row>
    <row r="34" spans="1:8" x14ac:dyDescent="0.45">
      <c r="A34" s="3" t="s">
        <v>16</v>
      </c>
      <c r="B34" s="3" t="s">
        <v>69</v>
      </c>
      <c r="C34" s="3" t="s">
        <v>12</v>
      </c>
      <c r="D34" s="3" t="s">
        <v>13</v>
      </c>
      <c r="E34" s="3" t="s">
        <v>14</v>
      </c>
      <c r="F34" s="3" t="s">
        <v>15</v>
      </c>
      <c r="G34" s="7" t="s">
        <v>21</v>
      </c>
      <c r="H34" s="7" t="s">
        <v>22</v>
      </c>
    </row>
    <row r="35" spans="1:8" x14ac:dyDescent="0.45">
      <c r="A35" s="1" t="s">
        <v>297</v>
      </c>
      <c r="C35" s="61">
        <f>'تراز نامه'!D18/'سود وزیان'!C2</f>
        <v>4.4928807096711751E-2</v>
      </c>
      <c r="D35" s="61">
        <f>'تراز نامه'!E18/'سود وزیان'!D2</f>
        <v>4.9743254994544114E-2</v>
      </c>
      <c r="E35" s="61">
        <f>'تراز نامه'!F18/'سود وزیان'!E2</f>
        <v>7.7450063789332446E-2</v>
      </c>
      <c r="F35" s="61">
        <f>'تراز نامه'!G18/'سود وزیان'!F2</f>
        <v>2.8785813827015935E-2</v>
      </c>
      <c r="G35" s="61">
        <f>GEOMEAN(C35:F35)</f>
        <v>4.7245978179592522E-2</v>
      </c>
    </row>
    <row r="37" spans="1:8" x14ac:dyDescent="0.45">
      <c r="A37" s="16" t="s">
        <v>300</v>
      </c>
    </row>
    <row r="38" spans="1:8" x14ac:dyDescent="0.45">
      <c r="A38" s="3" t="s">
        <v>16</v>
      </c>
      <c r="B38" s="3" t="s">
        <v>69</v>
      </c>
      <c r="C38" s="3" t="s">
        <v>12</v>
      </c>
      <c r="D38" s="3" t="s">
        <v>13</v>
      </c>
      <c r="E38" s="3" t="s">
        <v>14</v>
      </c>
      <c r="F38" s="3" t="s">
        <v>15</v>
      </c>
      <c r="G38" s="7" t="s">
        <v>21</v>
      </c>
      <c r="H38" s="7" t="s">
        <v>22</v>
      </c>
    </row>
    <row r="39" spans="1:8" x14ac:dyDescent="0.45">
      <c r="A39" s="1" t="s">
        <v>301</v>
      </c>
      <c r="C39" s="59">
        <f>'تراز نامه'!D19/-'سود وزیان'!B11</f>
        <v>0.2617289299800562</v>
      </c>
      <c r="D39" s="59">
        <f>'تراز نامه'!E19/-'سود وزیان'!C11</f>
        <v>3.083488215754508</v>
      </c>
      <c r="E39" s="59">
        <f>'تراز نامه'!F19/-'سود وزیان'!D11</f>
        <v>4.0751529786884859</v>
      </c>
      <c r="F39" s="59">
        <f>'تراز نامه'!G19/-'سود وزیان'!E11</f>
        <v>0.16735857489345549</v>
      </c>
      <c r="G39" s="59">
        <f>GEOMEAN(C39:F39)</f>
        <v>0.86133377453642623</v>
      </c>
    </row>
    <row r="41" spans="1:8" x14ac:dyDescent="0.45">
      <c r="A41" s="16" t="s">
        <v>309</v>
      </c>
    </row>
    <row r="42" spans="1:8" x14ac:dyDescent="0.45">
      <c r="A42" s="3" t="s">
        <v>16</v>
      </c>
      <c r="B42" s="3" t="s">
        <v>69</v>
      </c>
      <c r="C42" s="3" t="s">
        <v>12</v>
      </c>
      <c r="D42" s="3" t="s">
        <v>13</v>
      </c>
      <c r="E42" s="3" t="s">
        <v>14</v>
      </c>
      <c r="F42" s="3" t="s">
        <v>15</v>
      </c>
      <c r="G42" s="7" t="s">
        <v>21</v>
      </c>
      <c r="H42" s="7" t="s">
        <v>22</v>
      </c>
    </row>
    <row r="43" spans="1:8" x14ac:dyDescent="0.45">
      <c r="A43" s="4" t="s">
        <v>310</v>
      </c>
      <c r="B43" s="4"/>
      <c r="C43" s="36">
        <f>('تراز نامه'!D20-'تراز نامه'!C20)/'سود وزیان'!B15</f>
        <v>0.27799591002044988</v>
      </c>
      <c r="D43" s="36">
        <f>('تراز نامه'!E20-'تراز نامه'!D20)/'سود وزیان'!C15</f>
        <v>-0.10886697631919592</v>
      </c>
      <c r="E43" s="36">
        <f>('تراز نامه'!F20-'تراز نامه'!E20)/'سود وزیان'!D15</f>
        <v>0.4593231743518702</v>
      </c>
      <c r="F43" s="36">
        <f>('تراز نامه'!G20-'تراز نامه'!F20)/'سود وزیان'!E15</f>
        <v>0.83200554126261628</v>
      </c>
      <c r="G43" s="8">
        <f>GEOMEAN(G44,E43,C43)</f>
        <v>0.35733732501297694</v>
      </c>
      <c r="H43" s="4"/>
    </row>
    <row r="45" spans="1:8" x14ac:dyDescent="0.45">
      <c r="A45" s="1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rightToLeft="1" workbookViewId="0">
      <selection activeCell="A6" sqref="A6"/>
    </sheetView>
  </sheetViews>
  <sheetFormatPr defaultRowHeight="18" x14ac:dyDescent="0.45"/>
  <cols>
    <col min="1" max="1" width="33.5703125" style="1" bestFit="1" customWidth="1"/>
    <col min="2" max="2" width="20.5703125" style="1" bestFit="1" customWidth="1"/>
    <col min="3" max="5" width="14" style="1" bestFit="1" customWidth="1"/>
    <col min="6" max="6" width="20.5703125" style="1" bestFit="1" customWidth="1"/>
    <col min="7" max="7" width="14" style="1" bestFit="1" customWidth="1"/>
    <col min="8" max="8" width="14.5703125" style="1" bestFit="1" customWidth="1"/>
    <col min="9" max="9" width="14.5703125" style="1" customWidth="1"/>
    <col min="10" max="10" width="9.140625" style="1"/>
    <col min="11" max="11" width="27.140625" style="1" bestFit="1" customWidth="1"/>
    <col min="12" max="16" width="13.85546875" style="1" bestFit="1" customWidth="1"/>
    <col min="17" max="17" width="14" style="1" bestFit="1" customWidth="1"/>
    <col min="18" max="19" width="9.140625" style="1"/>
    <col min="20" max="20" width="27.140625" style="1" bestFit="1" customWidth="1"/>
    <col min="21" max="25" width="13.85546875" style="1" bestFit="1" customWidth="1"/>
    <col min="26" max="16384" width="9.140625" style="1"/>
  </cols>
  <sheetData>
    <row r="1" spans="1:26" s="2" customFormat="1" x14ac:dyDescent="0.45">
      <c r="A1" s="3" t="s">
        <v>16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6" t="s">
        <v>20</v>
      </c>
      <c r="H1" s="7" t="s">
        <v>21</v>
      </c>
      <c r="I1" s="7" t="s">
        <v>22</v>
      </c>
      <c r="K1" s="3" t="s">
        <v>16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6" t="s">
        <v>20</v>
      </c>
      <c r="R1" s="7" t="s">
        <v>21</v>
      </c>
      <c r="T1" s="3" t="s">
        <v>16</v>
      </c>
      <c r="U1" s="3" t="s">
        <v>12</v>
      </c>
      <c r="V1" s="3" t="s">
        <v>13</v>
      </c>
      <c r="W1" s="3" t="s">
        <v>14</v>
      </c>
      <c r="X1" s="3" t="s">
        <v>15</v>
      </c>
      <c r="Y1" s="6" t="s">
        <v>20</v>
      </c>
      <c r="Z1" s="7" t="s">
        <v>21</v>
      </c>
    </row>
    <row r="2" spans="1:26" x14ac:dyDescent="0.45">
      <c r="A2" s="4" t="s">
        <v>0</v>
      </c>
      <c r="B2" s="5">
        <v>9193650</v>
      </c>
      <c r="C2" s="5">
        <v>12077819</v>
      </c>
      <c r="D2" s="5">
        <v>16860698</v>
      </c>
      <c r="E2" s="5">
        <v>33645124</v>
      </c>
      <c r="F2" s="5">
        <v>49765416</v>
      </c>
      <c r="G2" s="5">
        <f>'تولید فروش'!H47</f>
        <v>68060163.911803991</v>
      </c>
      <c r="H2" s="5">
        <f>'تولید فروش'!L47</f>
        <v>70652343.531374976</v>
      </c>
      <c r="I2" s="5"/>
      <c r="K2" s="4" t="s">
        <v>0</v>
      </c>
      <c r="L2" s="8">
        <f>B2/B$2</f>
        <v>1</v>
      </c>
      <c r="M2" s="8">
        <f t="shared" ref="M2:P12" si="0">C2/C$2</f>
        <v>1</v>
      </c>
      <c r="N2" s="8">
        <f t="shared" si="0"/>
        <v>1</v>
      </c>
      <c r="O2" s="8">
        <f t="shared" si="0"/>
        <v>1</v>
      </c>
      <c r="P2" s="8">
        <f t="shared" si="0"/>
        <v>1</v>
      </c>
      <c r="Q2" s="8">
        <f t="shared" ref="Q2:Q6" si="1">G2/G$2</f>
        <v>1</v>
      </c>
      <c r="R2" s="8">
        <f t="shared" ref="R2:R6" si="2">H2/H$2</f>
        <v>1</v>
      </c>
      <c r="T2" s="4" t="s">
        <v>0</v>
      </c>
      <c r="U2" s="8">
        <f t="shared" ref="U2:X3" si="3">C2/B2-1</f>
        <v>0.31371316071418853</v>
      </c>
      <c r="V2" s="8">
        <f t="shared" si="3"/>
        <v>0.39600518934751383</v>
      </c>
      <c r="W2" s="8">
        <f t="shared" si="3"/>
        <v>0.99547634386192074</v>
      </c>
      <c r="X2" s="8">
        <f t="shared" si="3"/>
        <v>0.4791271388983438</v>
      </c>
      <c r="Y2" s="8">
        <f t="shared" ref="Y2" si="4">G2/F2-1</f>
        <v>0.36761971228782642</v>
      </c>
      <c r="Z2" s="8">
        <f>H2/G2-1</f>
        <v>3.8086590901104334E-2</v>
      </c>
    </row>
    <row r="3" spans="1:26" x14ac:dyDescent="0.45">
      <c r="A3" s="4" t="s">
        <v>1</v>
      </c>
      <c r="B3" s="5">
        <v>-7455830</v>
      </c>
      <c r="C3" s="5">
        <v>-10240368</v>
      </c>
      <c r="D3" s="5">
        <v>-14082370</v>
      </c>
      <c r="E3" s="5">
        <v>-26395550</v>
      </c>
      <c r="F3" s="5">
        <v>-46833233</v>
      </c>
      <c r="G3" s="5">
        <f>-'بهای تمام شده'!H16</f>
        <v>-63292129</v>
      </c>
      <c r="H3" s="5">
        <f>-'بهای تمام شده'!I16</f>
        <v>-74768900.846055254</v>
      </c>
      <c r="I3" s="5"/>
      <c r="K3" s="4" t="s">
        <v>1</v>
      </c>
      <c r="L3" s="8">
        <f t="shared" ref="L3:L12" si="5">B3/B$2</f>
        <v>-0.81097605412431406</v>
      </c>
      <c r="M3" s="8">
        <f t="shared" si="0"/>
        <v>-0.84786566183844947</v>
      </c>
      <c r="N3" s="8">
        <f t="shared" si="0"/>
        <v>-0.83521868430357982</v>
      </c>
      <c r="O3" s="8">
        <f t="shared" si="0"/>
        <v>-0.78452824248767816</v>
      </c>
      <c r="P3" s="8">
        <f t="shared" si="0"/>
        <v>-0.94107990577231382</v>
      </c>
      <c r="Q3" s="8">
        <f t="shared" si="1"/>
        <v>-0.929943822674558</v>
      </c>
      <c r="R3" s="8">
        <f t="shared" si="2"/>
        <v>-1.0582649790357233</v>
      </c>
      <c r="T3" s="4" t="s">
        <v>1</v>
      </c>
      <c r="U3" s="8">
        <f t="shared" si="3"/>
        <v>0.37347122989660431</v>
      </c>
      <c r="V3" s="8">
        <f t="shared" si="3"/>
        <v>0.37518202470848694</v>
      </c>
      <c r="W3" s="8">
        <f t="shared" si="3"/>
        <v>0.87436844792460366</v>
      </c>
      <c r="X3" s="8">
        <f t="shared" si="3"/>
        <v>0.77428517306894529</v>
      </c>
      <c r="Y3" s="8">
        <f>G3/F3-1</f>
        <v>0.3514362546783818</v>
      </c>
      <c r="Z3" s="8"/>
    </row>
    <row r="4" spans="1:26" x14ac:dyDescent="0.45">
      <c r="A4" s="10" t="s">
        <v>2</v>
      </c>
      <c r="B4" s="11">
        <v>1737820</v>
      </c>
      <c r="C4" s="11">
        <v>1837451</v>
      </c>
      <c r="D4" s="11">
        <v>2778328</v>
      </c>
      <c r="E4" s="11">
        <v>7249574</v>
      </c>
      <c r="F4" s="11">
        <v>2932183</v>
      </c>
      <c r="G4" s="11">
        <f>SUM(G2:G3)</f>
        <v>4768034.9118039906</v>
      </c>
      <c r="H4" s="11">
        <f>SUM(H2:H3)</f>
        <v>-4116557.3146802783</v>
      </c>
      <c r="I4" s="11"/>
      <c r="K4" s="10" t="s">
        <v>2</v>
      </c>
      <c r="L4" s="12">
        <f t="shared" si="5"/>
        <v>0.18902394587568594</v>
      </c>
      <c r="M4" s="12">
        <f t="shared" si="0"/>
        <v>0.15213433816155053</v>
      </c>
      <c r="N4" s="12">
        <f t="shared" si="0"/>
        <v>0.16478131569642016</v>
      </c>
      <c r="O4" s="12">
        <f t="shared" si="0"/>
        <v>0.21547175751232184</v>
      </c>
      <c r="P4" s="12">
        <f t="shared" si="0"/>
        <v>5.8920094227686154E-2</v>
      </c>
      <c r="Q4" s="12">
        <f t="shared" si="1"/>
        <v>7.0056177325442032E-2</v>
      </c>
      <c r="R4" s="12">
        <f t="shared" si="2"/>
        <v>-5.8264979035723224E-2</v>
      </c>
      <c r="T4" s="10" t="s">
        <v>2</v>
      </c>
      <c r="U4" s="12">
        <f t="shared" ref="U4:X15" si="6">C4/B4-1</f>
        <v>5.7331023926528557E-2</v>
      </c>
      <c r="V4" s="12">
        <f t="shared" si="6"/>
        <v>0.5120555595768268</v>
      </c>
      <c r="W4" s="12">
        <f t="shared" si="6"/>
        <v>1.6093297839563938</v>
      </c>
      <c r="X4" s="12">
        <f t="shared" si="6"/>
        <v>-0.59553719984098374</v>
      </c>
      <c r="Y4" s="8">
        <f>G4/F4-1</f>
        <v>0.62610413872667237</v>
      </c>
      <c r="Z4" s="12"/>
    </row>
    <row r="5" spans="1:26" x14ac:dyDescent="0.45">
      <c r="A5" s="4" t="s">
        <v>3</v>
      </c>
      <c r="B5" s="5">
        <v>-331419</v>
      </c>
      <c r="C5" s="5">
        <v>-417810</v>
      </c>
      <c r="D5" s="5">
        <v>-571114</v>
      </c>
      <c r="E5" s="5">
        <v>-919142</v>
      </c>
      <c r="F5" s="5">
        <v>-1251487</v>
      </c>
      <c r="G5" s="5">
        <f>-'عمومی اداری'!H13</f>
        <v>-1425787</v>
      </c>
      <c r="H5" s="5">
        <f>-'عمومی اداری'!I13</f>
        <v>-1757810.8</v>
      </c>
      <c r="I5" s="5"/>
      <c r="K5" s="4" t="s">
        <v>3</v>
      </c>
      <c r="L5" s="8">
        <f t="shared" si="5"/>
        <v>-3.6048685777683512E-2</v>
      </c>
      <c r="M5" s="8">
        <f t="shared" si="0"/>
        <v>-3.4593166199957129E-2</v>
      </c>
      <c r="N5" s="8">
        <f t="shared" si="0"/>
        <v>-3.3872500414870131E-2</v>
      </c>
      <c r="O5" s="8">
        <f t="shared" si="0"/>
        <v>-2.7318728265052612E-2</v>
      </c>
      <c r="P5" s="8">
        <f t="shared" si="0"/>
        <v>-2.5147725078797693E-2</v>
      </c>
      <c r="Q5" s="8">
        <f t="shared" si="1"/>
        <v>-2.0948921043558038E-2</v>
      </c>
      <c r="R5" s="8">
        <f t="shared" si="2"/>
        <v>-2.4879723900728068E-2</v>
      </c>
      <c r="T5" s="4" t="s">
        <v>3</v>
      </c>
      <c r="U5" s="8">
        <f t="shared" si="6"/>
        <v>0.26067002797063532</v>
      </c>
      <c r="V5" s="8">
        <f t="shared" si="6"/>
        <v>0.36692276393576018</v>
      </c>
      <c r="W5" s="8">
        <f t="shared" si="6"/>
        <v>0.60938446614861475</v>
      </c>
      <c r="X5" s="8">
        <f t="shared" si="6"/>
        <v>0.36158177952916959</v>
      </c>
      <c r="Y5" s="8"/>
      <c r="Z5" s="8"/>
    </row>
    <row r="6" spans="1:26" x14ac:dyDescent="0.45">
      <c r="A6" s="4" t="s">
        <v>17</v>
      </c>
      <c r="B6" s="5">
        <v>-6424</v>
      </c>
      <c r="C6" s="5">
        <v>-761279</v>
      </c>
      <c r="D6" s="5">
        <v>-73980</v>
      </c>
      <c r="E6" s="5">
        <v>56470</v>
      </c>
      <c r="F6" s="5">
        <v>-105109</v>
      </c>
      <c r="G6" s="5"/>
      <c r="H6" s="5">
        <f>H18*H2</f>
        <v>-149224.0550393328</v>
      </c>
      <c r="I6" s="5"/>
      <c r="K6" s="4" t="s">
        <v>17</v>
      </c>
      <c r="L6" s="8">
        <f t="shared" si="5"/>
        <v>-6.9874315424233032E-4</v>
      </c>
      <c r="M6" s="8">
        <f t="shared" si="0"/>
        <v>-6.3031164815435636E-2</v>
      </c>
      <c r="N6" s="8">
        <f t="shared" si="0"/>
        <v>-4.3877187053584614E-3</v>
      </c>
      <c r="O6" s="8">
        <f t="shared" si="0"/>
        <v>1.6784007097135382E-3</v>
      </c>
      <c r="P6" s="8">
        <f t="shared" si="0"/>
        <v>-2.1120892468777918E-3</v>
      </c>
      <c r="Q6" s="8">
        <f t="shared" si="1"/>
        <v>0</v>
      </c>
      <c r="R6" s="8">
        <f t="shared" si="2"/>
        <v>-2.1120892468777918E-3</v>
      </c>
      <c r="T6" s="4" t="s">
        <v>17</v>
      </c>
      <c r="U6" s="8">
        <f t="shared" si="6"/>
        <v>117.50544831880448</v>
      </c>
      <c r="V6" s="8">
        <f t="shared" si="6"/>
        <v>-0.90282143603067999</v>
      </c>
      <c r="W6" s="8">
        <f t="shared" si="6"/>
        <v>-1.7633144092998108</v>
      </c>
      <c r="X6" s="8">
        <f t="shared" si="6"/>
        <v>-2.8613245971312202</v>
      </c>
      <c r="Y6" s="8"/>
      <c r="Z6" s="8"/>
    </row>
    <row r="7" spans="1:26" x14ac:dyDescent="0.45">
      <c r="A7" s="10" t="s">
        <v>5</v>
      </c>
      <c r="B7" s="11">
        <v>1399977</v>
      </c>
      <c r="C7" s="11">
        <v>658362</v>
      </c>
      <c r="D7" s="11">
        <v>2133234</v>
      </c>
      <c r="E7" s="11">
        <v>6386902</v>
      </c>
      <c r="F7" s="11">
        <v>1575587</v>
      </c>
      <c r="G7" s="11">
        <f>G5+G4+G6</f>
        <v>3342247.9118039906</v>
      </c>
      <c r="H7" s="11">
        <f>H5+H4+H6</f>
        <v>-6023592.1697196113</v>
      </c>
      <c r="I7" s="11"/>
      <c r="K7" s="10" t="s">
        <v>5</v>
      </c>
      <c r="L7" s="12">
        <f t="shared" si="5"/>
        <v>0.1522765169437601</v>
      </c>
      <c r="M7" s="12">
        <f t="shared" si="0"/>
        <v>5.4510007146157766E-2</v>
      </c>
      <c r="N7" s="12">
        <f t="shared" si="0"/>
        <v>0.12652109657619157</v>
      </c>
      <c r="O7" s="12">
        <f t="shared" si="0"/>
        <v>0.18983142995698277</v>
      </c>
      <c r="P7" s="12">
        <f t="shared" si="0"/>
        <v>3.1660279902010667E-2</v>
      </c>
      <c r="Q7" s="10"/>
      <c r="R7" s="10"/>
      <c r="T7" s="10" t="s">
        <v>5</v>
      </c>
      <c r="U7" s="12">
        <f t="shared" si="6"/>
        <v>-0.52973370276797405</v>
      </c>
      <c r="V7" s="12">
        <f t="shared" si="6"/>
        <v>2.2402143501599423</v>
      </c>
      <c r="W7" s="12">
        <f t="shared" si="6"/>
        <v>1.993999720611991</v>
      </c>
      <c r="X7" s="12">
        <f t="shared" si="6"/>
        <v>-0.75330966405935151</v>
      </c>
      <c r="Y7" s="12"/>
      <c r="Z7" s="12"/>
    </row>
    <row r="8" spans="1:26" x14ac:dyDescent="0.45">
      <c r="A8" s="4" t="s">
        <v>6</v>
      </c>
      <c r="B8" s="5">
        <v>-148269</v>
      </c>
      <c r="C8" s="5">
        <v>-243317</v>
      </c>
      <c r="D8" s="5">
        <v>-406797</v>
      </c>
      <c r="E8" s="5">
        <v>-696912</v>
      </c>
      <c r="F8" s="5">
        <v>-1610584</v>
      </c>
      <c r="G8" s="5"/>
      <c r="H8" s="5">
        <f>'هزینه مالی'!F7</f>
        <v>-2083205.1771583527</v>
      </c>
      <c r="I8" s="5"/>
      <c r="K8" s="4" t="s">
        <v>6</v>
      </c>
      <c r="L8" s="8">
        <f t="shared" si="5"/>
        <v>-1.6127327013754057E-2</v>
      </c>
      <c r="M8" s="8">
        <f t="shared" si="0"/>
        <v>-2.0145773007527269E-2</v>
      </c>
      <c r="N8" s="8">
        <f t="shared" si="0"/>
        <v>-2.4126937093588888E-2</v>
      </c>
      <c r="O8" s="8">
        <f t="shared" si="0"/>
        <v>-2.0713610685459207E-2</v>
      </c>
      <c r="P8" s="8">
        <f t="shared" si="0"/>
        <v>-3.2363519276117372E-2</v>
      </c>
      <c r="Q8" s="4"/>
      <c r="R8" s="4"/>
      <c r="T8" s="4" t="s">
        <v>6</v>
      </c>
      <c r="U8" s="8">
        <f t="shared" si="6"/>
        <v>0.64105106259568756</v>
      </c>
      <c r="V8" s="8">
        <f t="shared" si="6"/>
        <v>0.67188071528088877</v>
      </c>
      <c r="W8" s="8">
        <f t="shared" si="6"/>
        <v>0.71316897617239072</v>
      </c>
      <c r="X8" s="8">
        <f t="shared" si="6"/>
        <v>1.3110292260715846</v>
      </c>
      <c r="Y8" s="8"/>
      <c r="Z8" s="8"/>
    </row>
    <row r="9" spans="1:26" x14ac:dyDescent="0.45">
      <c r="A9" s="4" t="s">
        <v>18</v>
      </c>
      <c r="B9" s="5">
        <v>44841</v>
      </c>
      <c r="C9" s="5">
        <v>386533</v>
      </c>
      <c r="D9" s="5">
        <v>237290</v>
      </c>
      <c r="E9" s="5">
        <v>1989668</v>
      </c>
      <c r="F9" s="5">
        <v>1497554</v>
      </c>
      <c r="G9" s="5"/>
      <c r="H9" s="5">
        <f>H19*H2</f>
        <v>1470777.8911981771</v>
      </c>
      <c r="I9" s="5"/>
      <c r="K9" s="4" t="s">
        <v>18</v>
      </c>
      <c r="L9" s="8">
        <f t="shared" si="5"/>
        <v>4.8773881972883461E-3</v>
      </c>
      <c r="M9" s="8">
        <f t="shared" si="0"/>
        <v>3.2003543023785996E-2</v>
      </c>
      <c r="N9" s="8">
        <f t="shared" si="0"/>
        <v>1.4073557334340488E-2</v>
      </c>
      <c r="O9" s="8">
        <f t="shared" si="0"/>
        <v>5.9136890088441939E-2</v>
      </c>
      <c r="P9" s="8">
        <f t="shared" si="0"/>
        <v>3.0092263269737362E-2</v>
      </c>
      <c r="Q9" s="4"/>
      <c r="R9" s="4"/>
      <c r="T9" s="4" t="s">
        <v>18</v>
      </c>
      <c r="U9" s="8">
        <f t="shared" si="6"/>
        <v>7.6200798376485803</v>
      </c>
      <c r="V9" s="8">
        <f t="shared" si="6"/>
        <v>-0.38610674897098052</v>
      </c>
      <c r="W9" s="8">
        <f t="shared" si="6"/>
        <v>7.3849635467149906</v>
      </c>
      <c r="X9" s="8">
        <f t="shared" si="6"/>
        <v>-0.24733473122149019</v>
      </c>
      <c r="Y9" s="8"/>
      <c r="Z9" s="8"/>
    </row>
    <row r="10" spans="1:26" x14ac:dyDescent="0.45">
      <c r="A10" s="4" t="s">
        <v>19</v>
      </c>
      <c r="B10" s="5">
        <v>1296549</v>
      </c>
      <c r="C10" s="5">
        <v>801578</v>
      </c>
      <c r="D10" s="5">
        <v>1963727</v>
      </c>
      <c r="E10" s="5">
        <v>7679658</v>
      </c>
      <c r="F10" s="5">
        <v>1462557</v>
      </c>
      <c r="G10" s="5"/>
      <c r="H10" s="5">
        <f>H7+H8+H9</f>
        <v>-6636019.4556797873</v>
      </c>
      <c r="I10" s="5"/>
      <c r="K10" s="4" t="s">
        <v>19</v>
      </c>
      <c r="L10" s="8">
        <f t="shared" si="5"/>
        <v>0.14102657812729438</v>
      </c>
      <c r="M10" s="8">
        <f t="shared" si="0"/>
        <v>6.6367777162416486E-2</v>
      </c>
      <c r="N10" s="8">
        <f t="shared" si="0"/>
        <v>0.11646771681694316</v>
      </c>
      <c r="O10" s="8">
        <f t="shared" si="0"/>
        <v>0.2282547093599655</v>
      </c>
      <c r="P10" s="8">
        <f t="shared" si="0"/>
        <v>2.9389023895630653E-2</v>
      </c>
      <c r="Q10" s="4"/>
      <c r="R10" s="4"/>
      <c r="T10" s="4" t="s">
        <v>19</v>
      </c>
      <c r="U10" s="8">
        <f t="shared" si="6"/>
        <v>-0.38176034997520336</v>
      </c>
      <c r="V10" s="8">
        <f t="shared" si="6"/>
        <v>1.4498264672932639</v>
      </c>
      <c r="W10" s="8">
        <f t="shared" si="6"/>
        <v>2.910756434066446</v>
      </c>
      <c r="X10" s="8">
        <f t="shared" si="6"/>
        <v>-0.80955440984481342</v>
      </c>
      <c r="Y10" s="8"/>
      <c r="Z10" s="8"/>
    </row>
    <row r="11" spans="1:26" x14ac:dyDescent="0.45">
      <c r="A11" s="4" t="s">
        <v>7</v>
      </c>
      <c r="B11" s="5">
        <v>-313882</v>
      </c>
      <c r="C11" s="5">
        <v>-101152</v>
      </c>
      <c r="D11" s="5">
        <v>-255918</v>
      </c>
      <c r="E11" s="5">
        <v>-1069506</v>
      </c>
      <c r="F11" s="5">
        <v>-39937</v>
      </c>
      <c r="G11" s="5"/>
      <c r="H11" s="19">
        <f>-H20*H10</f>
        <v>874723.71562587959</v>
      </c>
      <c r="I11" s="5"/>
      <c r="K11" s="4" t="s">
        <v>7</v>
      </c>
      <c r="L11" s="8">
        <f t="shared" si="5"/>
        <v>-3.414117352738031E-2</v>
      </c>
      <c r="M11" s="8">
        <f t="shared" si="0"/>
        <v>-8.375022013494323E-3</v>
      </c>
      <c r="N11" s="8">
        <f t="shared" si="0"/>
        <v>-1.5178375177587546E-2</v>
      </c>
      <c r="O11" s="8">
        <f t="shared" si="0"/>
        <v>-3.1787845394773993E-2</v>
      </c>
      <c r="P11" s="8">
        <f t="shared" si="0"/>
        <v>-8.0250509711402799E-4</v>
      </c>
      <c r="Q11" s="4"/>
      <c r="R11" s="4"/>
      <c r="T11" s="4" t="s">
        <v>7</v>
      </c>
      <c r="U11" s="8">
        <f t="shared" si="6"/>
        <v>-0.67773876807207811</v>
      </c>
      <c r="V11" s="8">
        <f t="shared" si="6"/>
        <v>1.530034008225245</v>
      </c>
      <c r="W11" s="8">
        <f t="shared" si="6"/>
        <v>3.1790964293250186</v>
      </c>
      <c r="X11" s="8">
        <f t="shared" si="6"/>
        <v>-0.96265846100910135</v>
      </c>
      <c r="Y11" s="8"/>
      <c r="Z11" s="8"/>
    </row>
    <row r="12" spans="1:26" x14ac:dyDescent="0.45">
      <c r="A12" s="10" t="s">
        <v>8</v>
      </c>
      <c r="B12" s="11">
        <v>982667</v>
      </c>
      <c r="C12" s="11">
        <v>700426</v>
      </c>
      <c r="D12" s="11">
        <v>1707809</v>
      </c>
      <c r="E12" s="11">
        <v>6610152</v>
      </c>
      <c r="F12" s="11">
        <v>1422620</v>
      </c>
      <c r="G12" s="11"/>
      <c r="H12" s="11">
        <f>H10+H11</f>
        <v>-5761295.740053908</v>
      </c>
      <c r="I12" s="11"/>
      <c r="K12" s="10" t="s">
        <v>8</v>
      </c>
      <c r="L12" s="12">
        <f t="shared" si="5"/>
        <v>0.10688540459991407</v>
      </c>
      <c r="M12" s="12">
        <f t="shared" si="0"/>
        <v>5.7992755148922166E-2</v>
      </c>
      <c r="N12" s="12">
        <f t="shared" si="0"/>
        <v>0.10128934163935562</v>
      </c>
      <c r="O12" s="12">
        <f t="shared" si="0"/>
        <v>0.1964668639651915</v>
      </c>
      <c r="P12" s="12">
        <f t="shared" si="0"/>
        <v>2.8586518798516626E-2</v>
      </c>
      <c r="Q12" s="10"/>
      <c r="R12" s="10"/>
      <c r="T12" s="10" t="s">
        <v>8</v>
      </c>
      <c r="U12" s="12">
        <f t="shared" si="6"/>
        <v>-0.28721937339912706</v>
      </c>
      <c r="V12" s="12">
        <f t="shared" si="6"/>
        <v>1.438243297650287</v>
      </c>
      <c r="W12" s="12">
        <f t="shared" si="6"/>
        <v>2.8705452424714943</v>
      </c>
      <c r="X12" s="12">
        <f t="shared" si="6"/>
        <v>-0.78478255870666813</v>
      </c>
      <c r="Y12" s="12"/>
      <c r="Z12" s="12"/>
    </row>
    <row r="13" spans="1:26" x14ac:dyDescent="0.45">
      <c r="A13" s="10" t="s">
        <v>9</v>
      </c>
      <c r="B13" s="11">
        <v>389</v>
      </c>
      <c r="C13" s="11">
        <v>277</v>
      </c>
      <c r="D13" s="11">
        <v>676</v>
      </c>
      <c r="E13" s="11">
        <v>2616</v>
      </c>
      <c r="F13" s="11">
        <v>563</v>
      </c>
      <c r="G13" s="11"/>
      <c r="H13" s="11">
        <f>H12*1000/H14</f>
        <v>-2280.3466218301637</v>
      </c>
      <c r="I13" s="11"/>
      <c r="T13" s="10" t="s">
        <v>9</v>
      </c>
      <c r="U13" s="12">
        <f t="shared" si="6"/>
        <v>-0.28791773778920304</v>
      </c>
      <c r="V13" s="12">
        <f t="shared" si="6"/>
        <v>1.4404332129963899</v>
      </c>
      <c r="W13" s="12">
        <f t="shared" si="6"/>
        <v>2.8698224852071004</v>
      </c>
      <c r="X13" s="12">
        <f t="shared" si="6"/>
        <v>-0.7847859327217126</v>
      </c>
      <c r="Y13" s="12"/>
      <c r="Z13" s="12"/>
    </row>
    <row r="14" spans="1:26" x14ac:dyDescent="0.45">
      <c r="A14" s="4" t="s">
        <v>10</v>
      </c>
      <c r="B14" s="5">
        <v>2526500</v>
      </c>
      <c r="C14" s="5">
        <v>2526500</v>
      </c>
      <c r="D14" s="5">
        <v>2526500</v>
      </c>
      <c r="E14" s="5">
        <v>2526500</v>
      </c>
      <c r="F14" s="5">
        <v>2526500</v>
      </c>
      <c r="G14" s="5">
        <v>2526500</v>
      </c>
      <c r="H14" s="5">
        <v>2526500</v>
      </c>
      <c r="I14" s="5"/>
      <c r="T14" s="4" t="s">
        <v>10</v>
      </c>
      <c r="U14" s="8">
        <f t="shared" si="6"/>
        <v>0</v>
      </c>
      <c r="V14" s="8">
        <f t="shared" si="6"/>
        <v>0</v>
      </c>
      <c r="W14" s="8">
        <f t="shared" si="6"/>
        <v>0</v>
      </c>
      <c r="X14" s="8">
        <f t="shared" si="6"/>
        <v>0</v>
      </c>
      <c r="Y14" s="8"/>
      <c r="Z14" s="8"/>
    </row>
    <row r="15" spans="1:26" x14ac:dyDescent="0.45">
      <c r="A15" s="4" t="s">
        <v>307</v>
      </c>
      <c r="B15" s="5">
        <v>757950</v>
      </c>
      <c r="C15" s="5">
        <v>525320</v>
      </c>
      <c r="D15" s="5">
        <v>1515900</v>
      </c>
      <c r="E15" s="5">
        <v>5053000</v>
      </c>
      <c r="F15" s="5">
        <v>1136925</v>
      </c>
      <c r="G15" s="5"/>
      <c r="H15" s="5">
        <f>GEOMEAN(C16:F16)*H12</f>
        <v>-4600855.4804204274</v>
      </c>
      <c r="I15" s="5"/>
      <c r="T15" s="13"/>
      <c r="U15" s="66">
        <f t="shared" si="6"/>
        <v>-0.30691998152912459</v>
      </c>
      <c r="V15" s="66">
        <f t="shared" si="6"/>
        <v>1.8856696870478946</v>
      </c>
      <c r="W15" s="66">
        <f t="shared" si="6"/>
        <v>2.3333333333333335</v>
      </c>
      <c r="X15" s="66">
        <f t="shared" si="6"/>
        <v>-0.77500000000000002</v>
      </c>
      <c r="Y15" s="66"/>
      <c r="Z15" s="66"/>
    </row>
    <row r="16" spans="1:26" x14ac:dyDescent="0.45">
      <c r="A16" s="4" t="s">
        <v>308</v>
      </c>
      <c r="B16" s="8">
        <f>B15/B12</f>
        <v>0.77131927702873915</v>
      </c>
      <c r="C16" s="8">
        <f>C15/C12</f>
        <v>0.75000071385128475</v>
      </c>
      <c r="D16" s="8">
        <f>D15/D12</f>
        <v>0.88762853457266011</v>
      </c>
      <c r="E16" s="8">
        <f>E15/E12</f>
        <v>0.76443022792819293</v>
      </c>
      <c r="F16" s="8">
        <f>F15/F12</f>
        <v>0.79917687084393585</v>
      </c>
      <c r="G16" s="4"/>
      <c r="H16" s="4"/>
      <c r="I16" s="4"/>
    </row>
    <row r="18" spans="1:9" x14ac:dyDescent="0.45">
      <c r="A18" s="4" t="s">
        <v>239</v>
      </c>
      <c r="B18" s="9">
        <f>B6/B2</f>
        <v>-6.9874315424233032E-4</v>
      </c>
      <c r="C18" s="9">
        <f t="shared" ref="C18:F18" si="7">C6/C2</f>
        <v>-6.3031164815435636E-2</v>
      </c>
      <c r="D18" s="9">
        <f t="shared" si="7"/>
        <v>-4.3877187053584614E-3</v>
      </c>
      <c r="E18" s="9">
        <f t="shared" si="7"/>
        <v>1.6784007097135382E-3</v>
      </c>
      <c r="F18" s="9">
        <f t="shared" si="7"/>
        <v>-2.1120892468777918E-3</v>
      </c>
      <c r="G18" s="4"/>
      <c r="H18" s="55">
        <f>F18</f>
        <v>-2.1120892468777918E-3</v>
      </c>
      <c r="I18" s="4"/>
    </row>
    <row r="19" spans="1:9" x14ac:dyDescent="0.45">
      <c r="A19" s="4" t="s">
        <v>302</v>
      </c>
      <c r="B19" s="9">
        <f>B9/B2</f>
        <v>4.8773881972883461E-3</v>
      </c>
      <c r="C19" s="9">
        <f t="shared" ref="C19:F19" si="8">C9/C2</f>
        <v>3.2003543023785996E-2</v>
      </c>
      <c r="D19" s="9">
        <f t="shared" si="8"/>
        <v>1.4073557334340488E-2</v>
      </c>
      <c r="E19" s="9">
        <f t="shared" si="8"/>
        <v>5.9136890088441939E-2</v>
      </c>
      <c r="F19" s="9">
        <f t="shared" si="8"/>
        <v>3.0092263269737362E-2</v>
      </c>
      <c r="G19" s="9"/>
      <c r="H19" s="9">
        <f>GEOMEAN(B19:F19)</f>
        <v>2.0817114021773966E-2</v>
      </c>
      <c r="I19" s="4"/>
    </row>
    <row r="20" spans="1:9" x14ac:dyDescent="0.45">
      <c r="A20" s="4" t="s">
        <v>303</v>
      </c>
      <c r="B20" s="8">
        <f>-B11/B10</f>
        <v>0.24209034907280788</v>
      </c>
      <c r="C20" s="8">
        <f>-C11/C10</f>
        <v>0.12619108807876464</v>
      </c>
      <c r="D20" s="8">
        <f>-D11/D10</f>
        <v>0.13032259575796432</v>
      </c>
      <c r="E20" s="8">
        <f>-E11/E10</f>
        <v>0.1392647953854195</v>
      </c>
      <c r="F20" s="8">
        <f>-F11/F10</f>
        <v>2.7306286182350498E-2</v>
      </c>
      <c r="G20" s="8"/>
      <c r="H20" s="8">
        <f>GEOMEAN(C20:E20)</f>
        <v>0.1318145194521998</v>
      </c>
      <c r="I20" s="8" t="s">
        <v>172</v>
      </c>
    </row>
    <row r="25" spans="1:9" x14ac:dyDescent="0.45">
      <c r="A25" s="1" t="s">
        <v>272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rightToLeft="1" workbookViewId="0">
      <pane ySplit="1" topLeftCell="A5" activePane="bottomLeft" state="frozen"/>
      <selection pane="bottomLeft" activeCell="H1" sqref="H1:I1048576"/>
    </sheetView>
  </sheetViews>
  <sheetFormatPr defaultRowHeight="18" x14ac:dyDescent="0.45"/>
  <cols>
    <col min="1" max="1" width="28.7109375" style="1" bestFit="1" customWidth="1"/>
    <col min="2" max="2" width="7.140625" style="1" customWidth="1"/>
    <col min="3" max="3" width="20.5703125" style="1" bestFit="1" customWidth="1"/>
    <col min="4" max="7" width="15.5703125" style="1" bestFit="1" customWidth="1"/>
    <col min="8" max="9" width="14.5703125" style="1" bestFit="1" customWidth="1"/>
    <col min="10" max="10" width="9.140625" style="1"/>
    <col min="11" max="11" width="10" style="1" bestFit="1" customWidth="1"/>
    <col min="12" max="16384" width="9.140625" style="1"/>
  </cols>
  <sheetData>
    <row r="1" spans="1:11" x14ac:dyDescent="0.45">
      <c r="A1" s="3" t="s">
        <v>16</v>
      </c>
      <c r="B1" s="3" t="s">
        <v>69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7" t="s">
        <v>21</v>
      </c>
      <c r="I1" s="7" t="s">
        <v>22</v>
      </c>
    </row>
    <row r="2" spans="1:11" x14ac:dyDescent="0.45">
      <c r="A2" s="4" t="s">
        <v>23</v>
      </c>
      <c r="B2" s="4" t="s">
        <v>72</v>
      </c>
      <c r="C2" s="5">
        <v>216298</v>
      </c>
      <c r="D2" s="5">
        <v>559463</v>
      </c>
      <c r="E2" s="5">
        <v>834822</v>
      </c>
      <c r="F2" s="5">
        <v>1078599</v>
      </c>
      <c r="G2" s="5">
        <v>1019727</v>
      </c>
      <c r="H2" s="5"/>
      <c r="I2" s="5"/>
    </row>
    <row r="3" spans="1:11" x14ac:dyDescent="0.45">
      <c r="A3" s="4" t="s">
        <v>24</v>
      </c>
      <c r="B3" s="4" t="s">
        <v>72</v>
      </c>
      <c r="C3" s="5">
        <v>0</v>
      </c>
      <c r="D3" s="5">
        <v>250000</v>
      </c>
      <c r="E3" s="5">
        <v>50000</v>
      </c>
      <c r="F3" s="5">
        <v>0</v>
      </c>
      <c r="G3" s="5">
        <v>0</v>
      </c>
      <c r="H3" s="5">
        <v>0</v>
      </c>
      <c r="I3" s="5"/>
    </row>
    <row r="4" spans="1:11" x14ac:dyDescent="0.45">
      <c r="A4" s="4" t="s">
        <v>25</v>
      </c>
      <c r="B4" s="4" t="s">
        <v>72</v>
      </c>
      <c r="C4" s="5">
        <v>2877324</v>
      </c>
      <c r="D4" s="5">
        <v>2569205</v>
      </c>
      <c r="E4" s="5">
        <v>2647309</v>
      </c>
      <c r="F4" s="5">
        <v>5275852</v>
      </c>
      <c r="G4" s="5">
        <v>6384494</v>
      </c>
      <c r="H4" s="5">
        <f>'مفروضات ترازنامه'!G17*'سود وزیان'!H2</f>
        <v>11375060.960028971</v>
      </c>
      <c r="I4" s="5"/>
    </row>
    <row r="5" spans="1:11" x14ac:dyDescent="0.45">
      <c r="A5" s="4" t="s">
        <v>26</v>
      </c>
      <c r="B5" s="4" t="s">
        <v>72</v>
      </c>
      <c r="C5" s="5">
        <v>1669498</v>
      </c>
      <c r="D5" s="5">
        <v>1988494</v>
      </c>
      <c r="E5" s="5">
        <v>3512383</v>
      </c>
      <c r="F5" s="5">
        <v>10306192</v>
      </c>
      <c r="G5" s="5">
        <v>10778113</v>
      </c>
      <c r="H5" s="5">
        <f>G5+('مفروضات ترازنامه'!G26*'بهای تمام شده'!I8)</f>
        <v>15583566.168140136</v>
      </c>
      <c r="I5" s="5"/>
      <c r="J5" s="17"/>
      <c r="K5" s="17"/>
    </row>
    <row r="6" spans="1:11" x14ac:dyDescent="0.45">
      <c r="A6" s="4" t="s">
        <v>27</v>
      </c>
      <c r="B6" s="4" t="s">
        <v>72</v>
      </c>
      <c r="C6" s="5">
        <v>630260</v>
      </c>
      <c r="D6" s="5">
        <v>1587000</v>
      </c>
      <c r="E6" s="5">
        <v>1633320</v>
      </c>
      <c r="F6" s="5">
        <v>5771663</v>
      </c>
      <c r="G6" s="5">
        <v>5818476</v>
      </c>
      <c r="H6" s="5">
        <f>'مفروضات ترازنامه'!G22*'بهای تمام شده'!I8</f>
        <v>11133887.489953564</v>
      </c>
      <c r="I6" s="5"/>
    </row>
    <row r="7" spans="1:11" x14ac:dyDescent="0.45">
      <c r="A7" s="10" t="s">
        <v>28</v>
      </c>
      <c r="B7" s="10" t="s">
        <v>72</v>
      </c>
      <c r="C7" s="11">
        <v>5393380</v>
      </c>
      <c r="D7" s="11">
        <v>6954162</v>
      </c>
      <c r="E7" s="11">
        <v>8677834</v>
      </c>
      <c r="F7" s="11">
        <v>22432306</v>
      </c>
      <c r="G7" s="11">
        <v>24000810</v>
      </c>
      <c r="H7" s="11"/>
      <c r="I7" s="11"/>
    </row>
    <row r="8" spans="1:11" x14ac:dyDescent="0.45">
      <c r="A8" s="4" t="s">
        <v>59</v>
      </c>
      <c r="B8" s="4" t="s">
        <v>72</v>
      </c>
      <c r="C8" s="5">
        <v>37566</v>
      </c>
      <c r="D8" s="5">
        <v>99196</v>
      </c>
      <c r="E8" s="5">
        <v>97410</v>
      </c>
      <c r="F8" s="5">
        <v>86548</v>
      </c>
      <c r="G8" s="5">
        <v>83002</v>
      </c>
      <c r="H8" s="5">
        <f>'مفروضات ترازنامه'!G18*'سود وزیان'!H2</f>
        <v>267505.64417386375</v>
      </c>
      <c r="I8" s="5"/>
    </row>
    <row r="9" spans="1:11" x14ac:dyDescent="0.45">
      <c r="A9" s="4" t="s">
        <v>29</v>
      </c>
      <c r="B9" s="4" t="s">
        <v>72</v>
      </c>
      <c r="C9" s="5">
        <v>2028843</v>
      </c>
      <c r="D9" s="5">
        <v>2035719</v>
      </c>
      <c r="E9" s="5">
        <v>2057701</v>
      </c>
      <c r="F9" s="5">
        <v>2094070</v>
      </c>
      <c r="G9" s="5">
        <v>2302974</v>
      </c>
      <c r="H9" s="5">
        <v>2302974</v>
      </c>
      <c r="I9" s="5">
        <v>2302974</v>
      </c>
    </row>
    <row r="10" spans="1:11" x14ac:dyDescent="0.45">
      <c r="A10" s="4" t="s">
        <v>30</v>
      </c>
      <c r="B10" s="4" t="s">
        <v>72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11" x14ac:dyDescent="0.45">
      <c r="A11" s="4" t="s">
        <v>31</v>
      </c>
      <c r="B11" s="4" t="s">
        <v>72</v>
      </c>
      <c r="C11" s="5">
        <v>2075691</v>
      </c>
      <c r="D11" s="5">
        <v>2165582</v>
      </c>
      <c r="E11" s="5">
        <v>2150785</v>
      </c>
      <c r="F11" s="5">
        <v>3701742</v>
      </c>
      <c r="G11" s="5">
        <v>4902077</v>
      </c>
      <c r="H11" s="5">
        <f>'مفروضات ترازنامه'!G6</f>
        <v>7078610.5907266885</v>
      </c>
      <c r="I11" s="5"/>
    </row>
    <row r="12" spans="1:11" x14ac:dyDescent="0.45">
      <c r="A12" s="4" t="s">
        <v>32</v>
      </c>
      <c r="B12" s="4" t="s">
        <v>72</v>
      </c>
      <c r="C12" s="5">
        <v>13166</v>
      </c>
      <c r="D12" s="5">
        <v>12442</v>
      </c>
      <c r="E12" s="5">
        <v>11995</v>
      </c>
      <c r="F12" s="5">
        <v>11741</v>
      </c>
      <c r="G12" s="5">
        <v>11501</v>
      </c>
      <c r="H12" s="5">
        <v>11501</v>
      </c>
      <c r="I12" s="5">
        <v>11501</v>
      </c>
    </row>
    <row r="13" spans="1:11" x14ac:dyDescent="0.45">
      <c r="A13" s="4" t="s">
        <v>33</v>
      </c>
      <c r="B13" s="4" t="s">
        <v>72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</row>
    <row r="14" spans="1:11" x14ac:dyDescent="0.45">
      <c r="A14" s="4" t="s">
        <v>34</v>
      </c>
      <c r="B14" s="4" t="s">
        <v>72</v>
      </c>
      <c r="C14" s="5">
        <v>38143</v>
      </c>
      <c r="D14" s="5">
        <v>30603</v>
      </c>
      <c r="E14" s="5">
        <v>31173</v>
      </c>
      <c r="F14" s="5">
        <v>31663</v>
      </c>
      <c r="G14" s="5">
        <v>31553</v>
      </c>
      <c r="H14" s="5">
        <v>31553</v>
      </c>
      <c r="I14" s="5">
        <v>31553</v>
      </c>
    </row>
    <row r="15" spans="1:11" x14ac:dyDescent="0.45">
      <c r="A15" s="10" t="s">
        <v>35</v>
      </c>
      <c r="B15" s="10" t="s">
        <v>72</v>
      </c>
      <c r="C15" s="11">
        <v>4193409</v>
      </c>
      <c r="D15" s="11">
        <v>4343542</v>
      </c>
      <c r="E15" s="11">
        <v>4349064</v>
      </c>
      <c r="F15" s="11">
        <v>5925764</v>
      </c>
      <c r="G15" s="11">
        <v>7331107</v>
      </c>
      <c r="H15" s="11"/>
      <c r="I15" s="11"/>
    </row>
    <row r="16" spans="1:11" x14ac:dyDescent="0.45">
      <c r="A16" s="14" t="s">
        <v>36</v>
      </c>
      <c r="B16" s="10" t="s">
        <v>72</v>
      </c>
      <c r="C16" s="15">
        <v>9586789</v>
      </c>
      <c r="D16" s="15">
        <v>11297704</v>
      </c>
      <c r="E16" s="15">
        <v>13026898</v>
      </c>
      <c r="F16" s="15">
        <v>28358070</v>
      </c>
      <c r="G16" s="15">
        <v>31331917</v>
      </c>
      <c r="H16" s="15"/>
      <c r="I16" s="15"/>
    </row>
    <row r="17" spans="1:11" x14ac:dyDescent="0.45">
      <c r="A17" s="4" t="s">
        <v>37</v>
      </c>
      <c r="B17" s="4" t="s">
        <v>72</v>
      </c>
      <c r="C17" s="5">
        <v>1901220</v>
      </c>
      <c r="D17" s="5">
        <v>3265494</v>
      </c>
      <c r="E17" s="5">
        <v>3661646</v>
      </c>
      <c r="F17" s="5">
        <v>6076886</v>
      </c>
      <c r="G17" s="5">
        <v>9605224</v>
      </c>
      <c r="H17" s="5">
        <f>'مفروضات ترازنامه'!G30*'بهای تمام شده'!I16+G17</f>
        <v>14935815.916922659</v>
      </c>
      <c r="I17" s="5"/>
    </row>
    <row r="18" spans="1:11" x14ac:dyDescent="0.45">
      <c r="A18" s="4" t="s">
        <v>38</v>
      </c>
      <c r="B18" s="4" t="s">
        <v>72</v>
      </c>
      <c r="C18" s="5">
        <v>88796</v>
      </c>
      <c r="D18" s="5">
        <v>542642</v>
      </c>
      <c r="E18" s="5">
        <v>838706</v>
      </c>
      <c r="F18" s="5">
        <v>2605817</v>
      </c>
      <c r="G18" s="5">
        <v>1432538</v>
      </c>
      <c r="H18" s="5">
        <f>'مفروضات ترازنامه'!G35*'سود وزیان'!H2</f>
        <v>3338039.080820417</v>
      </c>
      <c r="I18" s="5"/>
    </row>
    <row r="19" spans="1:11" x14ac:dyDescent="0.45">
      <c r="A19" s="4" t="s">
        <v>39</v>
      </c>
      <c r="B19" s="4" t="s">
        <v>72</v>
      </c>
      <c r="C19" s="5">
        <v>271580</v>
      </c>
      <c r="D19" s="5">
        <v>82152</v>
      </c>
      <c r="E19" s="5">
        <v>311901</v>
      </c>
      <c r="F19" s="5">
        <v>1042905</v>
      </c>
      <c r="G19" s="5">
        <v>178991</v>
      </c>
      <c r="H19" s="19">
        <f>-'سود وزیان'!F11*'مفروضات ترازنامه'!G39</f>
        <v>34399.086953661252</v>
      </c>
      <c r="I19" s="5"/>
    </row>
    <row r="20" spans="1:11" x14ac:dyDescent="0.45">
      <c r="A20" s="4" t="s">
        <v>40</v>
      </c>
      <c r="B20" s="4" t="s">
        <v>72</v>
      </c>
      <c r="C20" s="5">
        <v>568162</v>
      </c>
      <c r="D20" s="5">
        <v>778869</v>
      </c>
      <c r="E20" s="5">
        <v>721679</v>
      </c>
      <c r="F20" s="5">
        <v>1417967</v>
      </c>
      <c r="G20" s="5">
        <v>5622091</v>
      </c>
      <c r="H20" s="19">
        <f>G20+'مفروضات ترازنامه'!G43*'سود وزیان'!H15</f>
        <v>3978033.6098552695</v>
      </c>
      <c r="I20" s="5"/>
    </row>
    <row r="21" spans="1:11" x14ac:dyDescent="0.45">
      <c r="A21" s="10" t="s">
        <v>41</v>
      </c>
      <c r="B21" s="10" t="s">
        <v>72</v>
      </c>
      <c r="C21" s="11">
        <v>1300521</v>
      </c>
      <c r="D21" s="11">
        <v>1432088</v>
      </c>
      <c r="E21" s="11">
        <v>989606</v>
      </c>
      <c r="F21" s="11">
        <v>5741136</v>
      </c>
      <c r="G21" s="11">
        <v>6512372</v>
      </c>
      <c r="H21" s="11">
        <f>'هزینه مالی'!F6</f>
        <v>14904368.081672022</v>
      </c>
      <c r="I21" s="11"/>
    </row>
    <row r="22" spans="1:11" x14ac:dyDescent="0.45">
      <c r="A22" s="4" t="s">
        <v>42</v>
      </c>
      <c r="B22" s="4" t="s">
        <v>72</v>
      </c>
      <c r="C22" s="5">
        <v>100046</v>
      </c>
      <c r="D22" s="5">
        <v>104449</v>
      </c>
      <c r="E22" s="5">
        <v>153528</v>
      </c>
      <c r="F22" s="5">
        <v>286597</v>
      </c>
      <c r="G22" s="5">
        <v>383162</v>
      </c>
      <c r="H22" s="5"/>
      <c r="I22" s="5"/>
    </row>
    <row r="23" spans="1:11" x14ac:dyDescent="0.45">
      <c r="A23" s="10" t="s">
        <v>43</v>
      </c>
      <c r="B23" s="10" t="s">
        <v>72</v>
      </c>
      <c r="C23" s="11">
        <v>4230325</v>
      </c>
      <c r="D23" s="11">
        <v>6205694</v>
      </c>
      <c r="E23" s="11">
        <v>6677066</v>
      </c>
      <c r="F23" s="11">
        <v>17171308</v>
      </c>
      <c r="G23" s="11">
        <v>24734378</v>
      </c>
      <c r="H23" s="11"/>
      <c r="I23" s="11"/>
    </row>
    <row r="24" spans="1:11" x14ac:dyDescent="0.45">
      <c r="A24" s="4" t="s">
        <v>44</v>
      </c>
      <c r="B24" s="4" t="s">
        <v>72</v>
      </c>
      <c r="C24" s="5">
        <v>26447</v>
      </c>
      <c r="D24" s="5">
        <v>34213</v>
      </c>
      <c r="E24" s="5">
        <v>92374</v>
      </c>
      <c r="F24" s="5">
        <v>119961</v>
      </c>
      <c r="G24" s="5">
        <v>184824</v>
      </c>
      <c r="H24" s="5">
        <f>'مفروضات ترازنامه'!G31*'بهای تمام شده'!I16</f>
        <v>332917.62776048091</v>
      </c>
      <c r="I24" s="5"/>
    </row>
    <row r="25" spans="1:11" x14ac:dyDescent="0.45">
      <c r="A25" s="4" t="s">
        <v>45</v>
      </c>
      <c r="B25" s="4" t="s">
        <v>72</v>
      </c>
      <c r="C25" s="5">
        <v>0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</row>
    <row r="26" spans="1:11" x14ac:dyDescent="0.45">
      <c r="A26" s="10" t="s">
        <v>46</v>
      </c>
      <c r="B26" s="10" t="s">
        <v>72</v>
      </c>
      <c r="C26" s="11">
        <v>663180</v>
      </c>
      <c r="D26" s="11">
        <v>642134</v>
      </c>
      <c r="E26" s="11">
        <v>697971</v>
      </c>
      <c r="F26" s="11">
        <v>881286</v>
      </c>
      <c r="G26" s="11">
        <v>528772</v>
      </c>
      <c r="H26" s="11">
        <v>528772</v>
      </c>
      <c r="I26" s="11"/>
    </row>
    <row r="27" spans="1:11" x14ac:dyDescent="0.45">
      <c r="A27" s="4" t="s">
        <v>47</v>
      </c>
      <c r="B27" s="4" t="s">
        <v>72</v>
      </c>
      <c r="C27" s="5">
        <v>225062</v>
      </c>
      <c r="D27" s="5">
        <v>284062</v>
      </c>
      <c r="E27" s="5">
        <v>351702</v>
      </c>
      <c r="F27" s="5">
        <v>645839</v>
      </c>
      <c r="G27" s="5">
        <v>1104270</v>
      </c>
      <c r="H27" s="19">
        <f>('بهای تمام شده'!I4+'عمومی اداری'!I10+سربار!I10)/12+G27</f>
        <v>1719077.2</v>
      </c>
      <c r="I27" s="5"/>
    </row>
    <row r="28" spans="1:11" x14ac:dyDescent="0.45">
      <c r="A28" s="10" t="s">
        <v>48</v>
      </c>
      <c r="B28" s="10" t="s">
        <v>72</v>
      </c>
      <c r="C28" s="11">
        <v>914689</v>
      </c>
      <c r="D28" s="11">
        <v>960409</v>
      </c>
      <c r="E28" s="11">
        <v>1142047</v>
      </c>
      <c r="F28" s="11">
        <v>1647086</v>
      </c>
      <c r="G28" s="11">
        <v>1817866</v>
      </c>
      <c r="H28" s="11"/>
      <c r="I28" s="11"/>
      <c r="K28" s="17"/>
    </row>
    <row r="29" spans="1:11" x14ac:dyDescent="0.45">
      <c r="A29" s="14" t="s">
        <v>60</v>
      </c>
      <c r="B29" s="10" t="s">
        <v>72</v>
      </c>
      <c r="C29" s="15">
        <v>5145014</v>
      </c>
      <c r="D29" s="15">
        <v>7166103</v>
      </c>
      <c r="E29" s="15">
        <v>7819113</v>
      </c>
      <c r="F29" s="15">
        <v>18818394</v>
      </c>
      <c r="G29" s="15">
        <v>26552244</v>
      </c>
      <c r="H29" s="15"/>
      <c r="I29" s="15"/>
    </row>
    <row r="30" spans="1:11" x14ac:dyDescent="0.45">
      <c r="A30" s="14" t="s">
        <v>49</v>
      </c>
      <c r="B30" s="10" t="s">
        <v>72</v>
      </c>
      <c r="C30" s="11"/>
      <c r="D30" s="11"/>
      <c r="E30" s="11"/>
      <c r="F30" s="11"/>
      <c r="G30" s="11"/>
      <c r="H30" s="11"/>
      <c r="I30" s="11"/>
    </row>
    <row r="31" spans="1:11" x14ac:dyDescent="0.45">
      <c r="A31" s="4" t="s">
        <v>10</v>
      </c>
      <c r="B31" s="4" t="s">
        <v>72</v>
      </c>
      <c r="C31" s="5">
        <v>2526500</v>
      </c>
      <c r="D31" s="5">
        <v>2526500</v>
      </c>
      <c r="E31" s="5">
        <v>2526500</v>
      </c>
      <c r="F31" s="5">
        <v>2526500</v>
      </c>
      <c r="G31" s="5">
        <v>2526500</v>
      </c>
      <c r="H31" s="5">
        <v>2526500</v>
      </c>
      <c r="I31" s="5">
        <v>2526500</v>
      </c>
    </row>
    <row r="32" spans="1:11" x14ac:dyDescent="0.45">
      <c r="A32" s="4" t="s">
        <v>50</v>
      </c>
      <c r="B32" s="4" t="s">
        <v>72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45">
      <c r="A33" s="4" t="s">
        <v>51</v>
      </c>
      <c r="B33" s="4" t="s">
        <v>72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45">
      <c r="A34" s="4" t="s">
        <v>52</v>
      </c>
      <c r="B34" s="4" t="s">
        <v>72</v>
      </c>
      <c r="C34" s="5">
        <v>0</v>
      </c>
      <c r="D34" s="5">
        <v>0</v>
      </c>
      <c r="E34" s="5">
        <v>0</v>
      </c>
      <c r="F34" s="5">
        <v>-80203</v>
      </c>
      <c r="G34" s="5">
        <v>-72901</v>
      </c>
      <c r="H34" s="5"/>
      <c r="I34" s="5"/>
    </row>
    <row r="35" spans="1:9" x14ac:dyDescent="0.45">
      <c r="A35" s="4" t="s">
        <v>53</v>
      </c>
      <c r="B35" s="4" t="s">
        <v>72</v>
      </c>
      <c r="C35" s="5" t="s">
        <v>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45">
      <c r="A36" s="4" t="s">
        <v>54</v>
      </c>
      <c r="B36" s="4" t="s">
        <v>72</v>
      </c>
      <c r="C36" s="5">
        <v>217131</v>
      </c>
      <c r="D36" s="5">
        <v>252102</v>
      </c>
      <c r="E36" s="5">
        <v>252650</v>
      </c>
      <c r="F36" s="5">
        <v>252650</v>
      </c>
      <c r="G36" s="5">
        <v>252650</v>
      </c>
      <c r="H36" s="5">
        <v>252650</v>
      </c>
      <c r="I36" s="5"/>
    </row>
    <row r="37" spans="1:9" x14ac:dyDescent="0.45">
      <c r="A37" s="4" t="s">
        <v>55</v>
      </c>
      <c r="B37" s="4" t="s">
        <v>72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x14ac:dyDescent="0.45">
      <c r="A38" s="10" t="s">
        <v>56</v>
      </c>
      <c r="B38" s="10" t="s">
        <v>72</v>
      </c>
      <c r="C38" s="11">
        <v>1698144</v>
      </c>
      <c r="D38" s="11">
        <v>1352999</v>
      </c>
      <c r="E38" s="11">
        <v>2428635</v>
      </c>
      <c r="F38" s="11">
        <v>6840729</v>
      </c>
      <c r="G38" s="11">
        <v>2073424</v>
      </c>
      <c r="H38" s="11">
        <f>G38+'سود وزیان'!H12-'سود وزیان'!H14</f>
        <v>-6214371.740053908</v>
      </c>
      <c r="I38" s="11"/>
    </row>
    <row r="39" spans="1:9" x14ac:dyDescent="0.45">
      <c r="A39" s="14" t="s">
        <v>57</v>
      </c>
      <c r="B39" s="10" t="s">
        <v>72</v>
      </c>
      <c r="C39" s="11">
        <v>4441775</v>
      </c>
      <c r="D39" s="11">
        <v>4131601</v>
      </c>
      <c r="E39" s="11">
        <v>5207785</v>
      </c>
      <c r="F39" s="11">
        <v>9539676</v>
      </c>
      <c r="G39" s="11">
        <v>4779673</v>
      </c>
      <c r="H39" s="11">
        <f>H31+H36+H38</f>
        <v>-3435221.740053908</v>
      </c>
      <c r="I39" s="11"/>
    </row>
    <row r="40" spans="1:9" x14ac:dyDescent="0.45">
      <c r="A40" s="4" t="s">
        <v>58</v>
      </c>
      <c r="B40" s="4" t="s">
        <v>72</v>
      </c>
      <c r="C40" s="5">
        <v>9586789</v>
      </c>
      <c r="D40" s="5">
        <v>11297704</v>
      </c>
      <c r="E40" s="5">
        <v>13026898</v>
      </c>
      <c r="F40" s="5">
        <v>28358070</v>
      </c>
      <c r="G40" s="5">
        <v>31331917</v>
      </c>
      <c r="H40" s="5"/>
      <c r="I40" s="5"/>
    </row>
    <row r="41" spans="1:9" x14ac:dyDescent="0.45">
      <c r="A41" s="4" t="s">
        <v>277</v>
      </c>
      <c r="B41" s="4" t="s">
        <v>72</v>
      </c>
      <c r="C41" s="32">
        <f>C4+C5</f>
        <v>4546822</v>
      </c>
      <c r="D41" s="32">
        <f t="shared" ref="D41:G41" si="0">D4+D5</f>
        <v>4557699</v>
      </c>
      <c r="E41" s="32">
        <f t="shared" si="0"/>
        <v>6159692</v>
      </c>
      <c r="F41" s="32">
        <f t="shared" si="0"/>
        <v>15582044</v>
      </c>
      <c r="G41" s="32">
        <f t="shared" si="0"/>
        <v>17162607</v>
      </c>
      <c r="H41" s="32">
        <f>H4+H5</f>
        <v>26958627.128169104</v>
      </c>
      <c r="I41" s="4"/>
    </row>
    <row r="42" spans="1:9" x14ac:dyDescent="0.45">
      <c r="A42" s="54" t="s">
        <v>276</v>
      </c>
      <c r="B42" s="4" t="s">
        <v>72</v>
      </c>
      <c r="C42" s="32">
        <f t="shared" ref="C42:H42" si="1">C4+C5-(C17+C18)</f>
        <v>2556806</v>
      </c>
      <c r="D42" s="32">
        <f t="shared" si="1"/>
        <v>749563</v>
      </c>
      <c r="E42" s="32">
        <f t="shared" si="1"/>
        <v>1659340</v>
      </c>
      <c r="F42" s="32">
        <f t="shared" si="1"/>
        <v>6899341</v>
      </c>
      <c r="G42" s="32">
        <f t="shared" si="1"/>
        <v>6124845</v>
      </c>
      <c r="H42" s="32">
        <f t="shared" si="1"/>
        <v>8684772.1304260269</v>
      </c>
      <c r="I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rightToLeft="1" workbookViewId="0">
      <pane ySplit="1" topLeftCell="A2" activePane="bottomLeft" state="frozen"/>
      <selection pane="bottomLeft" activeCell="D10" sqref="D10"/>
    </sheetView>
  </sheetViews>
  <sheetFormatPr defaultRowHeight="18" x14ac:dyDescent="0.45"/>
  <cols>
    <col min="1" max="1" width="47" style="1" customWidth="1"/>
    <col min="2" max="2" width="9.140625" style="1"/>
    <col min="3" max="7" width="20.42578125" style="1" bestFit="1" customWidth="1"/>
    <col min="8" max="8" width="14" style="1" bestFit="1" customWidth="1"/>
    <col min="9" max="10" width="14.5703125" style="1" bestFit="1" customWidth="1"/>
    <col min="11" max="16384" width="9.140625" style="1"/>
  </cols>
  <sheetData>
    <row r="1" spans="1:10" x14ac:dyDescent="0.45">
      <c r="A1" s="3" t="s">
        <v>16</v>
      </c>
      <c r="B1" s="3" t="s">
        <v>69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6" t="s">
        <v>20</v>
      </c>
      <c r="I1" s="7" t="s">
        <v>21</v>
      </c>
      <c r="J1" s="7" t="s">
        <v>22</v>
      </c>
    </row>
    <row r="2" spans="1:10" s="68" customFormat="1" x14ac:dyDescent="0.45">
      <c r="A2" s="67" t="s">
        <v>240</v>
      </c>
      <c r="B2" s="67"/>
      <c r="C2" s="67"/>
      <c r="D2" s="67"/>
      <c r="E2" s="67"/>
      <c r="F2" s="67"/>
      <c r="G2" s="67"/>
      <c r="H2" s="67"/>
      <c r="I2" s="67"/>
      <c r="J2" s="67"/>
    </row>
    <row r="3" spans="1:10" x14ac:dyDescent="0.45">
      <c r="A3" s="4" t="s">
        <v>241</v>
      </c>
      <c r="B3" s="4" t="s">
        <v>72</v>
      </c>
      <c r="C3" s="5">
        <v>1168324</v>
      </c>
      <c r="D3" s="5">
        <v>2215535</v>
      </c>
      <c r="E3" s="5">
        <v>1098230</v>
      </c>
      <c r="F3" s="5">
        <v>-1075039</v>
      </c>
      <c r="G3" s="5">
        <v>5260007</v>
      </c>
      <c r="H3" s="5"/>
      <c r="I3" s="5"/>
      <c r="J3" s="4"/>
    </row>
    <row r="4" spans="1:10" x14ac:dyDescent="0.45">
      <c r="A4" s="4" t="s">
        <v>242</v>
      </c>
      <c r="B4" s="4" t="s">
        <v>72</v>
      </c>
      <c r="C4" s="5">
        <v>-423455</v>
      </c>
      <c r="D4" s="5">
        <v>-295269</v>
      </c>
      <c r="E4" s="5">
        <v>-26169</v>
      </c>
      <c r="F4" s="5">
        <v>-338460</v>
      </c>
      <c r="G4" s="5">
        <v>-903851</v>
      </c>
      <c r="H4" s="5"/>
      <c r="I4" s="5"/>
      <c r="J4" s="4"/>
    </row>
    <row r="5" spans="1:10" x14ac:dyDescent="0.45">
      <c r="A5" s="4" t="s">
        <v>243</v>
      </c>
      <c r="B5" s="4" t="s">
        <v>72</v>
      </c>
      <c r="C5" s="5">
        <v>744869</v>
      </c>
      <c r="D5" s="5">
        <v>1920266</v>
      </c>
      <c r="E5" s="5">
        <v>1072061</v>
      </c>
      <c r="F5" s="5">
        <v>-1413499</v>
      </c>
      <c r="G5" s="5">
        <v>4356156</v>
      </c>
      <c r="H5" s="5"/>
      <c r="I5" s="5"/>
      <c r="J5" s="4"/>
    </row>
    <row r="6" spans="1:10" s="68" customFormat="1" x14ac:dyDescent="0.45">
      <c r="A6" s="67" t="s">
        <v>244</v>
      </c>
      <c r="B6" s="67"/>
      <c r="C6" s="69"/>
      <c r="D6" s="69"/>
      <c r="E6" s="69"/>
      <c r="F6" s="69"/>
      <c r="G6" s="69"/>
      <c r="H6" s="69"/>
      <c r="I6" s="69"/>
      <c r="J6" s="67"/>
    </row>
    <row r="7" spans="1:10" x14ac:dyDescent="0.45">
      <c r="A7" s="4" t="s">
        <v>245</v>
      </c>
      <c r="B7" s="4" t="s">
        <v>72</v>
      </c>
      <c r="C7" s="5">
        <v>0</v>
      </c>
      <c r="D7" s="5">
        <v>3625</v>
      </c>
      <c r="E7" s="5">
        <v>0</v>
      </c>
      <c r="F7" s="5">
        <v>0</v>
      </c>
      <c r="G7" s="5">
        <v>0</v>
      </c>
      <c r="H7" s="5"/>
      <c r="I7" s="5"/>
      <c r="J7" s="4"/>
    </row>
    <row r="8" spans="1:10" x14ac:dyDescent="0.45">
      <c r="A8" s="4" t="s">
        <v>246</v>
      </c>
      <c r="B8" s="4" t="s">
        <v>72</v>
      </c>
      <c r="C8" s="5">
        <v>-423521</v>
      </c>
      <c r="D8" s="5">
        <v>-451794</v>
      </c>
      <c r="E8" s="5">
        <v>-355618</v>
      </c>
      <c r="F8" s="5">
        <v>-2002236</v>
      </c>
      <c r="G8" s="5">
        <v>-1727839</v>
      </c>
      <c r="H8" s="5"/>
      <c r="I8" s="5"/>
      <c r="J8" s="4"/>
    </row>
    <row r="9" spans="1:10" x14ac:dyDescent="0.45">
      <c r="A9" s="4" t="s">
        <v>247</v>
      </c>
      <c r="B9" s="4" t="s">
        <v>72</v>
      </c>
      <c r="C9" s="5" t="s">
        <v>4</v>
      </c>
      <c r="D9" s="5">
        <v>0</v>
      </c>
      <c r="E9" s="5">
        <v>0</v>
      </c>
      <c r="F9" s="5">
        <v>0</v>
      </c>
      <c r="G9" s="5">
        <v>0</v>
      </c>
      <c r="H9" s="5"/>
      <c r="I9" s="5"/>
      <c r="J9" s="4"/>
    </row>
    <row r="10" spans="1:10" x14ac:dyDescent="0.45">
      <c r="A10" s="4" t="s">
        <v>248</v>
      </c>
      <c r="B10" s="4" t="s">
        <v>72</v>
      </c>
      <c r="C10" s="5">
        <v>0</v>
      </c>
      <c r="D10" s="5">
        <v>-15</v>
      </c>
      <c r="E10" s="5">
        <v>0</v>
      </c>
      <c r="F10" s="5">
        <v>0</v>
      </c>
      <c r="G10" s="5">
        <v>-14</v>
      </c>
      <c r="H10" s="5"/>
      <c r="I10" s="5"/>
      <c r="J10" s="4"/>
    </row>
    <row r="11" spans="1:10" x14ac:dyDescent="0.45">
      <c r="A11" s="4" t="s">
        <v>249</v>
      </c>
      <c r="B11" s="4" t="s">
        <v>72</v>
      </c>
      <c r="C11" s="5">
        <v>-10585</v>
      </c>
      <c r="D11" s="5">
        <v>-6876</v>
      </c>
      <c r="E11" s="5">
        <v>-23524</v>
      </c>
      <c r="F11" s="5">
        <v>-26464</v>
      </c>
      <c r="G11" s="5">
        <v>-23782</v>
      </c>
      <c r="H11" s="5"/>
      <c r="I11" s="5"/>
      <c r="J11" s="4"/>
    </row>
    <row r="12" spans="1:10" x14ac:dyDescent="0.45">
      <c r="A12" s="4" t="s">
        <v>250</v>
      </c>
      <c r="B12" s="4" t="s">
        <v>72</v>
      </c>
      <c r="C12" s="5">
        <v>30000</v>
      </c>
      <c r="D12" s="5">
        <v>0</v>
      </c>
      <c r="E12" s="5">
        <v>200000</v>
      </c>
      <c r="F12" s="5">
        <v>50000</v>
      </c>
      <c r="G12" s="5">
        <v>0</v>
      </c>
      <c r="H12" s="5"/>
      <c r="I12" s="5"/>
      <c r="J12" s="4"/>
    </row>
    <row r="13" spans="1:10" x14ac:dyDescent="0.45">
      <c r="A13" s="4" t="s">
        <v>251</v>
      </c>
      <c r="B13" s="4" t="s">
        <v>72</v>
      </c>
      <c r="C13" s="5">
        <v>-30000</v>
      </c>
      <c r="D13" s="5">
        <v>-250000</v>
      </c>
      <c r="E13" s="5">
        <v>0</v>
      </c>
      <c r="F13" s="5">
        <v>-80203</v>
      </c>
      <c r="G13" s="5">
        <v>0</v>
      </c>
      <c r="H13" s="5"/>
      <c r="I13" s="5"/>
      <c r="J13" s="4"/>
    </row>
    <row r="14" spans="1:10" x14ac:dyDescent="0.45">
      <c r="A14" s="4" t="s">
        <v>252</v>
      </c>
      <c r="B14" s="4" t="s">
        <v>72</v>
      </c>
      <c r="C14" s="5">
        <v>18272</v>
      </c>
      <c r="D14" s="5">
        <v>0</v>
      </c>
      <c r="E14" s="5">
        <v>253396</v>
      </c>
      <c r="F14" s="5">
        <v>510399</v>
      </c>
      <c r="G14" s="5">
        <v>56140</v>
      </c>
      <c r="H14" s="5"/>
      <c r="I14" s="5"/>
      <c r="J14" s="4"/>
    </row>
    <row r="15" spans="1:10" x14ac:dyDescent="0.45">
      <c r="A15" s="4" t="s">
        <v>253</v>
      </c>
      <c r="B15" s="4" t="s">
        <v>72</v>
      </c>
      <c r="C15" s="5">
        <v>38555</v>
      </c>
      <c r="D15" s="5">
        <v>58523</v>
      </c>
      <c r="E15" s="5">
        <v>67949</v>
      </c>
      <c r="F15" s="5">
        <v>36794</v>
      </c>
      <c r="G15" s="5">
        <v>9167</v>
      </c>
      <c r="H15" s="5"/>
      <c r="I15" s="5"/>
      <c r="J15" s="4"/>
    </row>
    <row r="16" spans="1:10" x14ac:dyDescent="0.45">
      <c r="A16" s="4" t="s">
        <v>254</v>
      </c>
      <c r="B16" s="4" t="s">
        <v>72</v>
      </c>
      <c r="C16" s="5">
        <v>-377279</v>
      </c>
      <c r="D16" s="5">
        <v>-638997</v>
      </c>
      <c r="E16" s="5">
        <v>142203</v>
      </c>
      <c r="F16" s="5">
        <v>-1511710</v>
      </c>
      <c r="G16" s="5">
        <v>-1686328</v>
      </c>
      <c r="H16" s="5"/>
      <c r="I16" s="5"/>
      <c r="J16" s="4"/>
    </row>
    <row r="17" spans="1:10" x14ac:dyDescent="0.45">
      <c r="A17" s="4" t="s">
        <v>255</v>
      </c>
      <c r="B17" s="4" t="s">
        <v>72</v>
      </c>
      <c r="C17" s="5">
        <v>367590</v>
      </c>
      <c r="D17" s="5">
        <v>1281269</v>
      </c>
      <c r="E17" s="5">
        <v>1214264</v>
      </c>
      <c r="F17" s="5">
        <v>-2925209</v>
      </c>
      <c r="G17" s="5">
        <v>2669828</v>
      </c>
      <c r="H17" s="5"/>
      <c r="I17" s="5"/>
      <c r="J17" s="4"/>
    </row>
    <row r="18" spans="1:10" s="68" customFormat="1" x14ac:dyDescent="0.45">
      <c r="A18" s="67" t="s">
        <v>256</v>
      </c>
      <c r="B18" s="67"/>
      <c r="C18" s="69"/>
      <c r="D18" s="69"/>
      <c r="E18" s="69"/>
      <c r="F18" s="69"/>
      <c r="G18" s="69"/>
      <c r="H18" s="69"/>
      <c r="I18" s="69"/>
      <c r="J18" s="70"/>
    </row>
    <row r="19" spans="1:10" x14ac:dyDescent="0.45">
      <c r="A19" s="4" t="s">
        <v>257</v>
      </c>
      <c r="B19" s="4" t="s">
        <v>72</v>
      </c>
      <c r="C19" s="5">
        <v>9831</v>
      </c>
      <c r="D19" s="5">
        <v>0</v>
      </c>
      <c r="E19" s="5">
        <v>0</v>
      </c>
      <c r="F19" s="5">
        <v>0</v>
      </c>
      <c r="G19" s="5">
        <v>0</v>
      </c>
      <c r="H19" s="5"/>
      <c r="I19" s="5"/>
      <c r="J19" s="4"/>
    </row>
    <row r="20" spans="1:10" x14ac:dyDescent="0.45">
      <c r="A20" s="4" t="s">
        <v>258</v>
      </c>
      <c r="B20" s="4" t="s">
        <v>72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/>
      <c r="I20" s="5"/>
      <c r="J20" s="4"/>
    </row>
    <row r="21" spans="1:10" x14ac:dyDescent="0.45">
      <c r="A21" s="4" t="s">
        <v>259</v>
      </c>
      <c r="B21" s="4" t="s">
        <v>72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/>
      <c r="I21" s="5"/>
      <c r="J21" s="4"/>
    </row>
    <row r="22" spans="1:10" x14ac:dyDescent="0.45">
      <c r="A22" s="4" t="s">
        <v>260</v>
      </c>
      <c r="B22" s="4" t="s">
        <v>72</v>
      </c>
      <c r="C22" s="5">
        <v>0</v>
      </c>
      <c r="D22" s="5">
        <v>0</v>
      </c>
      <c r="E22" s="5">
        <v>0</v>
      </c>
      <c r="F22" s="5">
        <v>0</v>
      </c>
      <c r="G22" s="5">
        <v>-34214</v>
      </c>
      <c r="H22" s="5"/>
      <c r="I22" s="5"/>
      <c r="J22" s="4"/>
    </row>
    <row r="23" spans="1:10" s="56" customFormat="1" x14ac:dyDescent="0.45">
      <c r="A23" s="10" t="s">
        <v>273</v>
      </c>
      <c r="B23" s="10" t="s">
        <v>72</v>
      </c>
      <c r="C23" s="11">
        <v>786471</v>
      </c>
      <c r="D23" s="11">
        <v>1718180</v>
      </c>
      <c r="E23" s="11">
        <v>1682559</v>
      </c>
      <c r="F23" s="11">
        <v>7233651</v>
      </c>
      <c r="G23" s="11">
        <v>11351787</v>
      </c>
      <c r="H23" s="11"/>
      <c r="I23" s="11"/>
      <c r="J23" s="10"/>
    </row>
    <row r="24" spans="1:10" s="56" customFormat="1" x14ac:dyDescent="0.45">
      <c r="A24" s="10" t="s">
        <v>274</v>
      </c>
      <c r="B24" s="10" t="s">
        <v>72</v>
      </c>
      <c r="C24" s="11">
        <v>-391066</v>
      </c>
      <c r="D24" s="11">
        <v>-1596863</v>
      </c>
      <c r="E24" s="11">
        <v>-1650300</v>
      </c>
      <c r="F24" s="11">
        <v>-2302099</v>
      </c>
      <c r="G24" s="11">
        <v>-11014057</v>
      </c>
      <c r="H24" s="11"/>
      <c r="I24" s="11"/>
      <c r="J24" s="10"/>
    </row>
    <row r="25" spans="1:10" x14ac:dyDescent="0.45">
      <c r="A25" s="4" t="s">
        <v>275</v>
      </c>
      <c r="B25" s="4" t="s">
        <v>72</v>
      </c>
      <c r="C25" s="5">
        <v>-124369</v>
      </c>
      <c r="D25" s="5">
        <v>-266659</v>
      </c>
      <c r="E25" s="5">
        <v>-282082</v>
      </c>
      <c r="F25" s="5">
        <v>-580097</v>
      </c>
      <c r="G25" s="5">
        <v>-1029592</v>
      </c>
      <c r="H25" s="5"/>
      <c r="I25" s="5"/>
      <c r="J25" s="4"/>
    </row>
    <row r="26" spans="1:10" x14ac:dyDescent="0.45">
      <c r="A26" s="4" t="s">
        <v>261</v>
      </c>
      <c r="B26" s="4" t="s">
        <v>72</v>
      </c>
      <c r="C26" s="5">
        <v>-963885</v>
      </c>
      <c r="D26" s="5">
        <v>-794257</v>
      </c>
      <c r="E26" s="5">
        <v>-689342</v>
      </c>
      <c r="F26" s="5">
        <v>-1201770</v>
      </c>
      <c r="G26" s="5">
        <v>-1985801</v>
      </c>
      <c r="H26" s="5"/>
      <c r="I26" s="5"/>
      <c r="J26" s="4"/>
    </row>
    <row r="27" spans="1:10" x14ac:dyDescent="0.45">
      <c r="A27" s="4" t="s">
        <v>262</v>
      </c>
      <c r="B27" s="4" t="s">
        <v>72</v>
      </c>
      <c r="C27" s="5">
        <v>-683018</v>
      </c>
      <c r="D27" s="5">
        <v>-939599</v>
      </c>
      <c r="E27" s="5">
        <v>-939165</v>
      </c>
      <c r="F27" s="5">
        <v>3149685</v>
      </c>
      <c r="G27" s="5">
        <v>-2711877</v>
      </c>
      <c r="H27" s="5"/>
      <c r="I27" s="5"/>
      <c r="J27" s="4"/>
    </row>
    <row r="28" spans="1:10" x14ac:dyDescent="0.45">
      <c r="A28" s="4" t="s">
        <v>263</v>
      </c>
      <c r="B28" s="4" t="s">
        <v>72</v>
      </c>
      <c r="C28" s="5">
        <v>-315428</v>
      </c>
      <c r="D28" s="5">
        <v>341670</v>
      </c>
      <c r="E28" s="5">
        <v>275099</v>
      </c>
      <c r="F28" s="5">
        <v>224476</v>
      </c>
      <c r="G28" s="5">
        <v>-42049</v>
      </c>
      <c r="H28" s="5"/>
      <c r="I28" s="5"/>
      <c r="J28" s="4"/>
    </row>
    <row r="29" spans="1:10" x14ac:dyDescent="0.45">
      <c r="A29" s="4" t="s">
        <v>264</v>
      </c>
      <c r="B29" s="4" t="s">
        <v>72</v>
      </c>
      <c r="C29" s="5">
        <v>537465</v>
      </c>
      <c r="D29" s="5">
        <v>216298</v>
      </c>
      <c r="E29" s="5">
        <v>559463</v>
      </c>
      <c r="F29" s="5">
        <v>834822</v>
      </c>
      <c r="G29" s="5">
        <v>1078599</v>
      </c>
      <c r="H29" s="5"/>
      <c r="I29" s="5"/>
      <c r="J29" s="4"/>
    </row>
    <row r="30" spans="1:10" x14ac:dyDescent="0.45">
      <c r="A30" s="4" t="s">
        <v>265</v>
      </c>
      <c r="B30" s="4" t="s">
        <v>72</v>
      </c>
      <c r="C30" s="5">
        <v>-5739</v>
      </c>
      <c r="D30" s="5">
        <v>1495</v>
      </c>
      <c r="E30" s="5">
        <v>260</v>
      </c>
      <c r="F30" s="5">
        <v>19301</v>
      </c>
      <c r="G30" s="5">
        <v>-16823</v>
      </c>
      <c r="H30" s="5"/>
      <c r="I30" s="5"/>
      <c r="J30" s="4"/>
    </row>
    <row r="31" spans="1:10" x14ac:dyDescent="0.45">
      <c r="A31" s="4" t="s">
        <v>266</v>
      </c>
      <c r="B31" s="4" t="s">
        <v>72</v>
      </c>
      <c r="C31" s="5">
        <v>216298</v>
      </c>
      <c r="D31" s="5">
        <v>559463</v>
      </c>
      <c r="E31" s="5">
        <v>834822</v>
      </c>
      <c r="F31" s="5">
        <v>1078599</v>
      </c>
      <c r="G31" s="5">
        <v>1019727</v>
      </c>
      <c r="H31" s="5"/>
      <c r="I31" s="5"/>
      <c r="J31" s="4"/>
    </row>
    <row r="32" spans="1:10" x14ac:dyDescent="0.45">
      <c r="A32" s="4" t="s">
        <v>267</v>
      </c>
      <c r="B32" s="4" t="s">
        <v>72</v>
      </c>
      <c r="C32" s="5">
        <v>0</v>
      </c>
      <c r="D32" s="5">
        <v>0</v>
      </c>
      <c r="E32" s="5">
        <v>0</v>
      </c>
      <c r="F32" s="5">
        <v>309905</v>
      </c>
      <c r="G32" s="5">
        <v>0</v>
      </c>
      <c r="H32" s="5"/>
      <c r="I32" s="5"/>
      <c r="J32" s="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>
      <selection activeCell="F6" sqref="F6"/>
    </sheetView>
  </sheetViews>
  <sheetFormatPr defaultRowHeight="18" x14ac:dyDescent="0.45"/>
  <cols>
    <col min="1" max="1" width="38.7109375" style="1" bestFit="1" customWidth="1"/>
    <col min="2" max="2" width="12.28515625" style="1" bestFit="1" customWidth="1"/>
    <col min="3" max="4" width="10.5703125" style="1" bestFit="1" customWidth="1"/>
    <col min="5" max="5" width="11.5703125" style="1" bestFit="1" customWidth="1"/>
    <col min="6" max="6" width="12.85546875" style="1" bestFit="1" customWidth="1"/>
    <col min="7" max="16384" width="9.140625" style="1"/>
  </cols>
  <sheetData>
    <row r="1" spans="1:6" x14ac:dyDescent="0.45">
      <c r="A1" s="16" t="s">
        <v>268</v>
      </c>
    </row>
    <row r="2" spans="1:6" x14ac:dyDescent="0.45">
      <c r="A2" s="3" t="s">
        <v>16</v>
      </c>
      <c r="B2" s="3">
        <v>1397</v>
      </c>
      <c r="C2" s="3">
        <v>1398</v>
      </c>
      <c r="D2" s="3">
        <v>1399</v>
      </c>
      <c r="E2" s="3">
        <v>1400</v>
      </c>
      <c r="F2" s="7">
        <v>1401</v>
      </c>
    </row>
    <row r="3" spans="1:6" x14ac:dyDescent="0.45">
      <c r="A3" s="4" t="s">
        <v>269</v>
      </c>
      <c r="B3" s="5">
        <f>'تراز نامه'!C21+'تراز نامه'!C26</f>
        <v>1963701</v>
      </c>
      <c r="C3" s="5">
        <f>B6</f>
        <v>2085018</v>
      </c>
      <c r="D3" s="5">
        <f>C6</f>
        <v>2117277</v>
      </c>
      <c r="E3" s="5">
        <f>D6</f>
        <v>7048829</v>
      </c>
      <c r="F3" s="5">
        <f>E6</f>
        <v>7386559</v>
      </c>
    </row>
    <row r="4" spans="1:6" x14ac:dyDescent="0.45">
      <c r="A4" s="4" t="s">
        <v>270</v>
      </c>
      <c r="B4" s="5">
        <f>'جریان وجوه نقد'!D23</f>
        <v>1718180</v>
      </c>
      <c r="C4" s="5">
        <f>'جریان وجوه نقد'!E23</f>
        <v>1682559</v>
      </c>
      <c r="D4" s="5">
        <f>'جریان وجوه نقد'!F23</f>
        <v>7233651</v>
      </c>
      <c r="E4" s="5">
        <f>'جریان وجوه نقد'!G23</f>
        <v>11351787</v>
      </c>
      <c r="F4" s="5">
        <f>F9*F8</f>
        <v>17834243.821386375</v>
      </c>
    </row>
    <row r="5" spans="1:6" x14ac:dyDescent="0.45">
      <c r="A5" s="4" t="s">
        <v>271</v>
      </c>
      <c r="B5" s="5">
        <f>'جریان وجوه نقد'!D24</f>
        <v>-1596863</v>
      </c>
      <c r="C5" s="5">
        <f>'جریان وجوه نقد'!E24</f>
        <v>-1650300</v>
      </c>
      <c r="D5" s="5">
        <f>'جریان وجوه نقد'!F24</f>
        <v>-2302099</v>
      </c>
      <c r="E5" s="5">
        <f>'جریان وجوه نقد'!G24</f>
        <v>-11014057</v>
      </c>
      <c r="F5" s="5">
        <f>-(F3+F4)*F10</f>
        <v>-10316434.739714352</v>
      </c>
    </row>
    <row r="6" spans="1:6" x14ac:dyDescent="0.45">
      <c r="A6" s="57" t="s">
        <v>272</v>
      </c>
      <c r="B6" s="5">
        <f>SUM(B3:B5)</f>
        <v>2085018</v>
      </c>
      <c r="C6" s="5">
        <f>SUM(C3:C5)</f>
        <v>2117277</v>
      </c>
      <c r="D6" s="5">
        <f>SUM(D3:D5)</f>
        <v>7048829</v>
      </c>
      <c r="E6" s="5">
        <f>SUM(E3:E5)</f>
        <v>7386559</v>
      </c>
      <c r="F6" s="5">
        <f>SUM(F3:F5)</f>
        <v>14904368.081672022</v>
      </c>
    </row>
    <row r="7" spans="1:6" x14ac:dyDescent="0.45">
      <c r="A7" s="57" t="s">
        <v>298</v>
      </c>
      <c r="B7" s="5">
        <f>'سود وزیان'!C8</f>
        <v>-243317</v>
      </c>
      <c r="C7" s="5">
        <f>'سود وزیان'!D8</f>
        <v>-406797</v>
      </c>
      <c r="D7" s="5">
        <f>'سود وزیان'!E8</f>
        <v>-696912</v>
      </c>
      <c r="E7" s="5">
        <f>'سود وزیان'!F8</f>
        <v>-1610584</v>
      </c>
      <c r="F7" s="5">
        <f>-F11*(F3+F4)</f>
        <v>-2083205.1771583527</v>
      </c>
    </row>
    <row r="8" spans="1:6" x14ac:dyDescent="0.45">
      <c r="A8" s="4" t="s">
        <v>278</v>
      </c>
      <c r="B8" s="5">
        <f>('تراز نامه'!D11-'تراز نامه'!C11)+('تراز نامه'!D42-'تراز نامه'!C42)</f>
        <v>-1717352</v>
      </c>
      <c r="C8" s="5">
        <f>('تراز نامه'!E11-'تراز نامه'!D11)+('تراز نامه'!E42-'تراز نامه'!D42)</f>
        <v>894980</v>
      </c>
      <c r="D8" s="5">
        <f>('تراز نامه'!F11-'تراز نامه'!E11)+('تراز نامه'!F42-'تراز نامه'!E42)</f>
        <v>6790958</v>
      </c>
      <c r="E8" s="5">
        <f>('تراز نامه'!G11-'تراز نامه'!F11)+('تراز نامه'!G42-'تراز نامه'!F42)</f>
        <v>425839</v>
      </c>
      <c r="F8" s="5">
        <f>('تراز نامه'!H11-'تراز نامه'!G11)+('تراز نامه'!H42-'تراز نامه'!G42)</f>
        <v>4736460.7211527154</v>
      </c>
    </row>
    <row r="9" spans="1:6" x14ac:dyDescent="0.45">
      <c r="A9" s="4" t="s">
        <v>279</v>
      </c>
      <c r="B9" s="8">
        <f>B4/B8</f>
        <v>-1.0004821376165165</v>
      </c>
      <c r="C9" s="8">
        <f>C4/C8</f>
        <v>1.8799962010324254</v>
      </c>
      <c r="D9" s="8">
        <f t="shared" ref="D9" si="0">D4/D8</f>
        <v>1.0651885934208398</v>
      </c>
      <c r="E9" s="8">
        <f>E4/E8</f>
        <v>26.657462092480962</v>
      </c>
      <c r="F9" s="8">
        <f>GEOMEAN(C9:E9)</f>
        <v>3.7653101907379574</v>
      </c>
    </row>
    <row r="10" spans="1:6" x14ac:dyDescent="0.45">
      <c r="A10" s="4" t="s">
        <v>280</v>
      </c>
      <c r="B10" s="36">
        <f>-B5/(B3+B4)</f>
        <v>0.43370847672697732</v>
      </c>
      <c r="C10" s="36">
        <f t="shared" ref="C10:D10" si="1">-C5/(C3+C4)</f>
        <v>0.43802688040616022</v>
      </c>
      <c r="D10" s="36">
        <f t="shared" si="1"/>
        <v>0.24618936216811851</v>
      </c>
      <c r="E10" s="36">
        <f>-E5/(E3+E4)</f>
        <v>0.59857001526470632</v>
      </c>
      <c r="F10" s="8">
        <f>GEOMEAN(B10:E10)</f>
        <v>0.40904466097987846</v>
      </c>
    </row>
    <row r="11" spans="1:6" x14ac:dyDescent="0.45">
      <c r="A11" s="4" t="s">
        <v>299</v>
      </c>
      <c r="B11" s="8">
        <f>-B7/(B3+B4)</f>
        <v>6.6084971241601773E-2</v>
      </c>
      <c r="C11" s="8">
        <f>-C7/(C3+C4)</f>
        <v>0.10797310844609148</v>
      </c>
      <c r="D11" s="8">
        <f>-D7/(D3+D4)</f>
        <v>7.4528645713024422E-2</v>
      </c>
      <c r="E11" s="8">
        <f>-E7/(E3+E4)</f>
        <v>8.752880881813957E-2</v>
      </c>
      <c r="F11" s="8">
        <f>GEOMEAN(B11:E11)</f>
        <v>8.2598686168382646E-2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rightToLeft="1" workbookViewId="0">
      <pane xSplit="1" ySplit="2" topLeftCell="E39" activePane="bottomRight" state="frozen"/>
      <selection pane="topRight" activeCell="B1" sqref="B1"/>
      <selection pane="bottomLeft" activeCell="A3" sqref="A3"/>
      <selection pane="bottomRight" activeCell="B45" sqref="B43:L45"/>
    </sheetView>
  </sheetViews>
  <sheetFormatPr defaultRowHeight="18" x14ac:dyDescent="0.45"/>
  <cols>
    <col min="1" max="1" width="19.7109375" style="1" bestFit="1" customWidth="1"/>
    <col min="2" max="2" width="12" style="1" customWidth="1"/>
    <col min="3" max="7" width="13.85546875" style="1" bestFit="1" customWidth="1"/>
    <col min="8" max="8" width="14" style="1" bestFit="1" customWidth="1"/>
    <col min="9" max="9" width="21.7109375" style="1" bestFit="1" customWidth="1"/>
    <col min="10" max="10" width="21.7109375" style="1" customWidth="1"/>
    <col min="11" max="11" width="27.85546875" style="1" bestFit="1" customWidth="1"/>
    <col min="12" max="13" width="14.5703125" style="1" bestFit="1" customWidth="1"/>
    <col min="14" max="15" width="9.140625" style="1"/>
    <col min="16" max="16" width="10.85546875" style="1" bestFit="1" customWidth="1"/>
    <col min="17" max="21" width="10" style="1" bestFit="1" customWidth="1"/>
    <col min="22" max="22" width="12.28515625" style="1" bestFit="1" customWidth="1"/>
    <col min="23" max="23" width="10" style="1" bestFit="1" customWidth="1"/>
    <col min="24" max="16384" width="9.140625" style="1"/>
  </cols>
  <sheetData>
    <row r="1" spans="1:23" x14ac:dyDescent="0.45">
      <c r="A1" s="16" t="s">
        <v>61</v>
      </c>
      <c r="B1" s="16"/>
    </row>
    <row r="2" spans="1:23" x14ac:dyDescent="0.45">
      <c r="A2" s="3" t="s">
        <v>16</v>
      </c>
      <c r="B2" s="3" t="s">
        <v>69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6" t="s">
        <v>20</v>
      </c>
      <c r="I2" s="31" t="s">
        <v>121</v>
      </c>
      <c r="J2" s="31" t="s">
        <v>122</v>
      </c>
      <c r="K2" s="7" t="s">
        <v>127</v>
      </c>
      <c r="L2" s="7" t="s">
        <v>21</v>
      </c>
      <c r="M2" s="7" t="s">
        <v>22</v>
      </c>
      <c r="O2" s="1" t="s">
        <v>125</v>
      </c>
    </row>
    <row r="3" spans="1:23" x14ac:dyDescent="0.45">
      <c r="A3" s="4" t="s">
        <v>62</v>
      </c>
      <c r="B3" s="4" t="s">
        <v>230</v>
      </c>
      <c r="C3" s="5">
        <v>1408687</v>
      </c>
      <c r="D3" s="5">
        <v>1396693</v>
      </c>
      <c r="E3" s="5">
        <v>1574895</v>
      </c>
      <c r="F3" s="5">
        <v>1838553</v>
      </c>
      <c r="G3" s="5">
        <v>1553217</v>
      </c>
      <c r="H3" s="18">
        <v>1800964</v>
      </c>
      <c r="I3" s="18">
        <v>215496</v>
      </c>
      <c r="J3" s="18">
        <v>96015</v>
      </c>
      <c r="K3" s="34">
        <f>(1+0)*W4*9</f>
        <v>1054041.25</v>
      </c>
      <c r="L3" s="32">
        <f>K3+I3</f>
        <v>1269537.25</v>
      </c>
      <c r="M3" s="4"/>
      <c r="O3" s="4" t="s">
        <v>62</v>
      </c>
      <c r="P3" s="4">
        <v>1396</v>
      </c>
      <c r="Q3" s="4">
        <v>1397</v>
      </c>
      <c r="R3" s="4">
        <v>1398</v>
      </c>
      <c r="S3" s="4">
        <v>1399</v>
      </c>
      <c r="T3" s="4">
        <v>1400</v>
      </c>
      <c r="U3" s="4" t="s">
        <v>123</v>
      </c>
      <c r="V3" s="4" t="s">
        <v>124</v>
      </c>
      <c r="W3" s="4" t="s">
        <v>126</v>
      </c>
    </row>
    <row r="4" spans="1:23" x14ac:dyDescent="0.45">
      <c r="A4" s="4" t="s">
        <v>63</v>
      </c>
      <c r="B4" s="4" t="s">
        <v>230</v>
      </c>
      <c r="C4" s="5">
        <v>2514240</v>
      </c>
      <c r="D4" s="5">
        <v>2380898</v>
      </c>
      <c r="E4" s="5">
        <v>2090722</v>
      </c>
      <c r="F4" s="5">
        <v>3482868</v>
      </c>
      <c r="G4" s="5">
        <v>3084339</v>
      </c>
      <c r="H4" s="18">
        <v>2454218</v>
      </c>
      <c r="I4" s="18">
        <v>474327</v>
      </c>
      <c r="J4" s="18">
        <v>210493</v>
      </c>
      <c r="K4" s="34">
        <f>(1+0)*W5*9</f>
        <v>1858966.2499999998</v>
      </c>
      <c r="L4" s="32">
        <f t="shared" ref="L4:L6" si="0">K4+I4</f>
        <v>2333293.25</v>
      </c>
      <c r="M4" s="4"/>
      <c r="O4" s="4" t="s">
        <v>63</v>
      </c>
      <c r="P4" s="32">
        <f>C3/12</f>
        <v>117390.58333333333</v>
      </c>
      <c r="Q4" s="32">
        <f t="shared" ref="Q4:T4" si="1">D3/12</f>
        <v>116391.08333333333</v>
      </c>
      <c r="R4" s="32">
        <f t="shared" si="1"/>
        <v>131241.25</v>
      </c>
      <c r="S4" s="32">
        <f t="shared" si="1"/>
        <v>153212.75</v>
      </c>
      <c r="T4" s="32">
        <f t="shared" si="1"/>
        <v>129434.75</v>
      </c>
      <c r="U4" s="32">
        <f>H3/12</f>
        <v>150080.33333333334</v>
      </c>
      <c r="V4" s="5">
        <f>I3/3</f>
        <v>71832</v>
      </c>
      <c r="W4" s="32">
        <f>AVERAGE(T4:V4)</f>
        <v>117115.69444444445</v>
      </c>
    </row>
    <row r="5" spans="1:23" x14ac:dyDescent="0.45">
      <c r="A5" s="4" t="s">
        <v>64</v>
      </c>
      <c r="B5" s="4" t="s">
        <v>230</v>
      </c>
      <c r="C5" s="5">
        <v>25750580</v>
      </c>
      <c r="D5" s="5">
        <v>27321495</v>
      </c>
      <c r="E5" s="5">
        <v>25385307</v>
      </c>
      <c r="F5" s="5">
        <v>30932729</v>
      </c>
      <c r="G5" s="5">
        <v>30370766</v>
      </c>
      <c r="H5" s="18">
        <v>29103403</v>
      </c>
      <c r="I5" s="18">
        <v>6720096</v>
      </c>
      <c r="J5" s="18">
        <v>2692676</v>
      </c>
      <c r="K5" s="34">
        <f>(1+0)*W6*9</f>
        <v>21588638.25</v>
      </c>
      <c r="L5" s="32">
        <f t="shared" si="0"/>
        <v>28308734.25</v>
      </c>
      <c r="M5" s="4"/>
      <c r="O5" s="4" t="s">
        <v>64</v>
      </c>
      <c r="P5" s="32">
        <f t="shared" ref="P5:P6" si="2">C4/12</f>
        <v>209520</v>
      </c>
      <c r="Q5" s="32">
        <f t="shared" ref="Q5:Q7" si="3">D4/12</f>
        <v>198408.16666666666</v>
      </c>
      <c r="R5" s="32">
        <f t="shared" ref="R5:R7" si="4">E4/12</f>
        <v>174226.83333333334</v>
      </c>
      <c r="S5" s="32">
        <f t="shared" ref="S5:S7" si="5">F4/12</f>
        <v>290239</v>
      </c>
      <c r="T5" s="32">
        <f t="shared" ref="T5:U7" si="6">G4/12</f>
        <v>257028.25</v>
      </c>
      <c r="U5" s="32">
        <f t="shared" si="6"/>
        <v>204518.16666666666</v>
      </c>
      <c r="V5" s="5">
        <f t="shared" ref="V5:V7" si="7">I4/3</f>
        <v>158109</v>
      </c>
      <c r="W5" s="32">
        <f t="shared" ref="W5:W7" si="8">AVERAGE(T5:V5)</f>
        <v>206551.80555555553</v>
      </c>
    </row>
    <row r="6" spans="1:23" x14ac:dyDescent="0.45">
      <c r="A6" s="4" t="s">
        <v>65</v>
      </c>
      <c r="B6" s="4" t="s">
        <v>230</v>
      </c>
      <c r="C6" s="5">
        <v>52780838</v>
      </c>
      <c r="D6" s="5">
        <v>46074605</v>
      </c>
      <c r="E6" s="5">
        <v>48693389</v>
      </c>
      <c r="F6" s="5">
        <v>55007892</v>
      </c>
      <c r="G6" s="5">
        <v>54691371</v>
      </c>
      <c r="H6" s="18">
        <v>54340765</v>
      </c>
      <c r="I6" s="18">
        <v>14254284</v>
      </c>
      <c r="J6" s="18">
        <v>5478651</v>
      </c>
      <c r="K6" s="34">
        <f>(1+0)*W7*9</f>
        <v>41512317.999999993</v>
      </c>
      <c r="L6" s="32">
        <f t="shared" si="0"/>
        <v>55766601.999999993</v>
      </c>
      <c r="M6" s="4"/>
      <c r="O6" s="4" t="s">
        <v>65</v>
      </c>
      <c r="P6" s="32">
        <f t="shared" si="2"/>
        <v>2145881.6666666665</v>
      </c>
      <c r="Q6" s="32">
        <f t="shared" si="3"/>
        <v>2276791.25</v>
      </c>
      <c r="R6" s="32">
        <f t="shared" si="4"/>
        <v>2115442.25</v>
      </c>
      <c r="S6" s="32">
        <f t="shared" si="5"/>
        <v>2577727.4166666665</v>
      </c>
      <c r="T6" s="32">
        <f t="shared" si="6"/>
        <v>2530897.1666666665</v>
      </c>
      <c r="U6" s="32">
        <f t="shared" si="6"/>
        <v>2425283.5833333335</v>
      </c>
      <c r="V6" s="5">
        <f t="shared" si="7"/>
        <v>2240032</v>
      </c>
      <c r="W6" s="32">
        <f t="shared" si="8"/>
        <v>2398737.5833333335</v>
      </c>
    </row>
    <row r="7" spans="1:23" x14ac:dyDescent="0.45">
      <c r="A7" s="4" t="s">
        <v>66</v>
      </c>
      <c r="B7" s="4" t="s">
        <v>230</v>
      </c>
      <c r="C7" s="5">
        <v>82454345</v>
      </c>
      <c r="D7" s="5">
        <v>77173691</v>
      </c>
      <c r="E7" s="5">
        <v>77744313</v>
      </c>
      <c r="F7" s="5">
        <v>91262042</v>
      </c>
      <c r="G7" s="5">
        <v>89699693</v>
      </c>
      <c r="H7" s="18">
        <f>SUM(H3:H6)</f>
        <v>87699350</v>
      </c>
      <c r="I7" s="18">
        <f>SUM(I3:I6)</f>
        <v>21664203</v>
      </c>
      <c r="J7" s="18">
        <f>SUM(J3:J6)</f>
        <v>8477835</v>
      </c>
      <c r="K7" s="34">
        <f>SUM(K3:K6)</f>
        <v>66013963.749999993</v>
      </c>
      <c r="L7" s="32">
        <f>SUM(L3:L6)</f>
        <v>87678166.75</v>
      </c>
      <c r="M7" s="4"/>
      <c r="O7" s="4" t="s">
        <v>66</v>
      </c>
      <c r="P7" s="32">
        <f>C6/12</f>
        <v>4398403.166666667</v>
      </c>
      <c r="Q7" s="32">
        <f t="shared" si="3"/>
        <v>3839550.4166666665</v>
      </c>
      <c r="R7" s="32">
        <f t="shared" si="4"/>
        <v>4057782.4166666665</v>
      </c>
      <c r="S7" s="32">
        <f t="shared" si="5"/>
        <v>4583991</v>
      </c>
      <c r="T7" s="32">
        <f t="shared" si="6"/>
        <v>4557614.25</v>
      </c>
      <c r="U7" s="32">
        <f>H6/12</f>
        <v>4528397.083333333</v>
      </c>
      <c r="V7" s="5">
        <f t="shared" si="7"/>
        <v>4751428</v>
      </c>
      <c r="W7" s="32">
        <f t="shared" si="8"/>
        <v>4612479.7777777771</v>
      </c>
    </row>
    <row r="8" spans="1:23" x14ac:dyDescent="0.45">
      <c r="A8" s="13"/>
      <c r="B8" s="13"/>
      <c r="C8" s="20"/>
      <c r="D8" s="20"/>
      <c r="E8" s="20"/>
      <c r="F8" s="20"/>
      <c r="G8" s="20"/>
      <c r="H8" s="27"/>
      <c r="I8" s="27"/>
      <c r="J8" s="27"/>
      <c r="K8" s="13"/>
      <c r="L8" s="13"/>
      <c r="M8" s="13"/>
    </row>
    <row r="9" spans="1:23" x14ac:dyDescent="0.45">
      <c r="A9" s="21" t="s">
        <v>103</v>
      </c>
      <c r="B9" s="13"/>
      <c r="C9" s="20"/>
      <c r="D9" s="20"/>
      <c r="E9" s="20"/>
      <c r="F9" s="20"/>
      <c r="G9" s="20"/>
      <c r="H9" s="27"/>
      <c r="I9" s="27"/>
      <c r="J9" s="27"/>
      <c r="K9" s="13"/>
      <c r="L9" s="13"/>
      <c r="M9" s="13"/>
    </row>
    <row r="10" spans="1:23" x14ac:dyDescent="0.45">
      <c r="A10" s="3" t="s">
        <v>16</v>
      </c>
      <c r="B10" s="3" t="s">
        <v>69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6" t="s">
        <v>20</v>
      </c>
      <c r="I10" s="31" t="s">
        <v>121</v>
      </c>
      <c r="J10" s="31" t="s">
        <v>122</v>
      </c>
      <c r="K10" s="7" t="s">
        <v>127</v>
      </c>
      <c r="L10" s="7" t="s">
        <v>21</v>
      </c>
      <c r="M10" s="7" t="s">
        <v>22</v>
      </c>
      <c r="O10" s="17"/>
    </row>
    <row r="11" spans="1:23" x14ac:dyDescent="0.45">
      <c r="A11" s="4" t="s">
        <v>62</v>
      </c>
      <c r="B11" s="4"/>
      <c r="C11" s="9">
        <f>C3/C$7</f>
        <v>1.7084448369579553E-2</v>
      </c>
      <c r="D11" s="9">
        <f t="shared" ref="D11:I11" si="9">D3/D$7</f>
        <v>1.8098045874208608E-2</v>
      </c>
      <c r="E11" s="9">
        <f t="shared" si="9"/>
        <v>2.0257365963218428E-2</v>
      </c>
      <c r="F11" s="9">
        <f t="shared" si="9"/>
        <v>2.0145867435225697E-2</v>
      </c>
      <c r="G11" s="9">
        <f t="shared" si="9"/>
        <v>1.7315744882203776E-2</v>
      </c>
      <c r="H11" s="9">
        <f t="shared" si="9"/>
        <v>2.05356596143529E-2</v>
      </c>
      <c r="I11" s="9">
        <f t="shared" si="9"/>
        <v>9.9471002925886533E-3</v>
      </c>
      <c r="J11" s="9">
        <f t="shared" ref="J11:K11" si="10">J3/J$7</f>
        <v>1.1325415038155378E-2</v>
      </c>
      <c r="K11" s="9">
        <f t="shared" si="10"/>
        <v>1.5966943811944637E-2</v>
      </c>
      <c r="L11" s="9">
        <f t="shared" ref="L11" si="11">L3/L$7</f>
        <v>1.4479514080396759E-2</v>
      </c>
      <c r="M11" s="9"/>
    </row>
    <row r="12" spans="1:23" x14ac:dyDescent="0.45">
      <c r="A12" s="4" t="s">
        <v>63</v>
      </c>
      <c r="B12" s="4"/>
      <c r="C12" s="9">
        <f t="shared" ref="C12:K15" si="12">C4/C$7</f>
        <v>3.0492510734273615E-2</v>
      </c>
      <c r="D12" s="9">
        <f t="shared" si="12"/>
        <v>3.0851161440496606E-2</v>
      </c>
      <c r="E12" s="9">
        <f t="shared" si="12"/>
        <v>2.6892282140302662E-2</v>
      </c>
      <c r="F12" s="9">
        <f t="shared" si="12"/>
        <v>3.816338012686589E-2</v>
      </c>
      <c r="G12" s="9">
        <f t="shared" si="12"/>
        <v>3.4385167851131888E-2</v>
      </c>
      <c r="H12" s="9">
        <f t="shared" si="12"/>
        <v>2.798444914357974E-2</v>
      </c>
      <c r="I12" s="9">
        <f t="shared" si="12"/>
        <v>2.1894504958248406E-2</v>
      </c>
      <c r="J12" s="9">
        <f t="shared" si="12"/>
        <v>2.4828626648194969E-2</v>
      </c>
      <c r="K12" s="9">
        <f t="shared" si="12"/>
        <v>2.8160197394600472E-2</v>
      </c>
      <c r="L12" s="9">
        <f t="shared" ref="L12" si="13">L4/L$7</f>
        <v>2.6612021401553769E-2</v>
      </c>
      <c r="M12" s="9"/>
    </row>
    <row r="13" spans="1:23" x14ac:dyDescent="0.45">
      <c r="A13" s="4" t="s">
        <v>64</v>
      </c>
      <c r="B13" s="4"/>
      <c r="C13" s="9">
        <f t="shared" si="12"/>
        <v>0.31230106794250806</v>
      </c>
      <c r="D13" s="9">
        <f t="shared" si="12"/>
        <v>0.35402602423149621</v>
      </c>
      <c r="E13" s="9">
        <f t="shared" si="12"/>
        <v>0.32652300882766822</v>
      </c>
      <c r="F13" s="9">
        <f t="shared" si="12"/>
        <v>0.33894408148351535</v>
      </c>
      <c r="G13" s="9">
        <f t="shared" si="12"/>
        <v>0.33858271956404579</v>
      </c>
      <c r="H13" s="9">
        <f t="shared" si="12"/>
        <v>0.33185426117753436</v>
      </c>
      <c r="I13" s="9">
        <f t="shared" si="12"/>
        <v>0.31019354831562462</v>
      </c>
      <c r="J13" s="9">
        <f t="shared" si="12"/>
        <v>0.31761363602853793</v>
      </c>
      <c r="K13" s="9">
        <f t="shared" si="12"/>
        <v>0.32703138887035854</v>
      </c>
      <c r="L13" s="9">
        <f t="shared" ref="L13" si="14">L5/L$7</f>
        <v>0.32287096433845086</v>
      </c>
      <c r="M13" s="9"/>
    </row>
    <row r="14" spans="1:23" x14ac:dyDescent="0.45">
      <c r="A14" s="4" t="s">
        <v>65</v>
      </c>
      <c r="B14" s="4"/>
      <c r="C14" s="9">
        <f t="shared" si="12"/>
        <v>0.64012197295363882</v>
      </c>
      <c r="D14" s="9">
        <f t="shared" si="12"/>
        <v>0.59702476845379859</v>
      </c>
      <c r="E14" s="9">
        <f t="shared" si="12"/>
        <v>0.62632734306881066</v>
      </c>
      <c r="F14" s="9">
        <f t="shared" si="12"/>
        <v>0.60274667095439305</v>
      </c>
      <c r="G14" s="9">
        <f t="shared" si="12"/>
        <v>0.60971636770261861</v>
      </c>
      <c r="H14" s="9">
        <f t="shared" si="12"/>
        <v>0.61962563006453297</v>
      </c>
      <c r="I14" s="9">
        <f t="shared" si="12"/>
        <v>0.65796484643353836</v>
      </c>
      <c r="J14" s="9">
        <f t="shared" si="12"/>
        <v>0.64623232228511174</v>
      </c>
      <c r="K14" s="9">
        <f t="shared" si="12"/>
        <v>0.62884146992309631</v>
      </c>
      <c r="L14" s="9">
        <f t="shared" ref="L14" si="15">L6/L$7</f>
        <v>0.63603750017959848</v>
      </c>
      <c r="M14" s="9"/>
    </row>
    <row r="15" spans="1:23" x14ac:dyDescent="0.45">
      <c r="A15" s="4" t="s">
        <v>66</v>
      </c>
      <c r="B15" s="4"/>
      <c r="C15" s="9">
        <f t="shared" si="12"/>
        <v>1</v>
      </c>
      <c r="D15" s="9">
        <f t="shared" si="12"/>
        <v>1</v>
      </c>
      <c r="E15" s="9">
        <f t="shared" si="12"/>
        <v>1</v>
      </c>
      <c r="F15" s="9">
        <f t="shared" si="12"/>
        <v>1</v>
      </c>
      <c r="G15" s="9">
        <f t="shared" si="12"/>
        <v>1</v>
      </c>
      <c r="H15" s="9">
        <f t="shared" si="12"/>
        <v>1</v>
      </c>
      <c r="I15" s="9">
        <f t="shared" si="12"/>
        <v>1</v>
      </c>
      <c r="J15" s="9">
        <f t="shared" si="12"/>
        <v>1</v>
      </c>
      <c r="K15" s="9">
        <f t="shared" si="12"/>
        <v>1</v>
      </c>
      <c r="L15" s="9">
        <f t="shared" ref="L15" si="16">L7/L$7</f>
        <v>1</v>
      </c>
      <c r="M15" s="9"/>
    </row>
    <row r="17" spans="1:15" x14ac:dyDescent="0.45">
      <c r="A17" s="16" t="s">
        <v>67</v>
      </c>
      <c r="B17" s="16"/>
    </row>
    <row r="18" spans="1:15" ht="18.75" x14ac:dyDescent="0.45">
      <c r="A18" s="49" t="s">
        <v>16</v>
      </c>
      <c r="B18" s="3" t="s">
        <v>69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6" t="s">
        <v>20</v>
      </c>
      <c r="I18" s="31" t="s">
        <v>121</v>
      </c>
      <c r="J18" s="31" t="s">
        <v>122</v>
      </c>
      <c r="K18" s="7" t="s">
        <v>127</v>
      </c>
      <c r="L18" s="7" t="s">
        <v>21</v>
      </c>
      <c r="M18" s="7" t="s">
        <v>22</v>
      </c>
    </row>
    <row r="19" spans="1:15" x14ac:dyDescent="0.45">
      <c r="A19" s="4" t="s">
        <v>62</v>
      </c>
      <c r="B19" s="4" t="s">
        <v>230</v>
      </c>
      <c r="C19" s="5">
        <v>1204350</v>
      </c>
      <c r="D19" s="5">
        <v>1335722</v>
      </c>
      <c r="E19" s="5">
        <v>1443441</v>
      </c>
      <c r="F19" s="5">
        <v>1603366</v>
      </c>
      <c r="G19" s="5">
        <v>1566478</v>
      </c>
      <c r="H19" s="5">
        <v>1873437</v>
      </c>
      <c r="I19" s="5">
        <v>284127</v>
      </c>
      <c r="J19" s="5">
        <v>94203</v>
      </c>
      <c r="K19" s="5">
        <f>L19-I19</f>
        <v>897401.36643673899</v>
      </c>
      <c r="L19" s="5">
        <f>L3*L27</f>
        <v>1181528.366436739</v>
      </c>
      <c r="M19" s="5"/>
    </row>
    <row r="20" spans="1:15" x14ac:dyDescent="0.45">
      <c r="A20" s="4" t="s">
        <v>63</v>
      </c>
      <c r="B20" s="4" t="s">
        <v>230</v>
      </c>
      <c r="C20" s="5">
        <v>2394406</v>
      </c>
      <c r="D20" s="5">
        <v>2428488</v>
      </c>
      <c r="E20" s="5">
        <v>1962995</v>
      </c>
      <c r="F20" s="5">
        <v>3052378</v>
      </c>
      <c r="G20" s="5">
        <v>2921312</v>
      </c>
      <c r="H20" s="5">
        <v>2506507</v>
      </c>
      <c r="I20" s="5">
        <v>629725</v>
      </c>
      <c r="J20" s="5">
        <v>292684</v>
      </c>
      <c r="K20" s="5">
        <f t="shared" ref="K20:K22" si="17">L20-I20</f>
        <v>1517525.298163258</v>
      </c>
      <c r="L20" s="5">
        <f t="shared" ref="L20:L22" si="18">L4*L28</f>
        <v>2147250.298163258</v>
      </c>
      <c r="M20" s="5"/>
    </row>
    <row r="21" spans="1:15" x14ac:dyDescent="0.45">
      <c r="A21" s="4" t="s">
        <v>64</v>
      </c>
      <c r="B21" s="4" t="s">
        <v>230</v>
      </c>
      <c r="C21" s="5">
        <v>25813455</v>
      </c>
      <c r="D21" s="5">
        <v>28270259</v>
      </c>
      <c r="E21" s="5">
        <v>24707764</v>
      </c>
      <c r="F21" s="5">
        <v>27158333</v>
      </c>
      <c r="G21" s="5">
        <v>29521927</v>
      </c>
      <c r="H21" s="5">
        <v>29566753</v>
      </c>
      <c r="I21" s="5">
        <v>7900221</v>
      </c>
      <c r="J21" s="5">
        <v>2604751</v>
      </c>
      <c r="K21" s="5">
        <f t="shared" si="17"/>
        <v>18710832.567222971</v>
      </c>
      <c r="L21" s="5">
        <f t="shared" si="18"/>
        <v>26611053.567222971</v>
      </c>
      <c r="M21" s="5"/>
    </row>
    <row r="22" spans="1:15" x14ac:dyDescent="0.45">
      <c r="A22" s="4" t="s">
        <v>65</v>
      </c>
      <c r="B22" s="4" t="s">
        <v>230</v>
      </c>
      <c r="C22" s="5">
        <v>51633245</v>
      </c>
      <c r="D22" s="5">
        <v>48536237</v>
      </c>
      <c r="E22" s="5">
        <v>47291178</v>
      </c>
      <c r="F22" s="5">
        <v>53139432</v>
      </c>
      <c r="G22" s="5">
        <v>55413265</v>
      </c>
      <c r="H22" s="5">
        <v>55368962</v>
      </c>
      <c r="I22" s="5">
        <v>13113469</v>
      </c>
      <c r="J22" s="5">
        <v>5522645</v>
      </c>
      <c r="K22" s="5">
        <f t="shared" si="17"/>
        <v>41719257.062269628</v>
      </c>
      <c r="L22" s="5">
        <f t="shared" si="18"/>
        <v>54832726.062269628</v>
      </c>
      <c r="M22" s="5"/>
    </row>
    <row r="23" spans="1:15" x14ac:dyDescent="0.45">
      <c r="A23" s="4" t="s">
        <v>66</v>
      </c>
      <c r="B23" s="4" t="s">
        <v>230</v>
      </c>
      <c r="C23" s="5">
        <v>81045456</v>
      </c>
      <c r="D23" s="5">
        <v>80570706</v>
      </c>
      <c r="E23" s="5">
        <v>75405378</v>
      </c>
      <c r="F23" s="5">
        <v>84953509</v>
      </c>
      <c r="G23" s="5">
        <v>89422982</v>
      </c>
      <c r="H23" s="5">
        <f>SUM(H19:H22)</f>
        <v>89315659</v>
      </c>
      <c r="I23" s="5">
        <f>SUM(I19:I22)</f>
        <v>21927542</v>
      </c>
      <c r="J23" s="5">
        <f>SUM(J19:J22)</f>
        <v>8514283</v>
      </c>
      <c r="K23" s="5">
        <f>SUM(K19:K22)</f>
        <v>62845016.294092596</v>
      </c>
      <c r="L23" s="5">
        <f>SUM(L19:L22)</f>
        <v>84772558.294092596</v>
      </c>
      <c r="M23" s="5"/>
    </row>
    <row r="24" spans="1:15" x14ac:dyDescent="0.45">
      <c r="A24" s="13"/>
      <c r="B24" s="1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5" x14ac:dyDescent="0.45">
      <c r="A25" s="48" t="s">
        <v>235</v>
      </c>
      <c r="B25" s="1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5" ht="18.75" x14ac:dyDescent="0.45">
      <c r="A26" s="49" t="s">
        <v>16</v>
      </c>
      <c r="B26" s="3" t="s">
        <v>69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6" t="s">
        <v>20</v>
      </c>
      <c r="I26" s="31" t="s">
        <v>121</v>
      </c>
      <c r="J26" s="31" t="s">
        <v>122</v>
      </c>
      <c r="K26" s="7" t="s">
        <v>127</v>
      </c>
      <c r="L26" s="7" t="s">
        <v>21</v>
      </c>
      <c r="M26" s="7" t="s">
        <v>22</v>
      </c>
    </row>
    <row r="27" spans="1:15" x14ac:dyDescent="0.45">
      <c r="A27" s="4" t="s">
        <v>62</v>
      </c>
      <c r="B27" s="4"/>
      <c r="C27" s="36">
        <f t="shared" ref="C27:J27" si="19">C19/C3</f>
        <v>0.85494506586629959</v>
      </c>
      <c r="D27" s="36">
        <f t="shared" si="19"/>
        <v>0.95634616912950809</v>
      </c>
      <c r="E27" s="36">
        <f t="shared" si="19"/>
        <v>0.91653157829569587</v>
      </c>
      <c r="F27" s="36">
        <f t="shared" si="19"/>
        <v>0.87208038060365956</v>
      </c>
      <c r="G27" s="36">
        <f t="shared" si="19"/>
        <v>1.0085377638797413</v>
      </c>
      <c r="H27" s="36">
        <f t="shared" si="19"/>
        <v>1.0402412263654355</v>
      </c>
      <c r="I27" s="36">
        <f t="shared" si="19"/>
        <v>1.3184792293128411</v>
      </c>
      <c r="J27" s="36">
        <f t="shared" si="19"/>
        <v>0.98112794875800657</v>
      </c>
      <c r="K27" s="36"/>
      <c r="L27" s="9">
        <f>GEOMEAN(E27:G27)</f>
        <v>0.9306764070425968</v>
      </c>
      <c r="M27" s="36"/>
      <c r="O27" s="50"/>
    </row>
    <row r="28" spans="1:15" x14ac:dyDescent="0.45">
      <c r="A28" s="4" t="s">
        <v>63</v>
      </c>
      <c r="B28" s="4"/>
      <c r="C28" s="36">
        <f t="shared" ref="C28:D31" si="20">C20/C4</f>
        <v>0.95233788341606207</v>
      </c>
      <c r="D28" s="36">
        <f t="shared" si="20"/>
        <v>1.0199882565317793</v>
      </c>
      <c r="E28" s="36">
        <f t="shared" ref="E28:J28" si="21">E20/E4</f>
        <v>0.93890770748095631</v>
      </c>
      <c r="F28" s="36">
        <f t="shared" si="21"/>
        <v>0.87639784223806361</v>
      </c>
      <c r="G28" s="36">
        <f t="shared" si="21"/>
        <v>0.94714361813017311</v>
      </c>
      <c r="H28" s="36">
        <f t="shared" si="21"/>
        <v>1.021305768273234</v>
      </c>
      <c r="I28" s="36">
        <f t="shared" si="21"/>
        <v>1.3276178669989269</v>
      </c>
      <c r="J28" s="36">
        <f t="shared" si="21"/>
        <v>1.3904690417258532</v>
      </c>
      <c r="K28" s="36"/>
      <c r="L28" s="9">
        <f>GEOMEAN(E28:G28)</f>
        <v>0.92026593663837919</v>
      </c>
      <c r="M28" s="36"/>
    </row>
    <row r="29" spans="1:15" x14ac:dyDescent="0.45">
      <c r="A29" s="4" t="s">
        <v>64</v>
      </c>
      <c r="B29" s="4"/>
      <c r="C29" s="36">
        <f t="shared" si="20"/>
        <v>1.0024416925754682</v>
      </c>
      <c r="D29" s="36">
        <f t="shared" si="20"/>
        <v>1.0347259181827348</v>
      </c>
      <c r="E29" s="36">
        <f t="shared" ref="E29:J29" si="22">E21/E5</f>
        <v>0.97330963931222103</v>
      </c>
      <c r="F29" s="36">
        <f t="shared" si="22"/>
        <v>0.87798050408032213</v>
      </c>
      <c r="G29" s="36">
        <f t="shared" si="22"/>
        <v>0.97205078726035421</v>
      </c>
      <c r="H29" s="36">
        <f t="shared" si="22"/>
        <v>1.0159208186066764</v>
      </c>
      <c r="I29" s="36">
        <f t="shared" si="22"/>
        <v>1.1756113305524207</v>
      </c>
      <c r="J29" s="36">
        <f t="shared" si="22"/>
        <v>0.96734660984091658</v>
      </c>
      <c r="K29" s="36"/>
      <c r="L29" s="9">
        <f t="shared" ref="L29:L31" si="23">GEOMEAN(E29:G29)</f>
        <v>0.94002979194391112</v>
      </c>
      <c r="M29" s="36"/>
    </row>
    <row r="30" spans="1:15" x14ac:dyDescent="0.45">
      <c r="A30" s="4" t="s">
        <v>65</v>
      </c>
      <c r="B30" s="4"/>
      <c r="C30" s="36">
        <f t="shared" si="20"/>
        <v>0.97825739333657413</v>
      </c>
      <c r="D30" s="36">
        <f t="shared" si="20"/>
        <v>1.0534270885230594</v>
      </c>
      <c r="E30" s="36">
        <f t="shared" ref="E30:J30" si="24">E22/E6</f>
        <v>0.97120325718138045</v>
      </c>
      <c r="F30" s="36">
        <f t="shared" si="24"/>
        <v>0.96603287397379267</v>
      </c>
      <c r="G30" s="36">
        <f t="shared" si="24"/>
        <v>1.0131994131213131</v>
      </c>
      <c r="H30" s="36">
        <f t="shared" si="24"/>
        <v>1.0189212831287893</v>
      </c>
      <c r="I30" s="36">
        <f t="shared" si="24"/>
        <v>0.91996686750453405</v>
      </c>
      <c r="J30" s="36">
        <f t="shared" si="24"/>
        <v>1.0080300789373151</v>
      </c>
      <c r="K30" s="36"/>
      <c r="L30" s="9">
        <f t="shared" si="23"/>
        <v>0.98325384900212565</v>
      </c>
      <c r="M30" s="36"/>
    </row>
    <row r="31" spans="1:15" x14ac:dyDescent="0.45">
      <c r="A31" s="4" t="s">
        <v>66</v>
      </c>
      <c r="B31" s="4"/>
      <c r="C31" s="36">
        <f t="shared" si="20"/>
        <v>0.98291310178984503</v>
      </c>
      <c r="D31" s="36">
        <f t="shared" si="20"/>
        <v>1.0440177858021589</v>
      </c>
      <c r="E31" s="36">
        <f t="shared" ref="E31:J31" si="25">E23/E7</f>
        <v>0.96991503417105251</v>
      </c>
      <c r="F31" s="36">
        <f t="shared" si="25"/>
        <v>0.93087451407234567</v>
      </c>
      <c r="G31" s="36">
        <f t="shared" si="25"/>
        <v>0.99691513994367853</v>
      </c>
      <c r="H31" s="36">
        <f t="shared" si="25"/>
        <v>1.0184301137921774</v>
      </c>
      <c r="I31" s="36">
        <f t="shared" si="25"/>
        <v>1.0121554898650091</v>
      </c>
      <c r="J31" s="36">
        <f t="shared" si="25"/>
        <v>1.0042992108244617</v>
      </c>
      <c r="K31" s="36"/>
      <c r="L31" s="9">
        <f t="shared" si="23"/>
        <v>0.96551940718686891</v>
      </c>
      <c r="M31" s="36"/>
    </row>
    <row r="32" spans="1:15" x14ac:dyDescent="0.45">
      <c r="F32" s="47"/>
      <c r="G32" s="17"/>
    </row>
    <row r="33" spans="1:13" x14ac:dyDescent="0.45">
      <c r="A33" s="16" t="s">
        <v>68</v>
      </c>
      <c r="B33" s="16"/>
    </row>
    <row r="34" spans="1:13" x14ac:dyDescent="0.45">
      <c r="A34" s="3" t="s">
        <v>16</v>
      </c>
      <c r="B34" s="3" t="s">
        <v>69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6" t="s">
        <v>20</v>
      </c>
      <c r="I34" s="31" t="s">
        <v>121</v>
      </c>
      <c r="J34" s="31" t="s">
        <v>122</v>
      </c>
      <c r="K34" s="7" t="s">
        <v>127</v>
      </c>
      <c r="L34" s="7" t="s">
        <v>21</v>
      </c>
      <c r="M34" s="7" t="s">
        <v>22</v>
      </c>
    </row>
    <row r="35" spans="1:13" x14ac:dyDescent="0.45">
      <c r="A35" s="4" t="s">
        <v>62</v>
      </c>
      <c r="B35" s="4" t="s">
        <v>70</v>
      </c>
      <c r="C35" s="5">
        <v>50257</v>
      </c>
      <c r="D35" s="5">
        <v>94207</v>
      </c>
      <c r="E35" s="5">
        <v>181114</v>
      </c>
      <c r="F35" s="5">
        <v>277483</v>
      </c>
      <c r="G35" s="5">
        <v>297813</v>
      </c>
      <c r="H35" s="33">
        <v>373160</v>
      </c>
      <c r="I35" s="33">
        <v>414624</v>
      </c>
      <c r="J35" s="33">
        <v>399817</v>
      </c>
      <c r="K35" s="35">
        <f>(1+پنل!$E$3)*J35</f>
        <v>519762.10000000003</v>
      </c>
      <c r="L35" s="5"/>
      <c r="M35" s="5"/>
    </row>
    <row r="36" spans="1:13" x14ac:dyDescent="0.45">
      <c r="A36" s="4" t="s">
        <v>63</v>
      </c>
      <c r="B36" s="4" t="s">
        <v>70</v>
      </c>
      <c r="C36" s="5">
        <v>102951</v>
      </c>
      <c r="D36" s="5">
        <v>181616</v>
      </c>
      <c r="E36" s="5">
        <v>293172</v>
      </c>
      <c r="F36" s="5">
        <v>512226</v>
      </c>
      <c r="G36" s="5">
        <v>597973</v>
      </c>
      <c r="H36" s="18">
        <v>722434</v>
      </c>
      <c r="I36" s="18">
        <v>732502</v>
      </c>
      <c r="J36" s="18">
        <v>715300</v>
      </c>
      <c r="K36" s="35">
        <f>(1+پنل!$E$3)*J36</f>
        <v>929890</v>
      </c>
      <c r="L36" s="5"/>
      <c r="M36" s="5"/>
    </row>
    <row r="37" spans="1:13" x14ac:dyDescent="0.45">
      <c r="A37" s="4" t="s">
        <v>64</v>
      </c>
      <c r="B37" s="4" t="s">
        <v>70</v>
      </c>
      <c r="C37" s="5">
        <v>101828</v>
      </c>
      <c r="D37" s="5">
        <v>142831</v>
      </c>
      <c r="E37" s="5">
        <v>216708</v>
      </c>
      <c r="F37" s="5">
        <v>394440</v>
      </c>
      <c r="G37" s="5">
        <v>567992</v>
      </c>
      <c r="H37" s="18">
        <v>781126</v>
      </c>
      <c r="I37" s="18">
        <v>638473</v>
      </c>
      <c r="J37" s="18">
        <v>684449</v>
      </c>
      <c r="K37" s="35">
        <f>(1+پنل!$E$3)*J37</f>
        <v>889783.70000000007</v>
      </c>
      <c r="L37" s="5"/>
      <c r="M37" s="5"/>
    </row>
    <row r="38" spans="1:13" x14ac:dyDescent="0.45">
      <c r="A38" s="4" t="s">
        <v>65</v>
      </c>
      <c r="B38" s="4" t="s">
        <v>70</v>
      </c>
      <c r="C38" s="5">
        <v>121202</v>
      </c>
      <c r="D38" s="5">
        <v>153815</v>
      </c>
      <c r="E38" s="5">
        <v>225611</v>
      </c>
      <c r="F38" s="5">
        <v>393763</v>
      </c>
      <c r="G38" s="5">
        <v>555531</v>
      </c>
      <c r="H38" s="18">
        <v>766764</v>
      </c>
      <c r="I38" s="18">
        <v>654338</v>
      </c>
      <c r="J38" s="18">
        <v>699223</v>
      </c>
      <c r="K38" s="35">
        <f>(1+پنل!$E$3)*J38</f>
        <v>908989.9</v>
      </c>
      <c r="L38" s="5"/>
      <c r="M38" s="5"/>
    </row>
    <row r="39" spans="1:13" x14ac:dyDescent="0.45">
      <c r="A39" s="10" t="s">
        <v>234</v>
      </c>
      <c r="B39" s="10"/>
      <c r="C39" s="11"/>
      <c r="D39" s="51">
        <f>D38/C38-1</f>
        <v>0.26907971815646614</v>
      </c>
      <c r="E39" s="51">
        <f t="shared" ref="E39:H39" si="26">E38/D38-1</f>
        <v>0.46676852062542662</v>
      </c>
      <c r="F39" s="51">
        <f t="shared" si="26"/>
        <v>0.74531826905603005</v>
      </c>
      <c r="G39" s="51">
        <f t="shared" si="26"/>
        <v>0.41082580130687751</v>
      </c>
      <c r="H39" s="51">
        <f t="shared" si="26"/>
        <v>0.38023620644032463</v>
      </c>
      <c r="I39" s="12">
        <f>I38/G38-1</f>
        <v>0.17786046143239531</v>
      </c>
      <c r="J39" s="52">
        <f>J38/I38-1</f>
        <v>6.859604669146524E-2</v>
      </c>
      <c r="K39" s="12">
        <f>K38/G38-1</f>
        <v>0.63625414243309564</v>
      </c>
      <c r="L39" s="5"/>
      <c r="M39" s="5"/>
    </row>
    <row r="41" spans="1:13" x14ac:dyDescent="0.45">
      <c r="A41" s="16" t="s">
        <v>71</v>
      </c>
    </row>
    <row r="42" spans="1:13" x14ac:dyDescent="0.45">
      <c r="A42" s="3" t="s">
        <v>16</v>
      </c>
      <c r="B42" s="3" t="s">
        <v>69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  <c r="H42" s="6" t="s">
        <v>20</v>
      </c>
      <c r="I42" s="31" t="s">
        <v>121</v>
      </c>
      <c r="J42" s="31" t="s">
        <v>122</v>
      </c>
      <c r="K42" s="7" t="s">
        <v>127</v>
      </c>
      <c r="L42" s="7" t="s">
        <v>21</v>
      </c>
      <c r="M42" s="7" t="s">
        <v>22</v>
      </c>
    </row>
    <row r="43" spans="1:13" x14ac:dyDescent="0.45">
      <c r="A43" s="4" t="s">
        <v>62</v>
      </c>
      <c r="B43" s="4" t="s">
        <v>72</v>
      </c>
      <c r="C43" s="5">
        <v>60527</v>
      </c>
      <c r="D43" s="5">
        <v>125834</v>
      </c>
      <c r="E43" s="5">
        <v>261427</v>
      </c>
      <c r="F43" s="5">
        <v>444907</v>
      </c>
      <c r="G43" s="5">
        <v>466518</v>
      </c>
      <c r="H43" s="5">
        <f>H19*H35/1000000</f>
        <v>699091.75092000002</v>
      </c>
      <c r="I43" s="19">
        <f t="shared" ref="I43:K46" si="27">I35*I19/1000000</f>
        <v>117805.873248</v>
      </c>
      <c r="J43" s="19">
        <f t="shared" si="27"/>
        <v>37663.960851000003</v>
      </c>
      <c r="K43" s="19">
        <f t="shared" si="27"/>
        <v>466435.21876202902</v>
      </c>
      <c r="L43" s="5">
        <f t="shared" ref="L43:L46" si="28">K43+I43</f>
        <v>584241.09201002901</v>
      </c>
      <c r="M43" s="5"/>
    </row>
    <row r="44" spans="1:13" x14ac:dyDescent="0.45">
      <c r="A44" s="4" t="s">
        <v>63</v>
      </c>
      <c r="B44" s="4" t="s">
        <v>72</v>
      </c>
      <c r="C44" s="5">
        <v>246506</v>
      </c>
      <c r="D44" s="5">
        <v>441052</v>
      </c>
      <c r="E44" s="5">
        <v>575495</v>
      </c>
      <c r="F44" s="5">
        <v>1563506</v>
      </c>
      <c r="G44" s="5">
        <v>1746867</v>
      </c>
      <c r="H44" s="5">
        <f>H20*H36/1000000</f>
        <v>1810785.8780380001</v>
      </c>
      <c r="I44" s="19">
        <f t="shared" si="27"/>
        <v>461274.82195000001</v>
      </c>
      <c r="J44" s="19">
        <f t="shared" si="27"/>
        <v>209356.8652</v>
      </c>
      <c r="K44" s="19">
        <f t="shared" si="27"/>
        <v>1411131.599509032</v>
      </c>
      <c r="L44" s="5">
        <f t="shared" si="28"/>
        <v>1872406.421459032</v>
      </c>
      <c r="M44" s="5"/>
    </row>
    <row r="45" spans="1:13" x14ac:dyDescent="0.45">
      <c r="A45" s="4" t="s">
        <v>64</v>
      </c>
      <c r="B45" s="4" t="s">
        <v>72</v>
      </c>
      <c r="C45" s="5">
        <v>2628544</v>
      </c>
      <c r="D45" s="5">
        <v>4037863</v>
      </c>
      <c r="E45" s="5">
        <v>5354373</v>
      </c>
      <c r="F45" s="5">
        <v>10712322</v>
      </c>
      <c r="G45" s="5">
        <v>16768226</v>
      </c>
      <c r="H45" s="5">
        <f>H21*H37/1000000</f>
        <v>23095359.503878001</v>
      </c>
      <c r="I45" s="19">
        <f t="shared" si="27"/>
        <v>5044077.8025329998</v>
      </c>
      <c r="J45" s="19">
        <f t="shared" si="27"/>
        <v>1782819.2171990001</v>
      </c>
      <c r="K45" s="19">
        <f t="shared" si="27"/>
        <v>16648593.831744157</v>
      </c>
      <c r="L45" s="5">
        <f t="shared" si="28"/>
        <v>21692671.634277157</v>
      </c>
      <c r="M45" s="5"/>
    </row>
    <row r="46" spans="1:13" x14ac:dyDescent="0.45">
      <c r="A46" s="4" t="s">
        <v>65</v>
      </c>
      <c r="B46" s="4" t="s">
        <v>72</v>
      </c>
      <c r="C46" s="5">
        <v>6258073</v>
      </c>
      <c r="D46" s="5">
        <v>7465598</v>
      </c>
      <c r="E46" s="5">
        <v>10669403</v>
      </c>
      <c r="F46" s="5">
        <v>20924347</v>
      </c>
      <c r="G46" s="5">
        <v>30783805</v>
      </c>
      <c r="H46" s="5">
        <f>H22*H38/1000000</f>
        <v>42454926.778967999</v>
      </c>
      <c r="I46" s="19">
        <f t="shared" si="27"/>
        <v>8580641.0785220005</v>
      </c>
      <c r="J46" s="19">
        <f t="shared" si="27"/>
        <v>3861560.4048350002</v>
      </c>
      <c r="K46" s="19">
        <f t="shared" si="27"/>
        <v>37922383.305106767</v>
      </c>
      <c r="L46" s="5">
        <f t="shared" si="28"/>
        <v>46503024.383628771</v>
      </c>
      <c r="M46" s="5"/>
    </row>
    <row r="47" spans="1:13" x14ac:dyDescent="0.45">
      <c r="A47" s="4" t="s">
        <v>66</v>
      </c>
      <c r="B47" s="4" t="s">
        <v>72</v>
      </c>
      <c r="C47" s="5">
        <v>9193650</v>
      </c>
      <c r="D47" s="5">
        <v>12070347</v>
      </c>
      <c r="E47" s="5">
        <v>16860698</v>
      </c>
      <c r="F47" s="5">
        <v>33645082</v>
      </c>
      <c r="G47" s="5">
        <v>49765416</v>
      </c>
      <c r="H47" s="5">
        <f>SUM(H43:H46)</f>
        <v>68060163.911803991</v>
      </c>
      <c r="I47" s="5">
        <f>SUM(I43:I46)</f>
        <v>14203799.576253001</v>
      </c>
      <c r="J47" s="5">
        <f t="shared" ref="J47:K47" si="29">SUM(J43:J46)</f>
        <v>5891400.4480850007</v>
      </c>
      <c r="K47" s="5">
        <f t="shared" si="29"/>
        <v>56448543.955121979</v>
      </c>
      <c r="L47" s="5">
        <f>K47+I47</f>
        <v>70652343.531374976</v>
      </c>
      <c r="M47" s="5"/>
    </row>
    <row r="49" spans="1:13" x14ac:dyDescent="0.45">
      <c r="A49" s="16" t="s">
        <v>104</v>
      </c>
    </row>
    <row r="50" spans="1:13" x14ac:dyDescent="0.45">
      <c r="A50" s="3" t="s">
        <v>16</v>
      </c>
      <c r="B50" s="3" t="s">
        <v>69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15</v>
      </c>
      <c r="H50" s="6" t="s">
        <v>20</v>
      </c>
      <c r="I50" s="31" t="s">
        <v>121</v>
      </c>
      <c r="J50" s="31" t="s">
        <v>122</v>
      </c>
      <c r="K50" s="7" t="s">
        <v>127</v>
      </c>
      <c r="L50" s="7" t="s">
        <v>21</v>
      </c>
      <c r="M50" s="7" t="s">
        <v>22</v>
      </c>
    </row>
    <row r="51" spans="1:13" x14ac:dyDescent="0.45">
      <c r="A51" s="4" t="s">
        <v>62</v>
      </c>
      <c r="B51" s="4"/>
      <c r="C51" s="9">
        <f t="shared" ref="C51:H55" si="30">C43/C$47</f>
        <v>6.583565830763625E-3</v>
      </c>
      <c r="D51" s="9">
        <f t="shared" si="30"/>
        <v>1.0425052403215914E-2</v>
      </c>
      <c r="E51" s="9">
        <f t="shared" si="30"/>
        <v>1.5505111354227446E-2</v>
      </c>
      <c r="F51" s="9">
        <f t="shared" si="30"/>
        <v>1.3223537395450544E-2</v>
      </c>
      <c r="G51" s="9">
        <f t="shared" si="30"/>
        <v>9.3743414101069705E-3</v>
      </c>
      <c r="H51" s="9">
        <f t="shared" si="30"/>
        <v>1.0271673042485184E-2</v>
      </c>
      <c r="I51" s="9">
        <f t="shared" ref="I51:L51" si="31">I43/I$47</f>
        <v>8.2939689915758098E-3</v>
      </c>
      <c r="J51" s="9">
        <f t="shared" si="31"/>
        <v>6.3930403616075139E-3</v>
      </c>
      <c r="K51" s="9">
        <f t="shared" si="31"/>
        <v>8.2630159448019921E-3</v>
      </c>
      <c r="L51" s="9">
        <f t="shared" si="31"/>
        <v>8.2692386806756356E-3</v>
      </c>
      <c r="M51" s="9"/>
    </row>
    <row r="52" spans="1:13" x14ac:dyDescent="0.45">
      <c r="A52" s="4" t="s">
        <v>63</v>
      </c>
      <c r="B52" s="4"/>
      <c r="C52" s="9">
        <f t="shared" si="30"/>
        <v>2.6812636983135098E-2</v>
      </c>
      <c r="D52" s="9">
        <f t="shared" si="30"/>
        <v>3.65401259798082E-2</v>
      </c>
      <c r="E52" s="9">
        <f t="shared" si="30"/>
        <v>3.4132335446610811E-2</v>
      </c>
      <c r="F52" s="9">
        <f t="shared" si="30"/>
        <v>4.6470565891324027E-2</v>
      </c>
      <c r="G52" s="9">
        <f t="shared" si="30"/>
        <v>3.5102027480288719E-2</v>
      </c>
      <c r="H52" s="9">
        <f t="shared" si="30"/>
        <v>2.6605664370490108E-2</v>
      </c>
      <c r="I52" s="9">
        <f t="shared" ref="I52:L52" si="32">I44/I$47</f>
        <v>3.2475452745840946E-2</v>
      </c>
      <c r="J52" s="9">
        <f t="shared" si="32"/>
        <v>3.5536009993693676E-2</v>
      </c>
      <c r="K52" s="9">
        <f t="shared" si="32"/>
        <v>2.499854736077723E-2</v>
      </c>
      <c r="L52" s="9">
        <f t="shared" si="32"/>
        <v>2.650168880282849E-2</v>
      </c>
      <c r="M52" s="9"/>
    </row>
    <row r="53" spans="1:13" x14ac:dyDescent="0.45">
      <c r="A53" s="4" t="s">
        <v>64</v>
      </c>
      <c r="B53" s="4"/>
      <c r="C53" s="9">
        <f t="shared" si="30"/>
        <v>0.28590864346587047</v>
      </c>
      <c r="D53" s="9">
        <f t="shared" si="30"/>
        <v>0.33452749949939303</v>
      </c>
      <c r="E53" s="9">
        <f t="shared" si="30"/>
        <v>0.31756532262187487</v>
      </c>
      <c r="F53" s="9">
        <f t="shared" si="30"/>
        <v>0.31839191237518755</v>
      </c>
      <c r="G53" s="9">
        <f t="shared" si="30"/>
        <v>0.33694535980569318</v>
      </c>
      <c r="H53" s="9">
        <f t="shared" si="30"/>
        <v>0.33933740644242655</v>
      </c>
      <c r="I53" s="9">
        <f t="shared" ref="I53:L53" si="33">I45/I$47</f>
        <v>0.35512172468035069</v>
      </c>
      <c r="J53" s="9">
        <f t="shared" si="33"/>
        <v>0.30261382381136648</v>
      </c>
      <c r="K53" s="9">
        <f t="shared" si="33"/>
        <v>0.29493398173352725</v>
      </c>
      <c r="L53" s="9">
        <f t="shared" si="33"/>
        <v>0.30703399986504304</v>
      </c>
      <c r="M53" s="9"/>
    </row>
    <row r="54" spans="1:13" x14ac:dyDescent="0.45">
      <c r="A54" s="4" t="s">
        <v>65</v>
      </c>
      <c r="B54" s="4"/>
      <c r="C54" s="9">
        <f t="shared" si="30"/>
        <v>0.68069515372023082</v>
      </c>
      <c r="D54" s="9">
        <f t="shared" si="30"/>
        <v>0.61850732211758286</v>
      </c>
      <c r="E54" s="9">
        <f t="shared" si="30"/>
        <v>0.63279723057728687</v>
      </c>
      <c r="F54" s="9">
        <f t="shared" si="30"/>
        <v>0.62191398433803791</v>
      </c>
      <c r="G54" s="9">
        <f t="shared" si="30"/>
        <v>0.61857827130391119</v>
      </c>
      <c r="H54" s="9">
        <f t="shared" si="30"/>
        <v>0.62378525614459834</v>
      </c>
      <c r="I54" s="9">
        <f t="shared" ref="I54:L54" si="34">I46/I$47</f>
        <v>0.60410885358223254</v>
      </c>
      <c r="J54" s="9">
        <f t="shared" si="34"/>
        <v>0.65545712583333227</v>
      </c>
      <c r="K54" s="9">
        <f t="shared" si="34"/>
        <v>0.67180445496089358</v>
      </c>
      <c r="L54" s="9">
        <f t="shared" si="34"/>
        <v>0.65819507265145305</v>
      </c>
      <c r="M54" s="9"/>
    </row>
    <row r="55" spans="1:13" x14ac:dyDescent="0.45">
      <c r="A55" s="4" t="s">
        <v>66</v>
      </c>
      <c r="B55" s="4"/>
      <c r="C55" s="9">
        <f t="shared" si="30"/>
        <v>1</v>
      </c>
      <c r="D55" s="9">
        <f t="shared" si="30"/>
        <v>1</v>
      </c>
      <c r="E55" s="9">
        <f t="shared" si="30"/>
        <v>1</v>
      </c>
      <c r="F55" s="9">
        <f t="shared" si="30"/>
        <v>1</v>
      </c>
      <c r="G55" s="9">
        <f t="shared" si="30"/>
        <v>1</v>
      </c>
      <c r="H55" s="9">
        <f t="shared" si="30"/>
        <v>1</v>
      </c>
      <c r="I55" s="9">
        <f t="shared" ref="I55:L55" si="35">I47/I$47</f>
        <v>1</v>
      </c>
      <c r="J55" s="9">
        <f t="shared" si="35"/>
        <v>1</v>
      </c>
      <c r="K55" s="9">
        <f t="shared" si="35"/>
        <v>1</v>
      </c>
      <c r="L55" s="9">
        <f t="shared" si="35"/>
        <v>1</v>
      </c>
      <c r="M55" s="9"/>
    </row>
    <row r="57" spans="1:13" x14ac:dyDescent="0.45">
      <c r="A57" s="17"/>
      <c r="B57" s="1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>
      <selection activeCell="I16" sqref="I16"/>
    </sheetView>
  </sheetViews>
  <sheetFormatPr defaultRowHeight="18" x14ac:dyDescent="0.45"/>
  <cols>
    <col min="1" max="1" width="31.7109375" style="1" bestFit="1" customWidth="1"/>
    <col min="2" max="2" width="12.28515625" style="1" bestFit="1" customWidth="1"/>
    <col min="3" max="6" width="14" style="1" bestFit="1" customWidth="1"/>
    <col min="7" max="7" width="13.85546875" style="1" bestFit="1" customWidth="1"/>
    <col min="8" max="8" width="14" style="1" bestFit="1" customWidth="1"/>
    <col min="9" max="9" width="17.7109375" style="1" bestFit="1" customWidth="1"/>
    <col min="10" max="10" width="14.5703125" style="1" bestFit="1" customWidth="1"/>
    <col min="11" max="12" width="9.140625" style="1"/>
    <col min="13" max="13" width="10" style="1" bestFit="1" customWidth="1"/>
    <col min="14" max="16384" width="9.140625" style="1"/>
  </cols>
  <sheetData>
    <row r="1" spans="1:13" x14ac:dyDescent="0.45">
      <c r="A1" s="16" t="s">
        <v>73</v>
      </c>
    </row>
    <row r="2" spans="1:13" x14ac:dyDescent="0.45">
      <c r="A2" s="3" t="s">
        <v>16</v>
      </c>
      <c r="B2" s="3" t="s">
        <v>69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6" t="s">
        <v>20</v>
      </c>
      <c r="I2" s="7" t="s">
        <v>21</v>
      </c>
      <c r="J2" s="7" t="s">
        <v>22</v>
      </c>
    </row>
    <row r="3" spans="1:13" x14ac:dyDescent="0.45">
      <c r="A3" s="4" t="s">
        <v>74</v>
      </c>
      <c r="B3" s="5" t="s">
        <v>72</v>
      </c>
      <c r="C3" s="5">
        <v>5561883</v>
      </c>
      <c r="D3" s="5">
        <v>7561514</v>
      </c>
      <c r="E3" s="5">
        <v>11116465</v>
      </c>
      <c r="F3" s="5">
        <v>25160649</v>
      </c>
      <c r="G3" s="5">
        <v>41020571</v>
      </c>
      <c r="H3" s="5">
        <v>55222518</v>
      </c>
      <c r="I3" s="5">
        <f>'مواد مستقیم'!H89</f>
        <v>69002478.145069778</v>
      </c>
      <c r="J3" s="4"/>
    </row>
    <row r="4" spans="1:13" x14ac:dyDescent="0.45">
      <c r="A4" s="4" t="s">
        <v>75</v>
      </c>
      <c r="B4" s="5" t="s">
        <v>72</v>
      </c>
      <c r="C4" s="35">
        <v>343651</v>
      </c>
      <c r="D4" s="35">
        <v>451296</v>
      </c>
      <c r="E4" s="35">
        <v>691827</v>
      </c>
      <c r="F4" s="35">
        <v>916636</v>
      </c>
      <c r="G4" s="35">
        <v>1415797</v>
      </c>
      <c r="H4" s="35">
        <v>1852164</v>
      </c>
      <c r="I4" s="35">
        <f>G4*(1+پنل!E4)</f>
        <v>1982115.7999999998</v>
      </c>
      <c r="J4" s="4"/>
    </row>
    <row r="5" spans="1:13" x14ac:dyDescent="0.45">
      <c r="A5" s="4" t="s">
        <v>76</v>
      </c>
      <c r="B5" s="5" t="s">
        <v>72</v>
      </c>
      <c r="C5" s="5">
        <v>1934828</v>
      </c>
      <c r="D5" s="5">
        <v>2057411</v>
      </c>
      <c r="E5" s="5">
        <v>2733995</v>
      </c>
      <c r="F5" s="5">
        <v>3968817</v>
      </c>
      <c r="G5" s="5">
        <v>5882253</v>
      </c>
      <c r="H5" s="5">
        <v>7180454</v>
      </c>
      <c r="I5" s="5">
        <f>سربار!I13</f>
        <v>7286394.5999999996</v>
      </c>
      <c r="J5" s="4"/>
    </row>
    <row r="6" spans="1:13" x14ac:dyDescent="0.45">
      <c r="A6" s="4" t="s">
        <v>66</v>
      </c>
      <c r="B6" s="5" t="s">
        <v>72</v>
      </c>
      <c r="C6" s="5">
        <v>7840362</v>
      </c>
      <c r="D6" s="5">
        <v>10070221</v>
      </c>
      <c r="E6" s="5">
        <v>14542287</v>
      </c>
      <c r="F6" s="5">
        <v>30046102</v>
      </c>
      <c r="G6" s="5">
        <v>48318621</v>
      </c>
      <c r="H6" s="5">
        <v>64255136</v>
      </c>
      <c r="I6" s="5">
        <f>SUM(I3:I5)</f>
        <v>78270988.545069769</v>
      </c>
      <c r="J6" s="4"/>
    </row>
    <row r="7" spans="1:13" x14ac:dyDescent="0.45">
      <c r="A7" s="4" t="s">
        <v>77</v>
      </c>
      <c r="B7" s="5" t="s">
        <v>72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4"/>
    </row>
    <row r="8" spans="1:13" x14ac:dyDescent="0.45">
      <c r="A8" s="10" t="s">
        <v>78</v>
      </c>
      <c r="B8" s="11" t="s">
        <v>72</v>
      </c>
      <c r="C8" s="11">
        <v>7840362</v>
      </c>
      <c r="D8" s="11">
        <v>10070221</v>
      </c>
      <c r="E8" s="11">
        <v>14542287</v>
      </c>
      <c r="F8" s="11">
        <v>30046102</v>
      </c>
      <c r="G8" s="11">
        <v>48318621</v>
      </c>
      <c r="H8" s="11">
        <v>64255136</v>
      </c>
      <c r="I8" s="11">
        <f>I6+I7</f>
        <v>78270988.545069769</v>
      </c>
      <c r="J8" s="10"/>
    </row>
    <row r="9" spans="1:13" x14ac:dyDescent="0.45">
      <c r="A9" s="4" t="s">
        <v>79</v>
      </c>
      <c r="B9" s="5" t="s">
        <v>72</v>
      </c>
      <c r="C9" s="5">
        <v>-184322</v>
      </c>
      <c r="D9" s="5">
        <v>15353</v>
      </c>
      <c r="E9" s="5">
        <v>-105177</v>
      </c>
      <c r="F9" s="5">
        <v>-559744</v>
      </c>
      <c r="G9" s="5">
        <v>-259626</v>
      </c>
      <c r="H9" s="5">
        <v>-452762</v>
      </c>
      <c r="I9" s="5">
        <f>I19*I8</f>
        <v>-939358.02671277884</v>
      </c>
      <c r="J9" s="4"/>
    </row>
    <row r="10" spans="1:13" x14ac:dyDescent="0.45">
      <c r="A10" s="4" t="s">
        <v>80</v>
      </c>
      <c r="B10" s="5" t="s">
        <v>72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4"/>
    </row>
    <row r="11" spans="1:13" x14ac:dyDescent="0.45">
      <c r="A11" s="10" t="s">
        <v>81</v>
      </c>
      <c r="B11" s="11" t="s">
        <v>72</v>
      </c>
      <c r="C11" s="11">
        <v>7656040</v>
      </c>
      <c r="D11" s="11">
        <v>10085574</v>
      </c>
      <c r="E11" s="11">
        <v>14437110</v>
      </c>
      <c r="F11" s="11">
        <v>29486358</v>
      </c>
      <c r="G11" s="11">
        <f>G8+G9+G10</f>
        <v>48058995</v>
      </c>
      <c r="H11" s="11">
        <v>63802374</v>
      </c>
      <c r="I11" s="11">
        <f>SUM(I8:I10)</f>
        <v>77331630.518356994</v>
      </c>
      <c r="J11" s="10"/>
    </row>
    <row r="12" spans="1:13" x14ac:dyDescent="0.45">
      <c r="A12" s="4" t="s">
        <v>82</v>
      </c>
      <c r="B12" s="5" t="s">
        <v>72</v>
      </c>
      <c r="C12" s="5">
        <v>318287</v>
      </c>
      <c r="D12" s="5">
        <v>518497</v>
      </c>
      <c r="E12" s="5">
        <v>363703</v>
      </c>
      <c r="F12" s="5">
        <v>718444</v>
      </c>
      <c r="G12" s="5">
        <v>3809252</v>
      </c>
      <c r="H12" s="5">
        <v>5035014</v>
      </c>
      <c r="I12" s="5">
        <f>-G13</f>
        <v>5035014</v>
      </c>
      <c r="J12" s="4"/>
      <c r="M12" s="17"/>
    </row>
    <row r="13" spans="1:13" x14ac:dyDescent="0.45">
      <c r="A13" s="4" t="s">
        <v>83</v>
      </c>
      <c r="B13" s="5" t="s">
        <v>72</v>
      </c>
      <c r="C13" s="5">
        <v>-518497</v>
      </c>
      <c r="D13" s="5">
        <v>-363703</v>
      </c>
      <c r="E13" s="5">
        <v>-718443</v>
      </c>
      <c r="F13" s="5">
        <v>-3809252</v>
      </c>
      <c r="G13" s="5">
        <v>-5035014</v>
      </c>
      <c r="H13" s="5">
        <v>-5545259</v>
      </c>
      <c r="I13" s="5">
        <f>-(I12+('تولید فروش'!L7-'تولید فروش'!L23)*'بهای تمام شده'!I17/1000000)</f>
        <v>-7597743.6723017441</v>
      </c>
      <c r="J13" s="4"/>
    </row>
    <row r="14" spans="1:13" x14ac:dyDescent="0.45">
      <c r="A14" s="4" t="s">
        <v>1</v>
      </c>
      <c r="B14" s="5" t="s">
        <v>72</v>
      </c>
      <c r="C14" s="5">
        <v>7455830</v>
      </c>
      <c r="D14" s="5">
        <v>10240368</v>
      </c>
      <c r="E14" s="5">
        <v>14082370</v>
      </c>
      <c r="F14" s="5">
        <v>26395550</v>
      </c>
      <c r="G14" s="5">
        <v>46833233</v>
      </c>
      <c r="H14" s="5">
        <v>63292129</v>
      </c>
      <c r="I14" s="5">
        <f>SUM(I11:I13)</f>
        <v>74768900.846055254</v>
      </c>
      <c r="J14" s="4"/>
    </row>
    <row r="15" spans="1:13" x14ac:dyDescent="0.45">
      <c r="A15" s="4" t="s">
        <v>84</v>
      </c>
      <c r="B15" s="5" t="s">
        <v>72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4"/>
    </row>
    <row r="16" spans="1:13" x14ac:dyDescent="0.45">
      <c r="A16" s="10" t="s">
        <v>231</v>
      </c>
      <c r="B16" s="11" t="s">
        <v>72</v>
      </c>
      <c r="C16" s="11">
        <v>7455830</v>
      </c>
      <c r="D16" s="11">
        <v>10240368</v>
      </c>
      <c r="E16" s="11">
        <v>14082370</v>
      </c>
      <c r="F16" s="11">
        <v>26395550</v>
      </c>
      <c r="G16" s="11">
        <v>46833233</v>
      </c>
      <c r="H16" s="11">
        <v>63292129</v>
      </c>
      <c r="I16" s="11">
        <f>I14+I15</f>
        <v>74768900.846055254</v>
      </c>
      <c r="J16" s="10"/>
    </row>
    <row r="17" spans="1:10" x14ac:dyDescent="0.45">
      <c r="A17" s="4" t="s">
        <v>232</v>
      </c>
      <c r="B17" s="5" t="s">
        <v>106</v>
      </c>
      <c r="C17" s="5">
        <f>C11/'تولید فروش'!C$7*1000000</f>
        <v>92851.868509779568</v>
      </c>
      <c r="D17" s="5">
        <f>D11/'تولید فروش'!D$7*1000000</f>
        <v>130686.68699544253</v>
      </c>
      <c r="E17" s="5">
        <f>E11/'تولید فروش'!E$7*1000000</f>
        <v>185699.88521218268</v>
      </c>
      <c r="F17" s="5">
        <f>F11/'تولید فروش'!F$7*1000000</f>
        <v>323095.53187512502</v>
      </c>
      <c r="G17" s="19">
        <f>G11/'تولید فروش'!G$7*1000000</f>
        <v>535776.58286968723</v>
      </c>
      <c r="H17" s="5">
        <f>H11/'تولید فروش'!H$7*1000000</f>
        <v>727512.50721926673</v>
      </c>
      <c r="I17" s="19">
        <f>I11/'تولید فروش'!L7*1000000</f>
        <v>881994.15413024696</v>
      </c>
      <c r="J17" s="46"/>
    </row>
    <row r="18" spans="1:10" x14ac:dyDescent="0.45">
      <c r="A18" s="10" t="s">
        <v>233</v>
      </c>
      <c r="B18" s="10"/>
      <c r="C18" s="10"/>
      <c r="D18" s="12">
        <f>D17/C17-1</f>
        <v>0.4074750362366486</v>
      </c>
      <c r="E18" s="12">
        <f>E17/D17-1</f>
        <v>0.42095487674776422</v>
      </c>
      <c r="F18" s="12">
        <f t="shared" ref="F18:H18" si="0">F17/E17-1</f>
        <v>0.73988008396425564</v>
      </c>
      <c r="G18" s="12">
        <f t="shared" si="0"/>
        <v>0.65826057624579737</v>
      </c>
      <c r="H18" s="12">
        <f t="shared" si="0"/>
        <v>0.35786544332082904</v>
      </c>
      <c r="I18" s="12">
        <f>I17/G17-1</f>
        <v>0.64619765463838408</v>
      </c>
      <c r="J18" s="10"/>
    </row>
    <row r="19" spans="1:10" x14ac:dyDescent="0.45">
      <c r="A19" s="4" t="s">
        <v>237</v>
      </c>
      <c r="B19" s="4"/>
      <c r="C19" s="9">
        <f>C9/C6</f>
        <v>-2.3509373674327792E-2</v>
      </c>
      <c r="D19" s="9">
        <f t="shared" ref="D19:F19" si="1">D9/D6</f>
        <v>1.5245941474372807E-3</v>
      </c>
      <c r="E19" s="9">
        <f t="shared" si="1"/>
        <v>-7.2324937611257427E-3</v>
      </c>
      <c r="F19" s="9">
        <f t="shared" si="1"/>
        <v>-1.8629504752396834E-2</v>
      </c>
      <c r="G19" s="9">
        <f>G9/G6</f>
        <v>-5.3732079812459877E-3</v>
      </c>
      <c r="H19" s="9">
        <f>H9/H6</f>
        <v>-7.0463161108241992E-3</v>
      </c>
      <c r="I19" s="8">
        <f>AVERAGE(F19:G19)</f>
        <v>-1.2001356366821411E-2</v>
      </c>
      <c r="J19" s="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rightToLeft="1" topLeftCell="A61" workbookViewId="0">
      <selection activeCell="K65" sqref="K65"/>
    </sheetView>
  </sheetViews>
  <sheetFormatPr defaultRowHeight="18" x14ac:dyDescent="0.45"/>
  <cols>
    <col min="1" max="1" width="27.85546875" style="1" bestFit="1" customWidth="1"/>
    <col min="2" max="2" width="9.140625" style="1"/>
    <col min="3" max="3" width="14.5703125" style="1" bestFit="1" customWidth="1"/>
    <col min="4" max="6" width="13.85546875" style="1" bestFit="1" customWidth="1"/>
    <col min="7" max="7" width="14" style="1" bestFit="1" customWidth="1"/>
    <col min="8" max="9" width="14.5703125" style="1" bestFit="1" customWidth="1"/>
    <col min="10" max="10" width="9.140625" style="1"/>
    <col min="11" max="11" width="13.7109375" style="1" bestFit="1" customWidth="1"/>
    <col min="12" max="12" width="14.42578125" style="1" bestFit="1" customWidth="1"/>
    <col min="13" max="16384" width="9.140625" style="1"/>
  </cols>
  <sheetData>
    <row r="1" spans="1:9" x14ac:dyDescent="0.45">
      <c r="A1" s="16" t="s">
        <v>99</v>
      </c>
    </row>
    <row r="2" spans="1:9" x14ac:dyDescent="0.45">
      <c r="A2" s="3" t="s">
        <v>16</v>
      </c>
      <c r="B2" s="3" t="s">
        <v>69</v>
      </c>
      <c r="C2" s="3" t="s">
        <v>12</v>
      </c>
      <c r="D2" s="3" t="s">
        <v>13</v>
      </c>
      <c r="E2" s="3" t="s">
        <v>14</v>
      </c>
      <c r="F2" s="3" t="s">
        <v>15</v>
      </c>
      <c r="G2" s="6" t="s">
        <v>20</v>
      </c>
      <c r="H2" s="7" t="s">
        <v>21</v>
      </c>
      <c r="I2" s="7" t="s">
        <v>22</v>
      </c>
    </row>
    <row r="3" spans="1:9" x14ac:dyDescent="0.45">
      <c r="A3" s="10" t="s">
        <v>94</v>
      </c>
      <c r="B3" s="10"/>
      <c r="C3" s="10"/>
      <c r="D3" s="10"/>
      <c r="E3" s="10"/>
      <c r="F3" s="10"/>
      <c r="G3" s="10"/>
      <c r="H3" s="10"/>
      <c r="I3" s="10"/>
    </row>
    <row r="4" spans="1:9" x14ac:dyDescent="0.45">
      <c r="A4" s="4" t="s">
        <v>85</v>
      </c>
      <c r="B4" s="4" t="s">
        <v>92</v>
      </c>
      <c r="C4" s="5">
        <v>159203</v>
      </c>
      <c r="D4" s="5">
        <v>874234</v>
      </c>
      <c r="E4" s="5">
        <v>788016</v>
      </c>
      <c r="F4" s="5">
        <v>62662</v>
      </c>
      <c r="G4" s="5">
        <v>11606</v>
      </c>
      <c r="H4" s="5">
        <f>H22*H33</f>
        <v>11365.801664577544</v>
      </c>
      <c r="I4" s="5"/>
    </row>
    <row r="5" spans="1:9" x14ac:dyDescent="0.45">
      <c r="A5" s="4" t="s">
        <v>86</v>
      </c>
      <c r="B5" s="4" t="s">
        <v>95</v>
      </c>
      <c r="C5" s="5">
        <v>683960</v>
      </c>
      <c r="D5" s="5">
        <v>464516</v>
      </c>
      <c r="E5" s="5">
        <v>931334</v>
      </c>
      <c r="F5" s="5">
        <v>991734</v>
      </c>
      <c r="G5" s="5">
        <v>1029098</v>
      </c>
      <c r="H5" s="5">
        <f t="shared" ref="H5:H10" si="0">H23*H34</f>
        <v>808318.54976745381</v>
      </c>
      <c r="I5" s="5"/>
    </row>
    <row r="6" spans="1:9" x14ac:dyDescent="0.45">
      <c r="A6" s="4" t="s">
        <v>87</v>
      </c>
      <c r="B6" s="4" t="s">
        <v>92</v>
      </c>
      <c r="C6" s="5">
        <v>3449696</v>
      </c>
      <c r="D6" s="5">
        <v>5592850</v>
      </c>
      <c r="E6" s="5">
        <v>5221597</v>
      </c>
      <c r="F6" s="5">
        <v>5426658</v>
      </c>
      <c r="G6" s="5">
        <v>5412746</v>
      </c>
      <c r="H6" s="5">
        <f t="shared" si="0"/>
        <v>5597918.4367189864</v>
      </c>
      <c r="I6" s="5"/>
    </row>
    <row r="7" spans="1:9" x14ac:dyDescent="0.45">
      <c r="A7" s="4" t="s">
        <v>88</v>
      </c>
      <c r="B7" s="4" t="s">
        <v>92</v>
      </c>
      <c r="C7" s="5">
        <v>6640741</v>
      </c>
      <c r="D7" s="5">
        <v>6362162</v>
      </c>
      <c r="E7" s="5">
        <v>6970252</v>
      </c>
      <c r="F7" s="5">
        <v>6342179</v>
      </c>
      <c r="G7" s="5">
        <v>7098317</v>
      </c>
      <c r="H7" s="5">
        <f t="shared" si="0"/>
        <v>7101498.062044993</v>
      </c>
      <c r="I7" s="5"/>
    </row>
    <row r="8" spans="1:9" x14ac:dyDescent="0.45">
      <c r="A8" s="4" t="s">
        <v>89</v>
      </c>
      <c r="B8" s="4" t="s">
        <v>92</v>
      </c>
      <c r="C8" s="5">
        <v>18197595</v>
      </c>
      <c r="D8" s="5">
        <v>14726723</v>
      </c>
      <c r="E8" s="5">
        <v>21240891</v>
      </c>
      <c r="F8" s="5">
        <v>17274243</v>
      </c>
      <c r="G8" s="5">
        <v>23230391</v>
      </c>
      <c r="H8" s="5">
        <f t="shared" si="0"/>
        <v>23283725.12699363</v>
      </c>
      <c r="I8" s="5"/>
    </row>
    <row r="9" spans="1:9" x14ac:dyDescent="0.45">
      <c r="A9" s="4" t="s">
        <v>90</v>
      </c>
      <c r="B9" s="4" t="s">
        <v>92</v>
      </c>
      <c r="C9" s="5">
        <v>3083817</v>
      </c>
      <c r="D9" s="5">
        <v>3174726</v>
      </c>
      <c r="E9" s="5">
        <v>2640124</v>
      </c>
      <c r="F9" s="5">
        <v>3101570</v>
      </c>
      <c r="G9" s="5">
        <v>2365639</v>
      </c>
      <c r="H9" s="5">
        <f t="shared" si="0"/>
        <v>2339461.1477952236</v>
      </c>
      <c r="I9" s="5"/>
    </row>
    <row r="10" spans="1:9" x14ac:dyDescent="0.45">
      <c r="A10" s="4" t="s">
        <v>91</v>
      </c>
      <c r="B10" s="4" t="s">
        <v>92</v>
      </c>
      <c r="C10" s="5">
        <v>7200</v>
      </c>
      <c r="D10" s="5">
        <v>14400</v>
      </c>
      <c r="E10" s="5">
        <v>29400</v>
      </c>
      <c r="F10" s="5">
        <v>0</v>
      </c>
      <c r="G10" s="5">
        <v>0</v>
      </c>
      <c r="H10" s="5">
        <f t="shared" si="0"/>
        <v>0</v>
      </c>
      <c r="I10" s="5"/>
    </row>
    <row r="11" spans="1:9" x14ac:dyDescent="0.45">
      <c r="A11" s="10" t="s">
        <v>96</v>
      </c>
      <c r="B11" s="10"/>
      <c r="C11" s="11"/>
      <c r="D11" s="11"/>
      <c r="E11" s="11"/>
      <c r="F11" s="11"/>
      <c r="G11" s="11"/>
      <c r="H11" s="11"/>
      <c r="I11" s="11"/>
    </row>
    <row r="12" spans="1:9" x14ac:dyDescent="0.45">
      <c r="A12" s="4" t="s">
        <v>85</v>
      </c>
      <c r="B12" s="4" t="s">
        <v>92</v>
      </c>
      <c r="C12" s="5">
        <v>3835375</v>
      </c>
      <c r="D12" s="5">
        <v>2618266</v>
      </c>
      <c r="E12" s="5">
        <v>3586004</v>
      </c>
      <c r="F12" s="5">
        <v>4241781</v>
      </c>
      <c r="G12" s="5">
        <v>4405549</v>
      </c>
      <c r="H12" s="5">
        <f>H22-H4</f>
        <v>4314371.5455435058</v>
      </c>
      <c r="I12" s="5"/>
    </row>
    <row r="13" spans="1:9" x14ac:dyDescent="0.45">
      <c r="A13" s="4" t="s">
        <v>86</v>
      </c>
      <c r="B13" s="4" t="s">
        <v>95</v>
      </c>
      <c r="C13" s="5">
        <v>250</v>
      </c>
      <c r="D13" s="5">
        <v>0</v>
      </c>
      <c r="E13" s="5">
        <v>0</v>
      </c>
      <c r="F13" s="5">
        <v>0</v>
      </c>
      <c r="G13" s="5">
        <v>0</v>
      </c>
      <c r="H13" s="5">
        <f t="shared" ref="H13:H18" si="1">H23-H5</f>
        <v>0</v>
      </c>
      <c r="I13" s="5"/>
    </row>
    <row r="14" spans="1:9" x14ac:dyDescent="0.45">
      <c r="A14" s="4" t="s">
        <v>87</v>
      </c>
      <c r="B14" s="4" t="s">
        <v>92</v>
      </c>
      <c r="C14" s="5">
        <v>7678356</v>
      </c>
      <c r="D14" s="5">
        <v>6213595</v>
      </c>
      <c r="E14" s="5">
        <v>8837855</v>
      </c>
      <c r="F14" s="5">
        <v>8216839</v>
      </c>
      <c r="G14" s="5">
        <v>8195775</v>
      </c>
      <c r="H14" s="5">
        <f t="shared" si="1"/>
        <v>8476156.090771772</v>
      </c>
      <c r="I14" s="5"/>
    </row>
    <row r="15" spans="1:9" x14ac:dyDescent="0.45">
      <c r="A15" s="4" t="s">
        <v>88</v>
      </c>
      <c r="B15" s="4" t="s">
        <v>92</v>
      </c>
      <c r="C15" s="5">
        <v>2058860</v>
      </c>
      <c r="D15" s="5">
        <v>2756755</v>
      </c>
      <c r="E15" s="5">
        <v>3162567</v>
      </c>
      <c r="F15" s="5">
        <v>4296298</v>
      </c>
      <c r="G15" s="5">
        <v>3553046</v>
      </c>
      <c r="H15" s="5">
        <f t="shared" si="1"/>
        <v>3554638.2731789406</v>
      </c>
      <c r="I15" s="5"/>
    </row>
    <row r="16" spans="1:9" x14ac:dyDescent="0.45">
      <c r="A16" s="4" t="s">
        <v>89</v>
      </c>
      <c r="B16" s="4" t="s">
        <v>92</v>
      </c>
      <c r="C16" s="5">
        <v>2548910</v>
      </c>
      <c r="D16" s="5">
        <v>4974660</v>
      </c>
      <c r="E16" s="5">
        <v>1774080</v>
      </c>
      <c r="F16" s="5">
        <v>5341140</v>
      </c>
      <c r="G16" s="5">
        <v>0</v>
      </c>
      <c r="H16" s="5">
        <f t="shared" si="1"/>
        <v>0</v>
      </c>
      <c r="I16" s="5"/>
    </row>
    <row r="17" spans="1:9" x14ac:dyDescent="0.45">
      <c r="A17" s="4" t="s">
        <v>90</v>
      </c>
      <c r="B17" s="4" t="s">
        <v>92</v>
      </c>
      <c r="C17" s="5">
        <v>14048497</v>
      </c>
      <c r="D17" s="5">
        <v>13944159</v>
      </c>
      <c r="E17" s="5">
        <v>17614064</v>
      </c>
      <c r="F17" s="5">
        <v>16745224</v>
      </c>
      <c r="G17" s="5">
        <v>18247381</v>
      </c>
      <c r="H17" s="5">
        <f t="shared" si="1"/>
        <v>18045457.865091316</v>
      </c>
      <c r="I17" s="5"/>
    </row>
    <row r="18" spans="1:9" x14ac:dyDescent="0.45">
      <c r="A18" s="4" t="s">
        <v>91</v>
      </c>
      <c r="B18" s="4" t="s">
        <v>92</v>
      </c>
      <c r="C18" s="5">
        <v>19034750</v>
      </c>
      <c r="D18" s="5">
        <v>18986530</v>
      </c>
      <c r="E18" s="5">
        <v>21812173</v>
      </c>
      <c r="F18" s="5">
        <v>21482181</v>
      </c>
      <c r="G18" s="5">
        <v>22276456</v>
      </c>
      <c r="H18" s="5">
        <f t="shared" si="1"/>
        <v>22222580.083799493</v>
      </c>
      <c r="I18" s="5"/>
    </row>
    <row r="19" spans="1:9" x14ac:dyDescent="0.45">
      <c r="A19" s="13"/>
      <c r="B19" s="13"/>
      <c r="C19" s="20"/>
      <c r="D19" s="20"/>
      <c r="E19" s="20"/>
      <c r="F19" s="20"/>
      <c r="G19" s="20"/>
      <c r="H19" s="20"/>
      <c r="I19" s="20"/>
    </row>
    <row r="20" spans="1:9" x14ac:dyDescent="0.45">
      <c r="A20" s="21" t="s">
        <v>100</v>
      </c>
      <c r="B20" s="13"/>
      <c r="C20" s="20"/>
      <c r="D20" s="20"/>
      <c r="E20" s="20"/>
      <c r="F20" s="20"/>
      <c r="G20" s="20"/>
      <c r="H20" s="20"/>
      <c r="I20" s="20"/>
    </row>
    <row r="21" spans="1:9" x14ac:dyDescent="0.45">
      <c r="A21" s="3" t="s">
        <v>16</v>
      </c>
      <c r="B21" s="3" t="s">
        <v>69</v>
      </c>
      <c r="C21" s="3" t="s">
        <v>12</v>
      </c>
      <c r="D21" s="3" t="s">
        <v>13</v>
      </c>
      <c r="E21" s="3" t="s">
        <v>14</v>
      </c>
      <c r="F21" s="3" t="s">
        <v>15</v>
      </c>
      <c r="G21" s="6" t="s">
        <v>20</v>
      </c>
      <c r="H21" s="7" t="s">
        <v>21</v>
      </c>
      <c r="I21" s="7" t="s">
        <v>22</v>
      </c>
    </row>
    <row r="22" spans="1:9" s="23" customFormat="1" x14ac:dyDescent="0.45">
      <c r="A22" s="4" t="s">
        <v>85</v>
      </c>
      <c r="B22" s="4" t="s">
        <v>92</v>
      </c>
      <c r="C22" s="5">
        <f>C4+C12</f>
        <v>3994578</v>
      </c>
      <c r="D22" s="5">
        <f>D4+D12</f>
        <v>3492500</v>
      </c>
      <c r="E22" s="5">
        <f t="shared" ref="E22:G22" si="2">E4+E12</f>
        <v>4374020</v>
      </c>
      <c r="F22" s="5">
        <f t="shared" si="2"/>
        <v>4304443</v>
      </c>
      <c r="G22" s="5">
        <f t="shared" si="2"/>
        <v>4417155</v>
      </c>
      <c r="H22" s="5">
        <f>H62*'تولید فروش'!L$7</f>
        <v>4325737.3472080836</v>
      </c>
      <c r="I22" s="5"/>
    </row>
    <row r="23" spans="1:9" x14ac:dyDescent="0.45">
      <c r="A23" s="4" t="s">
        <v>86</v>
      </c>
      <c r="B23" s="4" t="s">
        <v>95</v>
      </c>
      <c r="C23" s="5">
        <f>C5+C13</f>
        <v>684210</v>
      </c>
      <c r="D23" s="5">
        <f>D5+D13</f>
        <v>464516</v>
      </c>
      <c r="E23" s="5">
        <f t="shared" ref="E23:G23" si="3">E5+E13</f>
        <v>931334</v>
      </c>
      <c r="F23" s="5">
        <f t="shared" si="3"/>
        <v>991734</v>
      </c>
      <c r="G23" s="5">
        <f t="shared" si="3"/>
        <v>1029098</v>
      </c>
      <c r="H23" s="5">
        <f>H63*'تولید فروش'!L$7</f>
        <v>808318.54976745381</v>
      </c>
      <c r="I23" s="5"/>
    </row>
    <row r="24" spans="1:9" x14ac:dyDescent="0.45">
      <c r="A24" s="4" t="s">
        <v>87</v>
      </c>
      <c r="B24" s="4" t="s">
        <v>92</v>
      </c>
      <c r="C24" s="5">
        <f t="shared" ref="C24:G27" si="4">C6+C14</f>
        <v>11128052</v>
      </c>
      <c r="D24" s="5">
        <f t="shared" si="4"/>
        <v>11806445</v>
      </c>
      <c r="E24" s="5">
        <f t="shared" si="4"/>
        <v>14059452</v>
      </c>
      <c r="F24" s="5">
        <f t="shared" si="4"/>
        <v>13643497</v>
      </c>
      <c r="G24" s="5">
        <f t="shared" si="4"/>
        <v>13608521</v>
      </c>
      <c r="H24" s="5">
        <f>H64*'تولید فروش'!L$7</f>
        <v>14074074.527490759</v>
      </c>
      <c r="I24" s="5"/>
    </row>
    <row r="25" spans="1:9" x14ac:dyDescent="0.45">
      <c r="A25" s="4" t="s">
        <v>88</v>
      </c>
      <c r="B25" s="4" t="s">
        <v>92</v>
      </c>
      <c r="C25" s="5">
        <f t="shared" si="4"/>
        <v>8699601</v>
      </c>
      <c r="D25" s="5">
        <f t="shared" si="4"/>
        <v>9118917</v>
      </c>
      <c r="E25" s="5">
        <f t="shared" si="4"/>
        <v>10132819</v>
      </c>
      <c r="F25" s="5">
        <f t="shared" si="4"/>
        <v>10638477</v>
      </c>
      <c r="G25" s="5">
        <f t="shared" si="4"/>
        <v>10651363</v>
      </c>
      <c r="H25" s="5">
        <f>H65*'تولید فروش'!L$7</f>
        <v>10656136.335223934</v>
      </c>
      <c r="I25" s="5"/>
    </row>
    <row r="26" spans="1:9" x14ac:dyDescent="0.45">
      <c r="A26" s="4" t="s">
        <v>89</v>
      </c>
      <c r="B26" s="4" t="s">
        <v>92</v>
      </c>
      <c r="C26" s="5">
        <f t="shared" si="4"/>
        <v>20746505</v>
      </c>
      <c r="D26" s="5">
        <f t="shared" si="4"/>
        <v>19701383</v>
      </c>
      <c r="E26" s="5">
        <f t="shared" si="4"/>
        <v>23014971</v>
      </c>
      <c r="F26" s="5">
        <f t="shared" si="4"/>
        <v>22615383</v>
      </c>
      <c r="G26" s="5">
        <f t="shared" si="4"/>
        <v>23230391</v>
      </c>
      <c r="H26" s="5">
        <f>H66*'تولید فروش'!L$7</f>
        <v>23283725.12699363</v>
      </c>
      <c r="I26" s="5"/>
    </row>
    <row r="27" spans="1:9" x14ac:dyDescent="0.45">
      <c r="A27" s="4" t="s">
        <v>90</v>
      </c>
      <c r="B27" s="4" t="s">
        <v>92</v>
      </c>
      <c r="C27" s="5">
        <f t="shared" si="4"/>
        <v>17132314</v>
      </c>
      <c r="D27" s="5">
        <f t="shared" si="4"/>
        <v>17118885</v>
      </c>
      <c r="E27" s="5">
        <f t="shared" si="4"/>
        <v>20254188</v>
      </c>
      <c r="F27" s="5">
        <f t="shared" si="4"/>
        <v>19846794</v>
      </c>
      <c r="G27" s="5">
        <f t="shared" si="4"/>
        <v>20613020</v>
      </c>
      <c r="H27" s="5">
        <f>H67*'تولید فروش'!L$7</f>
        <v>20384919.012886539</v>
      </c>
      <c r="I27" s="5"/>
    </row>
    <row r="28" spans="1:9" x14ac:dyDescent="0.45">
      <c r="A28" s="4" t="s">
        <v>91</v>
      </c>
      <c r="B28" s="4" t="s">
        <v>92</v>
      </c>
      <c r="C28" s="5">
        <f>C10+C18</f>
        <v>19041950</v>
      </c>
      <c r="D28" s="5">
        <f>D10+D18</f>
        <v>19000930</v>
      </c>
      <c r="E28" s="5">
        <f>E10+E18</f>
        <v>21841573</v>
      </c>
      <c r="F28" s="5">
        <f>F10+F18</f>
        <v>21482181</v>
      </c>
      <c r="G28" s="5">
        <f>G10+G18</f>
        <v>22276456</v>
      </c>
      <c r="H28" s="5">
        <f>H68*'تولید فروش'!L$7</f>
        <v>22222580.083799493</v>
      </c>
      <c r="I28" s="5"/>
    </row>
    <row r="29" spans="1:9" x14ac:dyDescent="0.45">
      <c r="A29" s="4" t="s">
        <v>102</v>
      </c>
      <c r="B29" s="4"/>
      <c r="C29" s="5">
        <f>SUM(C22:C28)</f>
        <v>81427210</v>
      </c>
      <c r="D29" s="5">
        <f t="shared" ref="D29:G29" si="5">SUM(D22:D28)</f>
        <v>80703576</v>
      </c>
      <c r="E29" s="5">
        <f t="shared" si="5"/>
        <v>94608357</v>
      </c>
      <c r="F29" s="5">
        <f t="shared" si="5"/>
        <v>93522509</v>
      </c>
      <c r="G29" s="5">
        <f t="shared" si="5"/>
        <v>95826004</v>
      </c>
      <c r="H29" s="5">
        <f>SUM(H22:H28)</f>
        <v>95755490.983369902</v>
      </c>
      <c r="I29" s="5"/>
    </row>
    <row r="30" spans="1:9" x14ac:dyDescent="0.45">
      <c r="A30" s="13"/>
      <c r="B30" s="13"/>
      <c r="C30" s="20"/>
      <c r="D30" s="20"/>
      <c r="E30" s="20"/>
      <c r="F30" s="20"/>
      <c r="G30" s="20"/>
      <c r="H30" s="20"/>
      <c r="I30" s="20"/>
    </row>
    <row r="31" spans="1:9" x14ac:dyDescent="0.45">
      <c r="A31" s="21" t="s">
        <v>101</v>
      </c>
      <c r="B31" s="13"/>
      <c r="C31" s="20"/>
      <c r="D31" s="20"/>
      <c r="E31" s="20"/>
      <c r="F31" s="20"/>
      <c r="G31" s="20"/>
      <c r="H31" s="20"/>
      <c r="I31" s="20"/>
    </row>
    <row r="32" spans="1:9" x14ac:dyDescent="0.45">
      <c r="A32" s="3" t="s">
        <v>16</v>
      </c>
      <c r="B32" s="3" t="s">
        <v>69</v>
      </c>
      <c r="C32" s="3" t="s">
        <v>12</v>
      </c>
      <c r="D32" s="3" t="s">
        <v>13</v>
      </c>
      <c r="E32" s="3" t="s">
        <v>14</v>
      </c>
      <c r="F32" s="3" t="s">
        <v>15</v>
      </c>
      <c r="G32" s="6" t="s">
        <v>20</v>
      </c>
      <c r="H32" s="7" t="s">
        <v>21</v>
      </c>
      <c r="I32" s="7" t="s">
        <v>22</v>
      </c>
    </row>
    <row r="33" spans="1:12" x14ac:dyDescent="0.45">
      <c r="A33" s="4" t="s">
        <v>85</v>
      </c>
      <c r="B33" s="4"/>
      <c r="C33" s="9">
        <f t="shared" ref="C33:C39" si="6">C4/C22</f>
        <v>3.9854773144998044E-2</v>
      </c>
      <c r="D33" s="9">
        <f t="shared" ref="D33:F33" si="7">D4/D22</f>
        <v>0.25031753758052971</v>
      </c>
      <c r="E33" s="9">
        <f t="shared" si="7"/>
        <v>0.18015829831596564</v>
      </c>
      <c r="F33" s="9">
        <f t="shared" si="7"/>
        <v>1.455751650097353E-2</v>
      </c>
      <c r="G33" s="9">
        <f t="shared" ref="G33:G39" si="8">G4/G22</f>
        <v>2.6274830745128936E-3</v>
      </c>
      <c r="H33" s="9">
        <f>G33</f>
        <v>2.6274830745128936E-3</v>
      </c>
      <c r="I33" s="5"/>
    </row>
    <row r="34" spans="1:12" x14ac:dyDescent="0.45">
      <c r="A34" s="24" t="s">
        <v>86</v>
      </c>
      <c r="B34" s="24"/>
      <c r="C34" s="25">
        <f t="shared" si="6"/>
        <v>0.99963461510355012</v>
      </c>
      <c r="D34" s="25">
        <f t="shared" ref="D34:F39" si="9">D5/D23</f>
        <v>1</v>
      </c>
      <c r="E34" s="25">
        <f t="shared" si="9"/>
        <v>1</v>
      </c>
      <c r="F34" s="25">
        <f t="shared" si="9"/>
        <v>1</v>
      </c>
      <c r="G34" s="25">
        <f t="shared" si="8"/>
        <v>1</v>
      </c>
      <c r="H34" s="25">
        <f t="shared" ref="H34:H38" si="10">G34</f>
        <v>1</v>
      </c>
      <c r="I34" s="26"/>
    </row>
    <row r="35" spans="1:12" x14ac:dyDescent="0.45">
      <c r="A35" s="4" t="s">
        <v>87</v>
      </c>
      <c r="B35" s="4"/>
      <c r="C35" s="9">
        <f t="shared" si="6"/>
        <v>0.30999998921644145</v>
      </c>
      <c r="D35" s="9">
        <f t="shared" si="9"/>
        <v>0.47371160412808427</v>
      </c>
      <c r="E35" s="9">
        <f t="shared" si="9"/>
        <v>0.3713940628695912</v>
      </c>
      <c r="F35" s="9">
        <f t="shared" si="9"/>
        <v>0.39774685331773812</v>
      </c>
      <c r="G35" s="9">
        <f t="shared" si="8"/>
        <v>0.39774682347920098</v>
      </c>
      <c r="H35" s="9">
        <f t="shared" si="10"/>
        <v>0.39774682347920098</v>
      </c>
      <c r="I35" s="5"/>
    </row>
    <row r="36" spans="1:12" x14ac:dyDescent="0.45">
      <c r="A36" s="4" t="s">
        <v>88</v>
      </c>
      <c r="B36" s="4"/>
      <c r="C36" s="9">
        <f t="shared" si="6"/>
        <v>0.76333857150460116</v>
      </c>
      <c r="D36" s="9">
        <f t="shared" si="9"/>
        <v>0.69768833294567767</v>
      </c>
      <c r="E36" s="9">
        <f t="shared" si="9"/>
        <v>0.68788873066813883</v>
      </c>
      <c r="F36" s="9">
        <f t="shared" si="9"/>
        <v>0.59615478794568055</v>
      </c>
      <c r="G36" s="9">
        <f t="shared" si="8"/>
        <v>0.66642334882399556</v>
      </c>
      <c r="H36" s="9">
        <f t="shared" si="10"/>
        <v>0.66642334882399556</v>
      </c>
      <c r="I36" s="5"/>
    </row>
    <row r="37" spans="1:12" x14ac:dyDescent="0.45">
      <c r="A37" s="24" t="s">
        <v>89</v>
      </c>
      <c r="B37" s="24"/>
      <c r="C37" s="25">
        <f t="shared" si="6"/>
        <v>0.87714027013224638</v>
      </c>
      <c r="D37" s="25">
        <f t="shared" si="9"/>
        <v>0.74749691430291976</v>
      </c>
      <c r="E37" s="25">
        <f t="shared" si="9"/>
        <v>0.92291626176717756</v>
      </c>
      <c r="F37" s="25">
        <f t="shared" si="9"/>
        <v>0.7638271259876519</v>
      </c>
      <c r="G37" s="25">
        <f t="shared" si="8"/>
        <v>1</v>
      </c>
      <c r="H37" s="25">
        <f t="shared" si="10"/>
        <v>1</v>
      </c>
      <c r="I37" s="26"/>
    </row>
    <row r="38" spans="1:12" x14ac:dyDescent="0.45">
      <c r="A38" s="4" t="s">
        <v>90</v>
      </c>
      <c r="B38" s="4"/>
      <c r="C38" s="9">
        <f t="shared" si="6"/>
        <v>0.18000002801723106</v>
      </c>
      <c r="D38" s="9">
        <f t="shared" si="9"/>
        <v>0.18545168099441056</v>
      </c>
      <c r="E38" s="9">
        <f t="shared" si="9"/>
        <v>0.13034953561209167</v>
      </c>
      <c r="F38" s="9">
        <f t="shared" si="9"/>
        <v>0.15627561811746521</v>
      </c>
      <c r="G38" s="9">
        <f t="shared" si="8"/>
        <v>0.11476430915993872</v>
      </c>
      <c r="H38" s="9">
        <f t="shared" si="10"/>
        <v>0.11476430915993872</v>
      </c>
      <c r="I38" s="5"/>
    </row>
    <row r="39" spans="1:12" x14ac:dyDescent="0.45">
      <c r="A39" s="4" t="s">
        <v>91</v>
      </c>
      <c r="B39" s="4"/>
      <c r="C39" s="9">
        <f t="shared" si="6"/>
        <v>3.7811253574345063E-4</v>
      </c>
      <c r="D39" s="9">
        <f t="shared" si="9"/>
        <v>7.5785764170490603E-4</v>
      </c>
      <c r="E39" s="9">
        <f t="shared" si="9"/>
        <v>1.3460568980082157E-3</v>
      </c>
      <c r="F39" s="9">
        <f t="shared" si="9"/>
        <v>0</v>
      </c>
      <c r="G39" s="9">
        <f t="shared" si="8"/>
        <v>0</v>
      </c>
      <c r="H39" s="9">
        <f>G39</f>
        <v>0</v>
      </c>
      <c r="I39" s="5"/>
    </row>
    <row r="40" spans="1:12" x14ac:dyDescent="0.45">
      <c r="A40" s="22"/>
      <c r="B40" s="22"/>
      <c r="C40" s="22"/>
      <c r="D40" s="22"/>
      <c r="E40" s="22"/>
      <c r="F40" s="22"/>
      <c r="G40" s="22"/>
      <c r="H40" s="22"/>
      <c r="I40" s="22"/>
    </row>
    <row r="41" spans="1:12" x14ac:dyDescent="0.45">
      <c r="A41" s="16" t="s">
        <v>93</v>
      </c>
    </row>
    <row r="42" spans="1:12" x14ac:dyDescent="0.45">
      <c r="A42" s="3" t="s">
        <v>16</v>
      </c>
      <c r="B42" s="3" t="s">
        <v>69</v>
      </c>
      <c r="C42" s="3" t="s">
        <v>12</v>
      </c>
      <c r="D42" s="3" t="s">
        <v>13</v>
      </c>
      <c r="E42" s="3" t="s">
        <v>14</v>
      </c>
      <c r="F42" s="3" t="s">
        <v>15</v>
      </c>
      <c r="G42" s="6" t="s">
        <v>20</v>
      </c>
      <c r="H42" s="7" t="s">
        <v>21</v>
      </c>
      <c r="I42" s="7" t="s">
        <v>22</v>
      </c>
    </row>
    <row r="43" spans="1:12" x14ac:dyDescent="0.45">
      <c r="A43" s="10" t="s">
        <v>97</v>
      </c>
      <c r="B43" s="10"/>
      <c r="C43" s="10"/>
      <c r="D43" s="10"/>
      <c r="E43" s="10"/>
      <c r="F43" s="10"/>
      <c r="G43" s="10"/>
      <c r="H43" s="10"/>
      <c r="I43" s="10"/>
    </row>
    <row r="44" spans="1:12" x14ac:dyDescent="0.45">
      <c r="A44" s="4" t="s">
        <v>85</v>
      </c>
      <c r="B44" s="4" t="s">
        <v>106</v>
      </c>
      <c r="C44" s="5">
        <v>184350</v>
      </c>
      <c r="D44" s="5">
        <v>0</v>
      </c>
      <c r="E44" s="5">
        <v>515280</v>
      </c>
      <c r="F44" s="5">
        <v>1878906</v>
      </c>
      <c r="G44" s="5">
        <v>1632432</v>
      </c>
      <c r="H44" s="35">
        <f>F44*پنل!E2/پنل!C2</f>
        <v>3144612.5523012551</v>
      </c>
      <c r="I44" s="5"/>
    </row>
    <row r="45" spans="1:12" x14ac:dyDescent="0.45">
      <c r="A45" s="4" t="s">
        <v>86</v>
      </c>
      <c r="B45" s="4" t="s">
        <v>106</v>
      </c>
      <c r="C45" s="5">
        <v>28556</v>
      </c>
      <c r="D45" s="5">
        <v>77135</v>
      </c>
      <c r="E45" s="5">
        <v>95399</v>
      </c>
      <c r="F45" s="5">
        <v>170610</v>
      </c>
      <c r="G45" s="5">
        <v>207430</v>
      </c>
      <c r="H45" s="35">
        <f>F45*پنل!E2/پنل!C2</f>
        <v>285539.74895397492</v>
      </c>
      <c r="I45" s="5"/>
    </row>
    <row r="46" spans="1:12" x14ac:dyDescent="0.45">
      <c r="A46" s="4" t="s">
        <v>87</v>
      </c>
      <c r="B46" s="4" t="s">
        <v>106</v>
      </c>
      <c r="C46" s="5">
        <v>162982</v>
      </c>
      <c r="D46" s="5">
        <v>154578</v>
      </c>
      <c r="E46" s="5">
        <v>516551</v>
      </c>
      <c r="F46" s="5">
        <v>636968</v>
      </c>
      <c r="G46" s="5">
        <v>1024802</v>
      </c>
      <c r="H46" s="35">
        <f>F46*پنل!E2/پنل!C2</f>
        <v>1066055.2301255229</v>
      </c>
      <c r="I46" s="5"/>
      <c r="K46" s="41" t="s">
        <v>152</v>
      </c>
      <c r="L46" s="40"/>
    </row>
    <row r="47" spans="1:12" x14ac:dyDescent="0.45">
      <c r="A47" s="4" t="s">
        <v>88</v>
      </c>
      <c r="B47" s="4" t="s">
        <v>106</v>
      </c>
      <c r="C47" s="5">
        <v>551750</v>
      </c>
      <c r="D47" s="5">
        <v>105698</v>
      </c>
      <c r="E47" s="5">
        <v>196079</v>
      </c>
      <c r="F47" s="5">
        <v>421298</v>
      </c>
      <c r="G47" s="5">
        <v>689493</v>
      </c>
      <c r="H47" s="35">
        <f>F47*پنل!E2/پنل!C2</f>
        <v>705101.25523012551</v>
      </c>
      <c r="I47" s="5"/>
      <c r="K47" s="4" t="s">
        <v>133</v>
      </c>
      <c r="L47" s="4">
        <f>AVERAGE('قیمت مواد اولیه'!B2:B13)</f>
        <v>171.15583333333333</v>
      </c>
    </row>
    <row r="48" spans="1:12" x14ac:dyDescent="0.45">
      <c r="A48" s="4" t="s">
        <v>89</v>
      </c>
      <c r="B48" s="4" t="s">
        <v>106</v>
      </c>
      <c r="C48" s="5">
        <v>73928</v>
      </c>
      <c r="D48" s="5">
        <v>95547</v>
      </c>
      <c r="E48" s="5">
        <v>297925</v>
      </c>
      <c r="F48" s="5">
        <v>457121</v>
      </c>
      <c r="G48" s="5">
        <v>621667</v>
      </c>
      <c r="H48" s="35">
        <f>F48*L49*(پنل!E2/پنل!C2)</f>
        <v>730745.56320079335</v>
      </c>
      <c r="I48" s="5"/>
      <c r="K48" s="4" t="s">
        <v>134</v>
      </c>
      <c r="L48" s="4">
        <f>AVERAGE('قیمت مواد اولیه'!B16:B17)</f>
        <v>163.48000000000002</v>
      </c>
    </row>
    <row r="49" spans="1:12" x14ac:dyDescent="0.45">
      <c r="A49" s="4" t="s">
        <v>90</v>
      </c>
      <c r="B49" s="4" t="s">
        <v>106</v>
      </c>
      <c r="C49" s="5">
        <v>100907</v>
      </c>
      <c r="D49" s="5">
        <v>189471</v>
      </c>
      <c r="E49" s="5">
        <v>451080</v>
      </c>
      <c r="F49" s="5">
        <v>612416</v>
      </c>
      <c r="G49" s="5">
        <v>939892</v>
      </c>
      <c r="H49" s="45">
        <f>F49*پنل!E2/پنل!C2</f>
        <v>1024964.0167364017</v>
      </c>
      <c r="I49" s="5"/>
      <c r="K49" s="4" t="s">
        <v>135</v>
      </c>
      <c r="L49" s="4">
        <f>L48/L47</f>
        <v>0.95515295515295529</v>
      </c>
    </row>
    <row r="50" spans="1:12" x14ac:dyDescent="0.45">
      <c r="A50" s="4" t="s">
        <v>91</v>
      </c>
      <c r="B50" s="4" t="s">
        <v>106</v>
      </c>
      <c r="C50" s="5">
        <v>206250</v>
      </c>
      <c r="D50" s="5">
        <v>0</v>
      </c>
      <c r="E50" s="5">
        <v>677552</v>
      </c>
      <c r="F50" s="5">
        <v>0</v>
      </c>
      <c r="G50" s="5">
        <v>0</v>
      </c>
      <c r="H50" s="5">
        <v>0</v>
      </c>
      <c r="I50" s="5"/>
      <c r="K50" s="41" t="s">
        <v>216</v>
      </c>
      <c r="L50" s="40"/>
    </row>
    <row r="51" spans="1:12" x14ac:dyDescent="0.45">
      <c r="A51" s="10" t="s">
        <v>98</v>
      </c>
      <c r="B51" s="10"/>
      <c r="C51" s="10"/>
      <c r="D51" s="11"/>
      <c r="E51" s="11"/>
      <c r="F51" s="11"/>
      <c r="G51" s="11"/>
      <c r="H51" s="11"/>
      <c r="I51" s="11"/>
      <c r="K51" s="4" t="s">
        <v>133</v>
      </c>
      <c r="L51" s="42">
        <f>AVERAGE('قیمت مواد اولیه'!B36:B121)</f>
        <v>436346.02325581393</v>
      </c>
    </row>
    <row r="52" spans="1:12" x14ac:dyDescent="0.45">
      <c r="A52" s="4" t="s">
        <v>85</v>
      </c>
      <c r="B52" s="4" t="s">
        <v>106</v>
      </c>
      <c r="C52" s="5">
        <v>252863</v>
      </c>
      <c r="D52" s="5">
        <v>632658</v>
      </c>
      <c r="E52" s="5">
        <v>823867</v>
      </c>
      <c r="F52" s="5">
        <v>1348995</v>
      </c>
      <c r="G52" s="5">
        <v>1690581</v>
      </c>
      <c r="H52" s="35">
        <f>F52*(1+پنل!E5)</f>
        <v>1753693.5</v>
      </c>
      <c r="I52" s="5"/>
      <c r="K52" s="4" t="s">
        <v>134</v>
      </c>
      <c r="L52" s="42">
        <f>AVERAGE('قیمت مواد اولیه'!E36:E59)</f>
        <v>518341.04166666669</v>
      </c>
    </row>
    <row r="53" spans="1:12" x14ac:dyDescent="0.45">
      <c r="A53" s="4" t="s">
        <v>86</v>
      </c>
      <c r="B53" s="4" t="s">
        <v>106</v>
      </c>
      <c r="C53" s="5">
        <v>112000</v>
      </c>
      <c r="D53" s="5">
        <v>0</v>
      </c>
      <c r="E53" s="5">
        <v>0</v>
      </c>
      <c r="F53" s="5">
        <v>0</v>
      </c>
      <c r="G53" s="5">
        <v>0</v>
      </c>
      <c r="H53" s="35">
        <v>0</v>
      </c>
      <c r="I53" s="5"/>
      <c r="K53" s="4" t="s">
        <v>135</v>
      </c>
      <c r="L53" s="44">
        <f>L52/L51</f>
        <v>1.1879128353205641</v>
      </c>
    </row>
    <row r="54" spans="1:12" x14ac:dyDescent="0.45">
      <c r="A54" s="4" t="s">
        <v>87</v>
      </c>
      <c r="B54" s="4" t="s">
        <v>106</v>
      </c>
      <c r="C54" s="5">
        <v>70557</v>
      </c>
      <c r="D54" s="5">
        <v>119100</v>
      </c>
      <c r="E54" s="5">
        <v>1595641</v>
      </c>
      <c r="F54" s="5">
        <v>290033</v>
      </c>
      <c r="G54" s="5">
        <v>433845</v>
      </c>
      <c r="H54" s="35">
        <f>F54*(1+پنل!E5)</f>
        <v>377042.9</v>
      </c>
      <c r="I54" s="5"/>
    </row>
    <row r="55" spans="1:12" x14ac:dyDescent="0.45">
      <c r="A55" s="4" t="s">
        <v>88</v>
      </c>
      <c r="B55" s="4" t="s">
        <v>106</v>
      </c>
      <c r="C55" s="5">
        <v>67931</v>
      </c>
      <c r="D55" s="5">
        <v>105091</v>
      </c>
      <c r="E55" s="5">
        <v>202792</v>
      </c>
      <c r="F55" s="5">
        <v>298703</v>
      </c>
      <c r="G55" s="5">
        <v>385582</v>
      </c>
      <c r="H55" s="35">
        <f>F55*(1+پنل!E5)</f>
        <v>388313.9</v>
      </c>
      <c r="I55" s="5"/>
      <c r="K55" s="41" t="s">
        <v>169</v>
      </c>
      <c r="L55" s="41"/>
    </row>
    <row r="56" spans="1:12" x14ac:dyDescent="0.45">
      <c r="A56" s="4" t="s">
        <v>89</v>
      </c>
      <c r="B56" s="4" t="s">
        <v>106</v>
      </c>
      <c r="C56" s="5">
        <v>98713</v>
      </c>
      <c r="D56" s="5">
        <v>111109</v>
      </c>
      <c r="E56" s="5">
        <v>354287</v>
      </c>
      <c r="F56" s="5">
        <v>522990</v>
      </c>
      <c r="G56" s="5">
        <v>0</v>
      </c>
      <c r="H56" s="35">
        <v>0</v>
      </c>
      <c r="I56" s="5"/>
      <c r="K56" s="4" t="s">
        <v>170</v>
      </c>
      <c r="L56" s="5">
        <f>AVERAGE('قیمت مواد اولیه'!B19:B30)/1000</f>
        <v>253306.57874999999</v>
      </c>
    </row>
    <row r="57" spans="1:12" x14ac:dyDescent="0.45">
      <c r="A57" s="4" t="s">
        <v>90</v>
      </c>
      <c r="B57" s="4" t="s">
        <v>106</v>
      </c>
      <c r="C57" s="5">
        <v>100907</v>
      </c>
      <c r="D57" s="5">
        <v>139809</v>
      </c>
      <c r="E57" s="5">
        <v>250907</v>
      </c>
      <c r="F57" s="5">
        <v>418604</v>
      </c>
      <c r="G57" s="5">
        <v>447998</v>
      </c>
      <c r="H57" s="35">
        <f>F57*L58*(1+پنل!E5)</f>
        <v>820797.49956894224</v>
      </c>
      <c r="I57" s="5"/>
      <c r="K57" s="4" t="s">
        <v>134</v>
      </c>
      <c r="L57" s="5">
        <f>AVERAGE('قیمت مواد اولیه'!B31:B33)/1000</f>
        <v>382063.69166666671</v>
      </c>
    </row>
    <row r="58" spans="1:12" x14ac:dyDescent="0.45">
      <c r="A58" s="4" t="s">
        <v>91</v>
      </c>
      <c r="B58" s="4" t="s">
        <v>106</v>
      </c>
      <c r="C58" s="5">
        <v>74601</v>
      </c>
      <c r="D58" s="5">
        <v>106737</v>
      </c>
      <c r="E58" s="5">
        <v>135799</v>
      </c>
      <c r="F58" s="5">
        <v>261502</v>
      </c>
      <c r="G58" s="5">
        <v>329292</v>
      </c>
      <c r="H58" s="35">
        <f>F58*L58*(1+پنل!E5)</f>
        <v>512752.35719744087</v>
      </c>
      <c r="I58" s="5"/>
      <c r="K58" s="4" t="s">
        <v>171</v>
      </c>
      <c r="L58" s="36">
        <f>L57/L56</f>
        <v>1.5083054437513961</v>
      </c>
    </row>
    <row r="59" spans="1:12" x14ac:dyDescent="0.45">
      <c r="G59" s="1" t="s">
        <v>172</v>
      </c>
    </row>
    <row r="60" spans="1:12" x14ac:dyDescent="0.45">
      <c r="A60" s="21" t="s">
        <v>105</v>
      </c>
      <c r="B60" s="13"/>
      <c r="C60" s="20"/>
      <c r="D60" s="20"/>
      <c r="E60" s="20"/>
      <c r="F60" s="20"/>
      <c r="G60" s="20"/>
      <c r="H60" s="20"/>
      <c r="I60" s="20"/>
    </row>
    <row r="61" spans="1:12" x14ac:dyDescent="0.45">
      <c r="A61" s="3" t="s">
        <v>16</v>
      </c>
      <c r="B61" s="3" t="s">
        <v>69</v>
      </c>
      <c r="C61" s="3" t="s">
        <v>12</v>
      </c>
      <c r="D61" s="3" t="s">
        <v>13</v>
      </c>
      <c r="E61" s="3" t="s">
        <v>14</v>
      </c>
      <c r="F61" s="3" t="s">
        <v>15</v>
      </c>
      <c r="G61" s="6" t="s">
        <v>20</v>
      </c>
      <c r="H61" s="7" t="s">
        <v>21</v>
      </c>
      <c r="I61" s="7" t="s">
        <v>22</v>
      </c>
    </row>
    <row r="62" spans="1:12" x14ac:dyDescent="0.45">
      <c r="A62" s="4" t="s">
        <v>85</v>
      </c>
      <c r="B62" s="4"/>
      <c r="C62" s="9">
        <f>C22/'تولید فروش'!C$7</f>
        <v>4.8445936960629543E-2</v>
      </c>
      <c r="D62" s="9">
        <f>D22/'تولید فروش'!D$7</f>
        <v>4.5255059784557926E-2</v>
      </c>
      <c r="E62" s="9">
        <f>E22/'تولید فروش'!E$7</f>
        <v>5.6261607199487376E-2</v>
      </c>
      <c r="F62" s="9">
        <f>F22/'تولید فروش'!F$7</f>
        <v>4.7165753753351254E-2</v>
      </c>
      <c r="G62" s="9">
        <f>G22/'تولید فروش'!G$7</f>
        <v>4.9243814022864048E-2</v>
      </c>
      <c r="H62" s="28">
        <f>GEOMEAN(D62:F62)</f>
        <v>4.9336539614727781E-2</v>
      </c>
      <c r="I62" s="28"/>
    </row>
    <row r="63" spans="1:12" x14ac:dyDescent="0.45">
      <c r="A63" s="4" t="s">
        <v>86</v>
      </c>
      <c r="B63" s="4"/>
      <c r="C63" s="9">
        <f>C23/'تولید فروش'!C$7</f>
        <v>8.2980466341707037E-3</v>
      </c>
      <c r="D63" s="9">
        <f>D23/'تولید فروش'!D$7</f>
        <v>6.019097881426975E-3</v>
      </c>
      <c r="E63" s="9">
        <f>E23/'تولید فروش'!E$7</f>
        <v>1.1979448580373975E-2</v>
      </c>
      <c r="F63" s="9">
        <f>F23/'تولید فروش'!F$7</f>
        <v>1.0866883736833326E-2</v>
      </c>
      <c r="G63" s="9">
        <f>G23/'تولید فروش'!G$7</f>
        <v>1.1472703702564511E-2</v>
      </c>
      <c r="H63" s="28">
        <f t="shared" ref="H63:H69" si="11">GEOMEAN(D63:F63)</f>
        <v>9.2191543200514491E-3</v>
      </c>
      <c r="I63" s="28"/>
    </row>
    <row r="64" spans="1:12" x14ac:dyDescent="0.45">
      <c r="A64" s="4" t="s">
        <v>87</v>
      </c>
      <c r="B64" s="4"/>
      <c r="C64" s="9">
        <f>C24/'تولید فروش'!C$7</f>
        <v>0.13496016492520801</v>
      </c>
      <c r="D64" s="9">
        <f>D24/'تولید فروش'!D$7</f>
        <v>0.15298536129365642</v>
      </c>
      <c r="E64" s="9">
        <f>E24/'تولید فروش'!E$7</f>
        <v>0.18084219227713802</v>
      </c>
      <c r="F64" s="9">
        <f>F24/'تولید فروش'!F$7</f>
        <v>0.14949804651533</v>
      </c>
      <c r="G64" s="9">
        <f>G24/'تولید فروش'!G$7</f>
        <v>0.15171201310577506</v>
      </c>
      <c r="H64" s="28">
        <f t="shared" si="11"/>
        <v>0.1605197171562755</v>
      </c>
      <c r="I64" s="28"/>
    </row>
    <row r="65" spans="1:10" x14ac:dyDescent="0.45">
      <c r="A65" s="4" t="s">
        <v>88</v>
      </c>
      <c r="B65" s="4"/>
      <c r="C65" s="9">
        <f>C25/'تولید فروش'!C$7</f>
        <v>0.10550809663214231</v>
      </c>
      <c r="D65" s="9">
        <f>D25/'تولید فروش'!D$7</f>
        <v>0.11816095461858886</v>
      </c>
      <c r="E65" s="9">
        <f>E25/'تولید فروش'!E$7</f>
        <v>0.13033517962915178</v>
      </c>
      <c r="F65" s="9">
        <f>F25/'تولید فروش'!F$7</f>
        <v>0.11657066581964054</v>
      </c>
      <c r="G65" s="9">
        <f>G25/'تولید فروش'!G$7</f>
        <v>0.1187446984907741</v>
      </c>
      <c r="H65" s="28">
        <f t="shared" si="11"/>
        <v>0.12153694277856161</v>
      </c>
      <c r="I65" s="28"/>
      <c r="J65" s="1" t="s">
        <v>172</v>
      </c>
    </row>
    <row r="66" spans="1:10" x14ac:dyDescent="0.45">
      <c r="A66" s="4" t="s">
        <v>89</v>
      </c>
      <c r="B66" s="4"/>
      <c r="C66" s="9">
        <f>C26/'تولید فروش'!C$7</f>
        <v>0.25161202845041097</v>
      </c>
      <c r="D66" s="9">
        <f>D26/'تولید فروش'!D$7</f>
        <v>0.25528626070249771</v>
      </c>
      <c r="E66" s="9">
        <f>E26/'تولید فروش'!E$7</f>
        <v>0.29603414207287421</v>
      </c>
      <c r="F66" s="9">
        <f>F26/'تولید فروش'!F$7</f>
        <v>0.24780711130702071</v>
      </c>
      <c r="G66" s="9">
        <f>G26/'تولید فروش'!G$7</f>
        <v>0.25897960431146627</v>
      </c>
      <c r="H66" s="28">
        <f t="shared" si="11"/>
        <v>0.26555898680435891</v>
      </c>
      <c r="I66" s="28"/>
    </row>
    <row r="67" spans="1:10" x14ac:dyDescent="0.45">
      <c r="A67" s="4" t="s">
        <v>90</v>
      </c>
      <c r="B67" s="4"/>
      <c r="C67" s="9">
        <f>C27/'تولید فروش'!C$7</f>
        <v>0.20777939597967821</v>
      </c>
      <c r="D67" s="9">
        <f>D27/'تولید فروش'!D$7</f>
        <v>0.22182281005582588</v>
      </c>
      <c r="E67" s="9">
        <f>E27/'تولید فروش'!E$7</f>
        <v>0.26052308160469562</v>
      </c>
      <c r="F67" s="9">
        <f>F27/'تولید فروش'!F$7</f>
        <v>0.21747041338391268</v>
      </c>
      <c r="G67" s="9">
        <f>G27/'تولید فروش'!G$7</f>
        <v>0.22980034056526816</v>
      </c>
      <c r="H67" s="28">
        <f t="shared" si="11"/>
        <v>0.23249709441360486</v>
      </c>
      <c r="I67" s="28"/>
    </row>
    <row r="68" spans="1:10" x14ac:dyDescent="0.45">
      <c r="A68" s="4" t="s">
        <v>91</v>
      </c>
      <c r="B68" s="4"/>
      <c r="C68" s="9">
        <f>C28/'تولید فروش'!C$7</f>
        <v>0.2309393155691189</v>
      </c>
      <c r="D68" s="9">
        <f>D28/'تولید فروش'!D$7</f>
        <v>0.2462099421939013</v>
      </c>
      <c r="E68" s="9">
        <f>E28/'تولید فروش'!E$7</f>
        <v>0.28094110240577985</v>
      </c>
      <c r="F68" s="9">
        <f>F28/'تولید فروش'!F$7</f>
        <v>0.2353900978897667</v>
      </c>
      <c r="G68" s="9">
        <f>G28/'تولید فروش'!G$7</f>
        <v>0.24834484104644594</v>
      </c>
      <c r="H68" s="28">
        <f t="shared" si="11"/>
        <v>0.25345625835407298</v>
      </c>
      <c r="I68" s="28"/>
    </row>
    <row r="69" spans="1:10" x14ac:dyDescent="0.45">
      <c r="A69" s="24" t="s">
        <v>102</v>
      </c>
      <c r="B69" s="24"/>
      <c r="C69" s="29">
        <f>SUM(C62:C68)</f>
        <v>0.98754298515135863</v>
      </c>
      <c r="D69" s="29">
        <f t="shared" ref="D69" si="12">SUM(D62:D68)</f>
        <v>1.045739486530455</v>
      </c>
      <c r="E69" s="29">
        <f t="shared" ref="E69" si="13">SUM(E62:E68)</f>
        <v>1.2169167537695009</v>
      </c>
      <c r="F69" s="29">
        <f t="shared" ref="F69" si="14">SUM(F62:F68)</f>
        <v>1.0247689724058553</v>
      </c>
      <c r="G69" s="12">
        <f t="shared" ref="G69" si="15">SUM(G62:G68)</f>
        <v>1.068298015245158</v>
      </c>
      <c r="H69" s="53">
        <f t="shared" si="11"/>
        <v>1.0925385794285145</v>
      </c>
      <c r="I69" s="11"/>
    </row>
    <row r="71" spans="1:10" x14ac:dyDescent="0.45">
      <c r="A71" s="16" t="s">
        <v>107</v>
      </c>
    </row>
    <row r="72" spans="1:10" x14ac:dyDescent="0.45">
      <c r="A72" s="3" t="s">
        <v>16</v>
      </c>
      <c r="B72" s="3" t="s">
        <v>69</v>
      </c>
      <c r="C72" s="3" t="s">
        <v>12</v>
      </c>
      <c r="D72" s="3" t="s">
        <v>13</v>
      </c>
      <c r="E72" s="3" t="s">
        <v>14</v>
      </c>
      <c r="F72" s="3" t="s">
        <v>15</v>
      </c>
      <c r="G72" s="6" t="s">
        <v>20</v>
      </c>
      <c r="H72" s="7" t="s">
        <v>21</v>
      </c>
      <c r="I72" s="7" t="s">
        <v>22</v>
      </c>
    </row>
    <row r="73" spans="1:10" x14ac:dyDescent="0.45">
      <c r="A73" s="10" t="s">
        <v>108</v>
      </c>
      <c r="B73" s="10"/>
      <c r="C73" s="10"/>
      <c r="D73" s="10"/>
      <c r="E73" s="10"/>
      <c r="F73" s="10"/>
      <c r="G73" s="10"/>
      <c r="H73" s="10"/>
      <c r="I73" s="10"/>
    </row>
    <row r="74" spans="1:10" x14ac:dyDescent="0.45">
      <c r="A74" s="4" t="s">
        <v>85</v>
      </c>
      <c r="B74" s="4" t="s">
        <v>72</v>
      </c>
      <c r="C74" s="5">
        <f>C44*C4/1000000</f>
        <v>29349.073049999999</v>
      </c>
      <c r="D74" s="5">
        <f t="shared" ref="D74:G74" si="16">D44*D4/1000000</f>
        <v>0</v>
      </c>
      <c r="E74" s="5">
        <f t="shared" si="16"/>
        <v>406048.88448000001</v>
      </c>
      <c r="F74" s="5">
        <f t="shared" si="16"/>
        <v>117736.007772</v>
      </c>
      <c r="G74" s="5">
        <f t="shared" si="16"/>
        <v>18946.005792</v>
      </c>
      <c r="H74" s="5">
        <f>H44*H4/1000000</f>
        <v>35741.042581397043</v>
      </c>
      <c r="I74" s="5"/>
    </row>
    <row r="75" spans="1:10" x14ac:dyDescent="0.45">
      <c r="A75" s="4" t="s">
        <v>86</v>
      </c>
      <c r="B75" s="4" t="s">
        <v>72</v>
      </c>
      <c r="C75" s="5">
        <f t="shared" ref="C75:H88" si="17">C45*C5/1000000</f>
        <v>19531.161759999999</v>
      </c>
      <c r="D75" s="5">
        <f t="shared" si="17"/>
        <v>35830.441659999997</v>
      </c>
      <c r="E75" s="5">
        <f t="shared" si="17"/>
        <v>88848.332265999998</v>
      </c>
      <c r="F75" s="5">
        <f t="shared" si="17"/>
        <v>169199.73774000001</v>
      </c>
      <c r="G75" s="5">
        <f t="shared" si="17"/>
        <v>213465.79814</v>
      </c>
      <c r="H75" s="5">
        <f t="shared" si="17"/>
        <v>230807.07577543985</v>
      </c>
      <c r="I75" s="5"/>
    </row>
    <row r="76" spans="1:10" x14ac:dyDescent="0.45">
      <c r="A76" s="4" t="s">
        <v>87</v>
      </c>
      <c r="B76" s="4" t="s">
        <v>72</v>
      </c>
      <c r="C76" s="5">
        <f t="shared" si="17"/>
        <v>562238.35347199999</v>
      </c>
      <c r="D76" s="5">
        <f t="shared" si="17"/>
        <v>864531.5673</v>
      </c>
      <c r="E76" s="5">
        <f t="shared" si="17"/>
        <v>2697221.1519470001</v>
      </c>
      <c r="F76" s="5">
        <f t="shared" si="17"/>
        <v>3456607.4929439998</v>
      </c>
      <c r="G76" s="5">
        <f t="shared" si="17"/>
        <v>5546992.9262920003</v>
      </c>
      <c r="H76" s="5">
        <f t="shared" si="17"/>
        <v>5967690.2272803662</v>
      </c>
      <c r="I76" s="5"/>
    </row>
    <row r="77" spans="1:10" x14ac:dyDescent="0.45">
      <c r="A77" s="4" t="s">
        <v>88</v>
      </c>
      <c r="B77" s="4" t="s">
        <v>72</v>
      </c>
      <c r="C77" s="5">
        <f t="shared" si="17"/>
        <v>3664028.84675</v>
      </c>
      <c r="D77" s="5">
        <f t="shared" si="17"/>
        <v>672467.799076</v>
      </c>
      <c r="E77" s="5">
        <f t="shared" si="17"/>
        <v>1366720.0419079999</v>
      </c>
      <c r="F77" s="5">
        <f t="shared" si="17"/>
        <v>2671947.328342</v>
      </c>
      <c r="G77" s="5">
        <f t="shared" si="17"/>
        <v>4894239.883281</v>
      </c>
      <c r="H77" s="5">
        <f t="shared" si="17"/>
        <v>5007275.1975622289</v>
      </c>
      <c r="I77" s="5"/>
    </row>
    <row r="78" spans="1:10" x14ac:dyDescent="0.45">
      <c r="A78" s="4" t="s">
        <v>89</v>
      </c>
      <c r="B78" s="4" t="s">
        <v>72</v>
      </c>
      <c r="C78" s="5">
        <f t="shared" si="17"/>
        <v>1345311.8031599999</v>
      </c>
      <c r="D78" s="5">
        <f t="shared" si="17"/>
        <v>1407094.202481</v>
      </c>
      <c r="E78" s="5">
        <f t="shared" si="17"/>
        <v>6328192.4511749996</v>
      </c>
      <c r="F78" s="5">
        <f t="shared" si="17"/>
        <v>7896419.2344030002</v>
      </c>
      <c r="G78" s="5">
        <f t="shared" si="17"/>
        <v>14441567.481797</v>
      </c>
      <c r="H78" s="5">
        <f t="shared" si="17"/>
        <v>17014478.831337422</v>
      </c>
      <c r="I78" s="5"/>
    </row>
    <row r="79" spans="1:10" x14ac:dyDescent="0.45">
      <c r="A79" s="4" t="s">
        <v>90</v>
      </c>
      <c r="B79" s="4" t="s">
        <v>72</v>
      </c>
      <c r="C79" s="5">
        <f t="shared" si="17"/>
        <v>311178.72201899998</v>
      </c>
      <c r="D79" s="5">
        <f t="shared" si="17"/>
        <v>601518.50994599995</v>
      </c>
      <c r="E79" s="5">
        <f t="shared" si="17"/>
        <v>1190907.1339199999</v>
      </c>
      <c r="F79" s="5">
        <f t="shared" si="17"/>
        <v>1899451.0931200001</v>
      </c>
      <c r="G79" s="5">
        <f t="shared" si="17"/>
        <v>2223445.170988</v>
      </c>
      <c r="H79" s="5">
        <f>H49*H9/1000000</f>
        <v>2397863.4950429453</v>
      </c>
      <c r="I79" s="5"/>
    </row>
    <row r="80" spans="1:10" x14ac:dyDescent="0.45">
      <c r="A80" s="4" t="s">
        <v>91</v>
      </c>
      <c r="B80" s="4" t="s">
        <v>72</v>
      </c>
      <c r="C80" s="5">
        <f t="shared" si="17"/>
        <v>1485</v>
      </c>
      <c r="D80" s="5">
        <f t="shared" si="17"/>
        <v>0</v>
      </c>
      <c r="E80" s="5">
        <f t="shared" si="17"/>
        <v>19920.0288</v>
      </c>
      <c r="F80" s="5">
        <f>F50*F10/1000000</f>
        <v>0</v>
      </c>
      <c r="G80" s="5">
        <f t="shared" si="17"/>
        <v>0</v>
      </c>
      <c r="H80" s="5">
        <f t="shared" si="17"/>
        <v>0</v>
      </c>
      <c r="I80" s="5"/>
    </row>
    <row r="81" spans="1:9" x14ac:dyDescent="0.45">
      <c r="A81" s="10" t="s">
        <v>109</v>
      </c>
      <c r="B81" s="10"/>
      <c r="C81" s="11"/>
      <c r="D81" s="11"/>
      <c r="E81" s="11"/>
      <c r="F81" s="11"/>
      <c r="G81" s="11"/>
      <c r="H81" s="11"/>
      <c r="I81" s="11"/>
    </row>
    <row r="82" spans="1:9" x14ac:dyDescent="0.45">
      <c r="A82" s="4" t="s">
        <v>85</v>
      </c>
      <c r="B82" s="4" t="s">
        <v>72</v>
      </c>
      <c r="C82" s="5">
        <f t="shared" si="17"/>
        <v>969824.42862499994</v>
      </c>
      <c r="D82" s="5">
        <f t="shared" si="17"/>
        <v>1656466.9310280001</v>
      </c>
      <c r="E82" s="5">
        <f t="shared" si="17"/>
        <v>2954390.3574680001</v>
      </c>
      <c r="F82" s="5">
        <f t="shared" si="17"/>
        <v>5722141.3600949999</v>
      </c>
      <c r="G82" s="5">
        <f t="shared" si="17"/>
        <v>7447937.4339690004</v>
      </c>
      <c r="H82" s="5">
        <f t="shared" ref="H82" si="18">H52*H12/1000000</f>
        <v>7566085.3360046009</v>
      </c>
      <c r="I82" s="5"/>
    </row>
    <row r="83" spans="1:9" x14ac:dyDescent="0.45">
      <c r="A83" s="4" t="s">
        <v>86</v>
      </c>
      <c r="B83" s="4" t="s">
        <v>72</v>
      </c>
      <c r="C83" s="5">
        <f t="shared" si="17"/>
        <v>28</v>
      </c>
      <c r="D83" s="5">
        <f>D53*D13/1000000</f>
        <v>0</v>
      </c>
      <c r="E83" s="5">
        <f t="shared" si="17"/>
        <v>0</v>
      </c>
      <c r="F83" s="5">
        <f t="shared" si="17"/>
        <v>0</v>
      </c>
      <c r="G83" s="5">
        <f t="shared" si="17"/>
        <v>0</v>
      </c>
      <c r="H83" s="5">
        <f t="shared" ref="H83" si="19">H53*H13/1000000</f>
        <v>0</v>
      </c>
      <c r="I83" s="5"/>
    </row>
    <row r="84" spans="1:9" x14ac:dyDescent="0.45">
      <c r="A84" s="4" t="s">
        <v>87</v>
      </c>
      <c r="B84" s="4" t="s">
        <v>72</v>
      </c>
      <c r="C84" s="5">
        <f t="shared" si="17"/>
        <v>541761.76429199998</v>
      </c>
      <c r="D84" s="5">
        <f t="shared" si="17"/>
        <v>740039.16449999996</v>
      </c>
      <c r="E84" s="5">
        <f t="shared" si="17"/>
        <v>14102043.790054999</v>
      </c>
      <c r="F84" s="5">
        <f t="shared" si="17"/>
        <v>2383154.4656870002</v>
      </c>
      <c r="G84" s="5">
        <f t="shared" si="17"/>
        <v>3555696.0048750001</v>
      </c>
      <c r="H84" s="5">
        <f t="shared" ref="H84" si="20">H54*H14/1000000</f>
        <v>3195874.4733172525</v>
      </c>
      <c r="I84" s="5"/>
    </row>
    <row r="85" spans="1:9" x14ac:dyDescent="0.45">
      <c r="A85" s="4" t="s">
        <v>88</v>
      </c>
      <c r="B85" s="4" t="s">
        <v>72</v>
      </c>
      <c r="C85" s="5">
        <f t="shared" si="17"/>
        <v>139860.41866</v>
      </c>
      <c r="D85" s="5">
        <f t="shared" si="17"/>
        <v>289710.13970499998</v>
      </c>
      <c r="E85" s="5">
        <f t="shared" si="17"/>
        <v>641343.28706400003</v>
      </c>
      <c r="F85" s="5">
        <f t="shared" si="17"/>
        <v>1283317.1014940001</v>
      </c>
      <c r="G85" s="5">
        <f t="shared" si="17"/>
        <v>1369990.582772</v>
      </c>
      <c r="H85" s="5">
        <f t="shared" ref="H85" si="21">H55*H15/1000000</f>
        <v>1380315.4509473799</v>
      </c>
      <c r="I85" s="5"/>
    </row>
    <row r="86" spans="1:9" x14ac:dyDescent="0.45">
      <c r="A86" s="4" t="s">
        <v>89</v>
      </c>
      <c r="B86" s="4" t="s">
        <v>72</v>
      </c>
      <c r="C86" s="5">
        <f t="shared" si="17"/>
        <v>251610.55283</v>
      </c>
      <c r="D86" s="5">
        <f t="shared" si="17"/>
        <v>552729.49794000003</v>
      </c>
      <c r="E86" s="5">
        <f t="shared" si="17"/>
        <v>628533.48095999996</v>
      </c>
      <c r="F86" s="5">
        <f t="shared" si="17"/>
        <v>2793362.8086000001</v>
      </c>
      <c r="G86" s="5">
        <f t="shared" si="17"/>
        <v>0</v>
      </c>
      <c r="H86" s="5">
        <f t="shared" ref="H86" si="22">H56*H16/1000000</f>
        <v>0</v>
      </c>
      <c r="I86" s="5"/>
    </row>
    <row r="87" spans="1:9" x14ac:dyDescent="0.45">
      <c r="A87" s="4" t="s">
        <v>90</v>
      </c>
      <c r="B87" s="4" t="s">
        <v>72</v>
      </c>
      <c r="C87" s="5">
        <f t="shared" si="17"/>
        <v>1417591.6867790001</v>
      </c>
      <c r="D87" s="5">
        <f t="shared" si="17"/>
        <v>1949518.925631</v>
      </c>
      <c r="E87" s="5">
        <f t="shared" si="17"/>
        <v>4419491.9560479997</v>
      </c>
      <c r="F87" s="5">
        <f t="shared" si="17"/>
        <v>7009617.7472959999</v>
      </c>
      <c r="G87" s="5">
        <f t="shared" si="17"/>
        <v>8174790.1932380004</v>
      </c>
      <c r="H87" s="5">
        <f t="shared" ref="H87" si="23">H57*H17/1000000</f>
        <v>14811666.694243655</v>
      </c>
      <c r="I87" s="5"/>
    </row>
    <row r="88" spans="1:9" x14ac:dyDescent="0.45">
      <c r="A88" s="4" t="s">
        <v>91</v>
      </c>
      <c r="B88" s="4" t="s">
        <v>72</v>
      </c>
      <c r="C88" s="5">
        <f t="shared" si="17"/>
        <v>1420011.38475</v>
      </c>
      <c r="D88" s="5">
        <f t="shared" si="17"/>
        <v>2026565.2526100001</v>
      </c>
      <c r="E88" s="5">
        <f t="shared" si="17"/>
        <v>2962071.2812270001</v>
      </c>
      <c r="F88" s="5">
        <f t="shared" si="17"/>
        <v>5617633.2958620004</v>
      </c>
      <c r="G88" s="5">
        <f t="shared" si="17"/>
        <v>7335458.7491520001</v>
      </c>
      <c r="H88" s="5">
        <f t="shared" ref="H88" si="24">H58*H18/1000000</f>
        <v>11394680.320977094</v>
      </c>
      <c r="I88" s="5"/>
    </row>
    <row r="89" spans="1:9" x14ac:dyDescent="0.45">
      <c r="A89" s="4" t="s">
        <v>66</v>
      </c>
      <c r="B89" s="4" t="s">
        <v>72</v>
      </c>
      <c r="C89" s="5">
        <f>SUM(C82:C88)+SUM(C74:C80)</f>
        <v>10673811.196146999</v>
      </c>
      <c r="D89" s="5">
        <f t="shared" ref="D89:H89" si="25">SUM(D82:D88)+SUM(D74:D80)</f>
        <v>10796472.431877</v>
      </c>
      <c r="E89" s="5">
        <f t="shared" si="25"/>
        <v>37805732.177318007</v>
      </c>
      <c r="F89" s="5">
        <f t="shared" si="25"/>
        <v>41020587.673354998</v>
      </c>
      <c r="G89" s="5">
        <f t="shared" si="25"/>
        <v>55222530.230296001</v>
      </c>
      <c r="H89" s="5">
        <f t="shared" si="25"/>
        <v>69002478.145069778</v>
      </c>
      <c r="I8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rightToLeft="1" workbookViewId="0">
      <selection activeCell="F18" sqref="F18"/>
    </sheetView>
  </sheetViews>
  <sheetFormatPr defaultRowHeight="18" x14ac:dyDescent="0.45"/>
  <cols>
    <col min="1" max="1" width="26.140625" style="1" bestFit="1" customWidth="1"/>
    <col min="2" max="2" width="9.140625" style="1"/>
    <col min="3" max="7" width="13.85546875" style="1" bestFit="1" customWidth="1"/>
    <col min="8" max="8" width="14" style="1" bestFit="1" customWidth="1"/>
    <col min="9" max="10" width="14.5703125" style="1" bestFit="1" customWidth="1"/>
    <col min="11" max="16384" width="9.140625" style="1"/>
  </cols>
  <sheetData>
    <row r="1" spans="1:10" x14ac:dyDescent="0.45">
      <c r="A1" s="16" t="s">
        <v>110</v>
      </c>
    </row>
    <row r="2" spans="1:10" x14ac:dyDescent="0.45">
      <c r="A2" s="3" t="s">
        <v>16</v>
      </c>
      <c r="B2" s="3" t="s">
        <v>69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6" t="s">
        <v>20</v>
      </c>
      <c r="I2" s="7" t="s">
        <v>21</v>
      </c>
      <c r="J2" s="7" t="s">
        <v>22</v>
      </c>
    </row>
    <row r="3" spans="1:10" x14ac:dyDescent="0.45">
      <c r="A3" s="4" t="s">
        <v>111</v>
      </c>
      <c r="B3" s="4" t="s">
        <v>72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</row>
    <row r="4" spans="1:10" x14ac:dyDescent="0.45">
      <c r="A4" s="4" t="s">
        <v>112</v>
      </c>
      <c r="B4" s="4" t="s">
        <v>72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</row>
    <row r="5" spans="1:10" x14ac:dyDescent="0.45">
      <c r="A5" s="4" t="s">
        <v>113</v>
      </c>
      <c r="B5" s="4" t="s">
        <v>72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/>
    </row>
    <row r="6" spans="1:10" x14ac:dyDescent="0.45">
      <c r="A6" s="4" t="s">
        <v>114</v>
      </c>
      <c r="B6" s="4" t="s">
        <v>72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</row>
    <row r="7" spans="1:10" x14ac:dyDescent="0.45">
      <c r="A7" s="4" t="s">
        <v>115</v>
      </c>
      <c r="B7" s="4" t="s">
        <v>72</v>
      </c>
      <c r="C7" s="5">
        <v>107151</v>
      </c>
      <c r="D7" s="5">
        <v>172390</v>
      </c>
      <c r="E7" s="5">
        <v>202757</v>
      </c>
      <c r="F7" s="5">
        <v>442779</v>
      </c>
      <c r="G7" s="5">
        <v>398677</v>
      </c>
      <c r="H7" s="5">
        <v>471687</v>
      </c>
      <c r="I7" s="5"/>
      <c r="J7" s="5"/>
    </row>
    <row r="8" spans="1:10" x14ac:dyDescent="0.45">
      <c r="A8" s="4" t="s">
        <v>116</v>
      </c>
      <c r="B8" s="4" t="s">
        <v>72</v>
      </c>
      <c r="C8" s="5">
        <v>114100</v>
      </c>
      <c r="D8" s="5">
        <v>103738</v>
      </c>
      <c r="E8" s="5">
        <v>131317</v>
      </c>
      <c r="F8" s="5">
        <v>141356</v>
      </c>
      <c r="G8" s="5">
        <v>360739</v>
      </c>
      <c r="H8" s="5">
        <v>348439</v>
      </c>
      <c r="I8" s="5">
        <f>G8*(1+پنل!E5)</f>
        <v>468960.7</v>
      </c>
      <c r="J8" s="5"/>
    </row>
    <row r="9" spans="1:10" x14ac:dyDescent="0.45">
      <c r="A9" s="4" t="s">
        <v>117</v>
      </c>
      <c r="B9" s="4" t="s">
        <v>72</v>
      </c>
      <c r="C9" s="5">
        <v>376719</v>
      </c>
      <c r="D9" s="5">
        <v>353539</v>
      </c>
      <c r="E9" s="5">
        <v>358809</v>
      </c>
      <c r="F9" s="5">
        <v>392620</v>
      </c>
      <c r="G9" s="5">
        <v>511416</v>
      </c>
      <c r="H9" s="5">
        <v>511416</v>
      </c>
      <c r="I9" s="5">
        <v>511416</v>
      </c>
      <c r="J9" s="5"/>
    </row>
    <row r="10" spans="1:10" x14ac:dyDescent="0.45">
      <c r="A10" s="40" t="s">
        <v>118</v>
      </c>
      <c r="B10" s="40" t="s">
        <v>72</v>
      </c>
      <c r="C10" s="35">
        <v>689161</v>
      </c>
      <c r="D10" s="35">
        <v>876079</v>
      </c>
      <c r="E10" s="35">
        <v>1219729</v>
      </c>
      <c r="F10" s="35">
        <v>2021166</v>
      </c>
      <c r="G10" s="35">
        <v>3111706</v>
      </c>
      <c r="H10" s="35">
        <v>3111706</v>
      </c>
      <c r="I10" s="35">
        <f>G10*(1+پنل!E4)</f>
        <v>4356388.3999999994</v>
      </c>
      <c r="J10" s="35"/>
    </row>
    <row r="11" spans="1:10" x14ac:dyDescent="0.45">
      <c r="A11" s="4" t="s">
        <v>119</v>
      </c>
      <c r="B11" s="4" t="s">
        <v>72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</row>
    <row r="12" spans="1:10" x14ac:dyDescent="0.45">
      <c r="A12" s="4" t="s">
        <v>120</v>
      </c>
      <c r="B12" s="4" t="s">
        <v>72</v>
      </c>
      <c r="C12" s="5">
        <v>647697</v>
      </c>
      <c r="D12" s="5">
        <v>551665</v>
      </c>
      <c r="E12" s="5">
        <v>821383</v>
      </c>
      <c r="F12" s="5">
        <v>970896</v>
      </c>
      <c r="G12" s="5">
        <v>1499715</v>
      </c>
      <c r="H12" s="5">
        <v>1499715</v>
      </c>
      <c r="I12" s="5">
        <f>G12*(1+پنل!E5)</f>
        <v>1949629.5</v>
      </c>
      <c r="J12" s="5"/>
    </row>
    <row r="13" spans="1:10" x14ac:dyDescent="0.45">
      <c r="A13" s="4" t="s">
        <v>66</v>
      </c>
      <c r="B13" s="4" t="s">
        <v>72</v>
      </c>
      <c r="C13" s="5">
        <v>1934828</v>
      </c>
      <c r="D13" s="5">
        <v>2057411</v>
      </c>
      <c r="E13" s="5">
        <v>2733995</v>
      </c>
      <c r="F13" s="5">
        <v>3968817</v>
      </c>
      <c r="G13" s="5">
        <v>5882253</v>
      </c>
      <c r="H13" s="5">
        <f>SUM(H3:H12)</f>
        <v>5942963</v>
      </c>
      <c r="I13" s="5">
        <f>SUM(I3:I12)</f>
        <v>7286394.5999999996</v>
      </c>
      <c r="J13" s="5"/>
    </row>
    <row r="15" spans="1:10" x14ac:dyDescent="0.45">
      <c r="A15" s="54" t="s">
        <v>236</v>
      </c>
      <c r="B15" s="4"/>
      <c r="C15" s="4">
        <f>'بهای تمام شده'!C5/('بهای تمام شده'!C3+'بهای تمام شده'!C4)</f>
        <v>0.3276296436528856</v>
      </c>
      <c r="D15" s="4">
        <f>'بهای تمام شده'!D5/('بهای تمام شده'!D3+'بهای تمام شده'!D4)</f>
        <v>0.25676522967598131</v>
      </c>
      <c r="E15" s="4">
        <f>'بهای تمام شده'!E5/('بهای تمام شده'!E3+'بهای تمام شده'!E4)</f>
        <v>0.23153179138862759</v>
      </c>
      <c r="F15" s="4">
        <f>'بهای تمام شده'!F5/('بهای تمام شده'!F3+'بهای تمام شده'!F4)</f>
        <v>0.15219440980915</v>
      </c>
      <c r="G15" s="4">
        <f>'بهای تمام شده'!G5/('بهای تمام شده'!G3+'بهای تمام شده'!G4)</f>
        <v>0.1386134883173791</v>
      </c>
      <c r="H15" s="4">
        <f>'بهای تمام شده'!H5/('بهای تمام شده'!H3+'بهای تمام شده'!H4)</f>
        <v>0.12580804217183375</v>
      </c>
      <c r="I15" s="4">
        <f>'بهای تمام شده'!I5/('بهای تمام شده'!I3+'بهای تمام شده'!I4)</f>
        <v>0.1026475492081909</v>
      </c>
    </row>
    <row r="16" spans="1:10" x14ac:dyDescent="0.45">
      <c r="A16" s="1" t="s">
        <v>172</v>
      </c>
    </row>
    <row r="19" spans="9:9" x14ac:dyDescent="0.45">
      <c r="I19" s="17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rightToLeft="1" workbookViewId="0">
      <selection activeCell="N7" sqref="M7:N7"/>
    </sheetView>
  </sheetViews>
  <sheetFormatPr defaultRowHeight="18" x14ac:dyDescent="0.45"/>
  <cols>
    <col min="1" max="1" width="20.7109375" style="37" bestFit="1" customWidth="1"/>
    <col min="2" max="2" width="14.42578125" style="1" bestFit="1" customWidth="1"/>
    <col min="3" max="4" width="9.140625" style="1"/>
    <col min="5" max="5" width="10.85546875" style="1" bestFit="1" customWidth="1"/>
    <col min="6" max="16384" width="9.140625" style="1"/>
  </cols>
  <sheetData>
    <row r="1" spans="1:2" x14ac:dyDescent="0.45">
      <c r="A1" s="39" t="s">
        <v>153</v>
      </c>
    </row>
    <row r="2" spans="1:2" x14ac:dyDescent="0.45">
      <c r="A2" s="38" t="s">
        <v>136</v>
      </c>
      <c r="B2" s="1">
        <v>175.25</v>
      </c>
    </row>
    <row r="3" spans="1:2" x14ac:dyDescent="0.45">
      <c r="A3" s="38" t="s">
        <v>137</v>
      </c>
      <c r="B3" s="1">
        <v>164.72</v>
      </c>
    </row>
    <row r="4" spans="1:2" x14ac:dyDescent="0.45">
      <c r="A4" s="38" t="s">
        <v>138</v>
      </c>
      <c r="B4" s="1">
        <v>169.09</v>
      </c>
    </row>
    <row r="5" spans="1:2" x14ac:dyDescent="0.45">
      <c r="A5" s="38" t="s">
        <v>139</v>
      </c>
      <c r="B5" s="1">
        <v>164.51</v>
      </c>
    </row>
    <row r="6" spans="1:2" x14ac:dyDescent="0.45">
      <c r="A6" s="38" t="s">
        <v>140</v>
      </c>
      <c r="B6" s="1">
        <v>164.32</v>
      </c>
    </row>
    <row r="7" spans="1:2" x14ac:dyDescent="0.45">
      <c r="A7" s="38" t="s">
        <v>141</v>
      </c>
      <c r="B7" s="1">
        <v>172.67</v>
      </c>
    </row>
    <row r="8" spans="1:2" x14ac:dyDescent="0.45">
      <c r="A8" s="38" t="s">
        <v>142</v>
      </c>
      <c r="B8" s="1">
        <v>163.22999999999999</v>
      </c>
    </row>
    <row r="9" spans="1:2" x14ac:dyDescent="0.45">
      <c r="A9" s="38" t="s">
        <v>143</v>
      </c>
      <c r="B9" s="1">
        <v>174.39</v>
      </c>
    </row>
    <row r="10" spans="1:2" x14ac:dyDescent="0.45">
      <c r="A10" s="38" t="s">
        <v>144</v>
      </c>
      <c r="B10" s="1">
        <v>175.65</v>
      </c>
    </row>
    <row r="11" spans="1:2" x14ac:dyDescent="0.45">
      <c r="A11" s="38" t="s">
        <v>145</v>
      </c>
      <c r="B11" s="1">
        <v>172.08</v>
      </c>
    </row>
    <row r="12" spans="1:2" x14ac:dyDescent="0.45">
      <c r="A12" s="37" t="s">
        <v>146</v>
      </c>
      <c r="B12" s="1">
        <v>178.12</v>
      </c>
    </row>
    <row r="13" spans="1:2" x14ac:dyDescent="0.45">
      <c r="A13" s="37" t="s">
        <v>147</v>
      </c>
      <c r="B13" s="1">
        <v>179.84</v>
      </c>
    </row>
    <row r="14" spans="1:2" x14ac:dyDescent="0.45">
      <c r="A14" s="37" t="s">
        <v>148</v>
      </c>
      <c r="B14" s="1">
        <v>175.18</v>
      </c>
    </row>
    <row r="15" spans="1:2" x14ac:dyDescent="0.45">
      <c r="A15" s="37" t="s">
        <v>149</v>
      </c>
      <c r="B15" s="1">
        <v>171.15</v>
      </c>
    </row>
    <row r="16" spans="1:2" x14ac:dyDescent="0.45">
      <c r="A16" s="37" t="s">
        <v>150</v>
      </c>
      <c r="B16" s="1">
        <v>162.81</v>
      </c>
    </row>
    <row r="17" spans="1:2" x14ac:dyDescent="0.45">
      <c r="A17" s="37" t="s">
        <v>151</v>
      </c>
      <c r="B17" s="1">
        <v>164.15</v>
      </c>
    </row>
    <row r="18" spans="1:2" x14ac:dyDescent="0.45">
      <c r="A18" s="39" t="s">
        <v>173</v>
      </c>
    </row>
    <row r="19" spans="1:2" x14ac:dyDescent="0.45">
      <c r="A19" s="37" t="s">
        <v>154</v>
      </c>
      <c r="B19" s="30">
        <v>215898800</v>
      </c>
    </row>
    <row r="20" spans="1:2" x14ac:dyDescent="0.45">
      <c r="A20" s="37" t="s">
        <v>155</v>
      </c>
      <c r="B20" s="30">
        <v>231751237</v>
      </c>
    </row>
    <row r="21" spans="1:2" x14ac:dyDescent="0.45">
      <c r="A21" s="37" t="s">
        <v>156</v>
      </c>
      <c r="B21" s="30">
        <v>230976380</v>
      </c>
    </row>
    <row r="22" spans="1:2" x14ac:dyDescent="0.45">
      <c r="A22" s="37" t="s">
        <v>157</v>
      </c>
      <c r="B22" s="30">
        <v>234388419</v>
      </c>
    </row>
    <row r="23" spans="1:2" x14ac:dyDescent="0.45">
      <c r="A23" s="37" t="s">
        <v>158</v>
      </c>
      <c r="B23" s="30">
        <v>241910745</v>
      </c>
    </row>
    <row r="24" spans="1:2" x14ac:dyDescent="0.45">
      <c r="A24" s="37" t="s">
        <v>159</v>
      </c>
      <c r="B24" s="30">
        <v>249101253</v>
      </c>
    </row>
    <row r="25" spans="1:2" x14ac:dyDescent="0.45">
      <c r="A25" s="37" t="s">
        <v>160</v>
      </c>
      <c r="B25" s="30">
        <v>256711392</v>
      </c>
    </row>
    <row r="26" spans="1:2" x14ac:dyDescent="0.45">
      <c r="A26" s="37" t="s">
        <v>161</v>
      </c>
      <c r="B26" s="30">
        <v>265543867</v>
      </c>
    </row>
    <row r="27" spans="1:2" x14ac:dyDescent="0.45">
      <c r="A27" s="37" t="s">
        <v>162</v>
      </c>
      <c r="B27" s="30">
        <v>265818531</v>
      </c>
    </row>
    <row r="28" spans="1:2" x14ac:dyDescent="0.45">
      <c r="A28" s="37" t="s">
        <v>163</v>
      </c>
      <c r="B28" s="30">
        <v>266747819</v>
      </c>
    </row>
    <row r="29" spans="1:2" x14ac:dyDescent="0.45">
      <c r="A29" s="37" t="s">
        <v>164</v>
      </c>
      <c r="B29" s="30">
        <v>278530101</v>
      </c>
    </row>
    <row r="30" spans="1:2" x14ac:dyDescent="0.45">
      <c r="A30" s="37" t="s">
        <v>165</v>
      </c>
      <c r="B30" s="30">
        <v>302300401</v>
      </c>
    </row>
    <row r="31" spans="1:2" x14ac:dyDescent="0.45">
      <c r="A31" s="37" t="s">
        <v>166</v>
      </c>
      <c r="B31" s="30">
        <v>352693791</v>
      </c>
    </row>
    <row r="32" spans="1:2" x14ac:dyDescent="0.45">
      <c r="A32" s="37" t="s">
        <v>167</v>
      </c>
      <c r="B32" s="30">
        <v>371887598</v>
      </c>
    </row>
    <row r="33" spans="1:5" x14ac:dyDescent="0.45">
      <c r="A33" s="37" t="s">
        <v>168</v>
      </c>
      <c r="B33" s="30">
        <v>421609686</v>
      </c>
    </row>
    <row r="35" spans="1:5" x14ac:dyDescent="0.45">
      <c r="A35" s="65" t="s">
        <v>174</v>
      </c>
      <c r="B35" s="4"/>
      <c r="D35" s="71" t="s">
        <v>217</v>
      </c>
      <c r="E35" s="71"/>
    </row>
    <row r="36" spans="1:5" x14ac:dyDescent="0.45">
      <c r="A36" s="43" t="s">
        <v>175</v>
      </c>
      <c r="B36" s="5">
        <v>354156</v>
      </c>
      <c r="D36" s="4" t="s">
        <v>222</v>
      </c>
      <c r="E36" s="5">
        <v>466263</v>
      </c>
    </row>
    <row r="37" spans="1:5" x14ac:dyDescent="0.45">
      <c r="A37" s="43" t="s">
        <v>175</v>
      </c>
      <c r="B37" s="5">
        <v>354156</v>
      </c>
      <c r="D37" s="4" t="s">
        <v>222</v>
      </c>
      <c r="E37" s="5">
        <v>466263</v>
      </c>
    </row>
    <row r="38" spans="1:5" x14ac:dyDescent="0.45">
      <c r="A38" s="43" t="s">
        <v>176</v>
      </c>
      <c r="B38" s="5">
        <v>366621</v>
      </c>
      <c r="D38" s="4" t="s">
        <v>222</v>
      </c>
      <c r="E38" s="5">
        <v>466263</v>
      </c>
    </row>
    <row r="39" spans="1:5" x14ac:dyDescent="0.45">
      <c r="A39" s="43" t="s">
        <v>177</v>
      </c>
      <c r="B39" s="5">
        <v>453799</v>
      </c>
      <c r="D39" s="4" t="s">
        <v>223</v>
      </c>
      <c r="E39" s="5">
        <v>500547</v>
      </c>
    </row>
    <row r="40" spans="1:5" x14ac:dyDescent="0.45">
      <c r="A40" s="43" t="s">
        <v>177</v>
      </c>
      <c r="B40" s="5">
        <v>460984</v>
      </c>
      <c r="D40" s="4" t="s">
        <v>223</v>
      </c>
      <c r="E40" s="5">
        <v>500547</v>
      </c>
    </row>
    <row r="41" spans="1:5" x14ac:dyDescent="0.45">
      <c r="A41" s="43" t="s">
        <v>178</v>
      </c>
      <c r="B41" s="5">
        <v>400658</v>
      </c>
      <c r="D41" s="4" t="s">
        <v>223</v>
      </c>
      <c r="E41" s="5">
        <v>523491</v>
      </c>
    </row>
    <row r="42" spans="1:5" x14ac:dyDescent="0.45">
      <c r="A42" s="43" t="s">
        <v>178</v>
      </c>
      <c r="B42" s="5">
        <v>405914</v>
      </c>
      <c r="D42" s="4" t="s">
        <v>224</v>
      </c>
      <c r="E42" s="5">
        <v>490380</v>
      </c>
    </row>
    <row r="43" spans="1:5" x14ac:dyDescent="0.45">
      <c r="A43" s="43" t="s">
        <v>179</v>
      </c>
      <c r="B43" s="5">
        <v>430862</v>
      </c>
      <c r="D43" s="4" t="s">
        <v>224</v>
      </c>
      <c r="E43" s="5">
        <v>588155</v>
      </c>
    </row>
    <row r="44" spans="1:5" x14ac:dyDescent="0.45">
      <c r="A44" s="43" t="s">
        <v>179</v>
      </c>
      <c r="B44" s="5">
        <v>430862</v>
      </c>
      <c r="D44" s="4" t="s">
        <v>225</v>
      </c>
      <c r="E44" s="5">
        <v>491511</v>
      </c>
    </row>
    <row r="45" spans="1:5" x14ac:dyDescent="0.45">
      <c r="A45" s="43" t="s">
        <v>179</v>
      </c>
      <c r="B45" s="5">
        <v>433575</v>
      </c>
      <c r="D45" s="4" t="s">
        <v>226</v>
      </c>
      <c r="E45" s="5">
        <v>504497</v>
      </c>
    </row>
    <row r="46" spans="1:5" x14ac:dyDescent="0.45">
      <c r="A46" s="43" t="s">
        <v>180</v>
      </c>
      <c r="B46" s="5">
        <v>446596</v>
      </c>
      <c r="D46" s="4" t="s">
        <v>226</v>
      </c>
      <c r="E46" s="5">
        <v>530356</v>
      </c>
    </row>
    <row r="47" spans="1:5" x14ac:dyDescent="0.45">
      <c r="A47" s="43" t="s">
        <v>181</v>
      </c>
      <c r="B47" s="5">
        <v>431938</v>
      </c>
      <c r="D47" s="4" t="s">
        <v>225</v>
      </c>
      <c r="E47" s="5">
        <v>649628</v>
      </c>
    </row>
    <row r="48" spans="1:5" x14ac:dyDescent="0.45">
      <c r="A48" s="43" t="s">
        <v>181</v>
      </c>
      <c r="B48" s="5">
        <v>434746</v>
      </c>
      <c r="D48" s="4" t="s">
        <v>227</v>
      </c>
      <c r="E48" s="5">
        <v>478700</v>
      </c>
    </row>
    <row r="49" spans="1:5" x14ac:dyDescent="0.45">
      <c r="A49" s="43" t="s">
        <v>182</v>
      </c>
      <c r="B49" s="5">
        <v>401573</v>
      </c>
      <c r="D49" s="4" t="s">
        <v>227</v>
      </c>
      <c r="E49" s="5">
        <v>667742</v>
      </c>
    </row>
    <row r="50" spans="1:5" x14ac:dyDescent="0.45">
      <c r="A50" s="43" t="s">
        <v>182</v>
      </c>
      <c r="B50" s="5">
        <v>401573</v>
      </c>
      <c r="D50" s="4" t="s">
        <v>218</v>
      </c>
      <c r="E50" s="5">
        <v>563509</v>
      </c>
    </row>
    <row r="51" spans="1:5" x14ac:dyDescent="0.45">
      <c r="A51" s="43" t="s">
        <v>183</v>
      </c>
      <c r="B51" s="5">
        <v>451497</v>
      </c>
      <c r="D51" s="4" t="s">
        <v>218</v>
      </c>
      <c r="E51" s="5">
        <v>490380</v>
      </c>
    </row>
    <row r="52" spans="1:5" x14ac:dyDescent="0.45">
      <c r="A52" s="43" t="s">
        <v>183</v>
      </c>
      <c r="B52" s="5">
        <v>451497</v>
      </c>
      <c r="D52" s="4" t="s">
        <v>220</v>
      </c>
      <c r="E52" s="5">
        <v>474023</v>
      </c>
    </row>
    <row r="53" spans="1:5" x14ac:dyDescent="0.45">
      <c r="A53" s="43" t="s">
        <v>184</v>
      </c>
      <c r="B53" s="5">
        <v>455074</v>
      </c>
      <c r="D53" s="4" t="s">
        <v>220</v>
      </c>
      <c r="E53" s="5">
        <v>663061</v>
      </c>
    </row>
    <row r="54" spans="1:5" x14ac:dyDescent="0.45">
      <c r="A54" s="43" t="s">
        <v>185</v>
      </c>
      <c r="B54" s="5">
        <v>445452</v>
      </c>
      <c r="D54" s="4" t="s">
        <v>219</v>
      </c>
      <c r="E54" s="5">
        <v>465492</v>
      </c>
    </row>
    <row r="55" spans="1:5" x14ac:dyDescent="0.45">
      <c r="A55" s="43" t="s">
        <v>185</v>
      </c>
      <c r="B55" s="5">
        <v>445452</v>
      </c>
      <c r="D55" s="4" t="s">
        <v>219</v>
      </c>
      <c r="E55" s="5">
        <v>554913</v>
      </c>
    </row>
    <row r="56" spans="1:5" x14ac:dyDescent="0.45">
      <c r="A56" s="43" t="s">
        <v>186</v>
      </c>
      <c r="B56" s="5">
        <v>427697</v>
      </c>
      <c r="D56" s="4" t="s">
        <v>228</v>
      </c>
      <c r="E56" s="5">
        <v>465492</v>
      </c>
    </row>
    <row r="57" spans="1:5" x14ac:dyDescent="0.45">
      <c r="A57" s="43" t="s">
        <v>186</v>
      </c>
      <c r="B57" s="5">
        <v>427697</v>
      </c>
      <c r="D57" s="4" t="s">
        <v>228</v>
      </c>
      <c r="E57" s="5">
        <v>465492</v>
      </c>
    </row>
    <row r="58" spans="1:5" x14ac:dyDescent="0.45">
      <c r="A58" s="43" t="s">
        <v>186</v>
      </c>
      <c r="B58" s="5">
        <v>427697</v>
      </c>
      <c r="D58" s="4" t="s">
        <v>221</v>
      </c>
      <c r="E58" s="5">
        <v>486740</v>
      </c>
    </row>
    <row r="59" spans="1:5" x14ac:dyDescent="0.45">
      <c r="A59" s="43" t="s">
        <v>187</v>
      </c>
      <c r="B59" s="5">
        <v>428585</v>
      </c>
      <c r="D59" s="4" t="s">
        <v>221</v>
      </c>
      <c r="E59" s="5">
        <v>486740</v>
      </c>
    </row>
    <row r="60" spans="1:5" x14ac:dyDescent="0.45">
      <c r="A60" s="43" t="s">
        <v>187</v>
      </c>
      <c r="B60" s="5">
        <v>428585</v>
      </c>
    </row>
    <row r="61" spans="1:5" x14ac:dyDescent="0.45">
      <c r="A61" s="43" t="s">
        <v>188</v>
      </c>
      <c r="B61" s="5">
        <v>500740</v>
      </c>
    </row>
    <row r="62" spans="1:5" x14ac:dyDescent="0.45">
      <c r="A62" s="43" t="s">
        <v>188</v>
      </c>
      <c r="B62" s="5">
        <v>459661</v>
      </c>
    </row>
    <row r="63" spans="1:5" x14ac:dyDescent="0.45">
      <c r="A63" s="43" t="s">
        <v>188</v>
      </c>
      <c r="B63" s="5">
        <v>459661</v>
      </c>
    </row>
    <row r="64" spans="1:5" x14ac:dyDescent="0.45">
      <c r="A64" s="43" t="s">
        <v>176</v>
      </c>
      <c r="B64" s="5">
        <v>383276</v>
      </c>
    </row>
    <row r="65" spans="1:2" x14ac:dyDescent="0.45">
      <c r="A65" s="43" t="s">
        <v>189</v>
      </c>
      <c r="B65" s="5">
        <v>386522</v>
      </c>
    </row>
    <row r="66" spans="1:2" x14ac:dyDescent="0.45">
      <c r="A66" s="43" t="s">
        <v>189</v>
      </c>
      <c r="B66" s="5">
        <v>384991</v>
      </c>
    </row>
    <row r="67" spans="1:2" x14ac:dyDescent="0.45">
      <c r="A67" s="43" t="s">
        <v>190</v>
      </c>
      <c r="B67" s="5">
        <v>441270</v>
      </c>
    </row>
    <row r="68" spans="1:2" x14ac:dyDescent="0.45">
      <c r="A68" s="43" t="s">
        <v>190</v>
      </c>
      <c r="B68" s="5">
        <v>441270</v>
      </c>
    </row>
    <row r="69" spans="1:2" x14ac:dyDescent="0.45">
      <c r="A69" s="43" t="s">
        <v>190</v>
      </c>
      <c r="B69" s="5">
        <v>441270</v>
      </c>
    </row>
    <row r="70" spans="1:2" x14ac:dyDescent="0.45">
      <c r="A70" s="43" t="s">
        <v>191</v>
      </c>
      <c r="B70" s="5">
        <v>441270</v>
      </c>
    </row>
    <row r="71" spans="1:2" x14ac:dyDescent="0.45">
      <c r="A71" s="43" t="s">
        <v>192</v>
      </c>
      <c r="B71" s="5">
        <v>424691</v>
      </c>
    </row>
    <row r="72" spans="1:2" x14ac:dyDescent="0.45">
      <c r="A72" s="43" t="s">
        <v>192</v>
      </c>
      <c r="B72" s="5">
        <v>428230</v>
      </c>
    </row>
    <row r="73" spans="1:2" x14ac:dyDescent="0.45">
      <c r="A73" s="43" t="s">
        <v>193</v>
      </c>
      <c r="B73" s="5">
        <v>450019</v>
      </c>
    </row>
    <row r="74" spans="1:2" x14ac:dyDescent="0.45">
      <c r="A74" s="43" t="s">
        <v>193</v>
      </c>
      <c r="B74" s="5">
        <v>450019</v>
      </c>
    </row>
    <row r="75" spans="1:2" x14ac:dyDescent="0.45">
      <c r="A75" s="43" t="s">
        <v>194</v>
      </c>
      <c r="B75" s="5">
        <v>469525</v>
      </c>
    </row>
    <row r="76" spans="1:2" x14ac:dyDescent="0.45">
      <c r="A76" s="43" t="s">
        <v>195</v>
      </c>
      <c r="B76" s="5">
        <v>424748</v>
      </c>
    </row>
    <row r="77" spans="1:2" x14ac:dyDescent="0.45">
      <c r="A77" s="43" t="s">
        <v>195</v>
      </c>
      <c r="B77" s="5">
        <v>497699</v>
      </c>
    </row>
    <row r="78" spans="1:2" x14ac:dyDescent="0.45">
      <c r="A78" s="43" t="s">
        <v>196</v>
      </c>
      <c r="B78" s="5">
        <v>435112</v>
      </c>
    </row>
    <row r="79" spans="1:2" x14ac:dyDescent="0.45">
      <c r="A79" s="43" t="s">
        <v>180</v>
      </c>
      <c r="B79" s="5">
        <v>462462</v>
      </c>
    </row>
    <row r="80" spans="1:2" x14ac:dyDescent="0.45">
      <c r="A80" s="43" t="s">
        <v>197</v>
      </c>
      <c r="B80" s="5">
        <v>452711</v>
      </c>
    </row>
    <row r="81" spans="1:2" x14ac:dyDescent="0.45">
      <c r="A81" s="43" t="s">
        <v>197</v>
      </c>
      <c r="B81" s="5">
        <v>479184</v>
      </c>
    </row>
    <row r="82" spans="1:2" x14ac:dyDescent="0.45">
      <c r="A82" s="43" t="s">
        <v>198</v>
      </c>
      <c r="B82" s="5">
        <v>452711</v>
      </c>
    </row>
    <row r="83" spans="1:2" x14ac:dyDescent="0.45">
      <c r="A83" s="43" t="s">
        <v>184</v>
      </c>
      <c r="B83" s="5">
        <v>468173</v>
      </c>
    </row>
    <row r="84" spans="1:2" x14ac:dyDescent="0.45">
      <c r="A84" s="43" t="s">
        <v>199</v>
      </c>
      <c r="B84" s="5">
        <v>457983</v>
      </c>
    </row>
    <row r="85" spans="1:2" x14ac:dyDescent="0.45">
      <c r="A85" s="43" t="s">
        <v>199</v>
      </c>
      <c r="B85" s="5">
        <v>457983</v>
      </c>
    </row>
    <row r="86" spans="1:2" x14ac:dyDescent="0.45">
      <c r="A86" s="43" t="s">
        <v>200</v>
      </c>
      <c r="B86" s="5">
        <v>432965</v>
      </c>
    </row>
    <row r="87" spans="1:2" x14ac:dyDescent="0.45">
      <c r="A87" s="43" t="s">
        <v>200</v>
      </c>
      <c r="B87" s="5">
        <v>432965</v>
      </c>
    </row>
    <row r="88" spans="1:2" x14ac:dyDescent="0.45">
      <c r="A88" s="43" t="s">
        <v>201</v>
      </c>
      <c r="B88" s="5">
        <v>441793</v>
      </c>
    </row>
    <row r="89" spans="1:2" x14ac:dyDescent="0.45">
      <c r="A89" s="43" t="s">
        <v>202</v>
      </c>
      <c r="B89" s="5">
        <v>450014</v>
      </c>
    </row>
    <row r="90" spans="1:2" x14ac:dyDescent="0.45">
      <c r="A90" s="43" t="s">
        <v>202</v>
      </c>
      <c r="B90" s="5">
        <v>450014</v>
      </c>
    </row>
    <row r="91" spans="1:2" x14ac:dyDescent="0.45">
      <c r="A91" s="43" t="s">
        <v>187</v>
      </c>
      <c r="B91" s="5">
        <v>428585</v>
      </c>
    </row>
    <row r="92" spans="1:2" x14ac:dyDescent="0.45">
      <c r="A92" s="43" t="s">
        <v>203</v>
      </c>
      <c r="B92" s="5">
        <v>405898</v>
      </c>
    </row>
    <row r="93" spans="1:2" x14ac:dyDescent="0.45">
      <c r="A93" s="43" t="s">
        <v>203</v>
      </c>
      <c r="B93" s="5">
        <v>405898</v>
      </c>
    </row>
    <row r="94" spans="1:2" x14ac:dyDescent="0.45">
      <c r="A94" s="43" t="s">
        <v>204</v>
      </c>
      <c r="B94" s="5">
        <v>458906</v>
      </c>
    </row>
    <row r="95" spans="1:2" x14ac:dyDescent="0.45">
      <c r="A95" s="43" t="s">
        <v>204</v>
      </c>
      <c r="B95" s="5">
        <v>448996</v>
      </c>
    </row>
    <row r="96" spans="1:2" x14ac:dyDescent="0.45">
      <c r="A96" s="43" t="s">
        <v>205</v>
      </c>
      <c r="B96" s="5">
        <v>452499</v>
      </c>
    </row>
    <row r="97" spans="1:2" x14ac:dyDescent="0.45">
      <c r="A97" s="43" t="s">
        <v>205</v>
      </c>
      <c r="B97" s="5">
        <v>452499</v>
      </c>
    </row>
    <row r="98" spans="1:2" x14ac:dyDescent="0.45">
      <c r="A98" s="43" t="s">
        <v>206</v>
      </c>
      <c r="B98" s="5">
        <v>445291</v>
      </c>
    </row>
    <row r="99" spans="1:2" x14ac:dyDescent="0.45">
      <c r="A99" s="43" t="s">
        <v>206</v>
      </c>
      <c r="B99" s="5">
        <v>445291</v>
      </c>
    </row>
    <row r="100" spans="1:2" x14ac:dyDescent="0.45">
      <c r="A100" s="43" t="s">
        <v>207</v>
      </c>
      <c r="B100" s="5">
        <v>443378</v>
      </c>
    </row>
    <row r="101" spans="1:2" x14ac:dyDescent="0.45">
      <c r="A101" s="43" t="s">
        <v>207</v>
      </c>
      <c r="B101" s="5">
        <v>443378</v>
      </c>
    </row>
    <row r="102" spans="1:2" x14ac:dyDescent="0.45">
      <c r="A102" s="43" t="s">
        <v>201</v>
      </c>
      <c r="B102" s="5">
        <v>450158</v>
      </c>
    </row>
    <row r="103" spans="1:2" x14ac:dyDescent="0.45">
      <c r="A103" s="43" t="s">
        <v>208</v>
      </c>
      <c r="B103" s="5">
        <v>448059</v>
      </c>
    </row>
    <row r="104" spans="1:2" x14ac:dyDescent="0.45">
      <c r="A104" s="43" t="s">
        <v>209</v>
      </c>
      <c r="B104" s="5">
        <v>429127</v>
      </c>
    </row>
    <row r="105" spans="1:2" x14ac:dyDescent="0.45">
      <c r="A105" s="43" t="s">
        <v>209</v>
      </c>
      <c r="B105" s="5">
        <v>429127</v>
      </c>
    </row>
    <row r="106" spans="1:2" x14ac:dyDescent="0.45">
      <c r="A106" s="43" t="s">
        <v>210</v>
      </c>
      <c r="B106" s="5">
        <v>430110</v>
      </c>
    </row>
    <row r="107" spans="1:2" x14ac:dyDescent="0.45">
      <c r="A107" s="43" t="s">
        <v>210</v>
      </c>
      <c r="B107" s="5">
        <v>430110</v>
      </c>
    </row>
    <row r="108" spans="1:2" x14ac:dyDescent="0.45">
      <c r="A108" s="43" t="s">
        <v>211</v>
      </c>
      <c r="B108" s="5">
        <v>447204</v>
      </c>
    </row>
    <row r="109" spans="1:2" x14ac:dyDescent="0.45">
      <c r="A109" s="43" t="s">
        <v>211</v>
      </c>
      <c r="B109" s="5">
        <v>409150</v>
      </c>
    </row>
    <row r="110" spans="1:2" x14ac:dyDescent="0.45">
      <c r="A110" s="43" t="s">
        <v>194</v>
      </c>
      <c r="B110" s="5">
        <v>409150</v>
      </c>
    </row>
    <row r="111" spans="1:2" x14ac:dyDescent="0.45">
      <c r="A111" s="43" t="s">
        <v>203</v>
      </c>
      <c r="B111" s="5">
        <v>405898</v>
      </c>
    </row>
    <row r="112" spans="1:2" x14ac:dyDescent="0.45">
      <c r="A112" s="43" t="s">
        <v>212</v>
      </c>
      <c r="B112" s="5">
        <v>405898</v>
      </c>
    </row>
    <row r="113" spans="1:2" x14ac:dyDescent="0.45">
      <c r="A113" s="43" t="s">
        <v>212</v>
      </c>
      <c r="B113" s="5">
        <v>405898</v>
      </c>
    </row>
    <row r="114" spans="1:2" x14ac:dyDescent="0.45">
      <c r="A114" s="43" t="s">
        <v>213</v>
      </c>
      <c r="B114" s="5">
        <v>499697</v>
      </c>
    </row>
    <row r="115" spans="1:2" x14ac:dyDescent="0.45">
      <c r="A115" s="43" t="s">
        <v>213</v>
      </c>
      <c r="B115" s="5">
        <v>465035</v>
      </c>
    </row>
    <row r="116" spans="1:2" x14ac:dyDescent="0.45">
      <c r="A116" s="43" t="s">
        <v>213</v>
      </c>
      <c r="B116" s="5">
        <v>465035</v>
      </c>
    </row>
    <row r="117" spans="1:2" x14ac:dyDescent="0.45">
      <c r="A117" s="43" t="s">
        <v>196</v>
      </c>
      <c r="B117" s="5">
        <v>492975</v>
      </c>
    </row>
    <row r="118" spans="1:2" x14ac:dyDescent="0.45">
      <c r="A118" s="43" t="s">
        <v>214</v>
      </c>
      <c r="B118" s="5">
        <v>414882</v>
      </c>
    </row>
    <row r="119" spans="1:2" x14ac:dyDescent="0.45">
      <c r="A119" s="43" t="s">
        <v>214</v>
      </c>
      <c r="B119" s="5">
        <v>414882</v>
      </c>
    </row>
    <row r="120" spans="1:2" x14ac:dyDescent="0.45">
      <c r="A120" s="43" t="s">
        <v>215</v>
      </c>
      <c r="B120" s="5">
        <v>414882</v>
      </c>
    </row>
    <row r="121" spans="1:2" x14ac:dyDescent="0.45">
      <c r="A121" s="43" t="s">
        <v>208</v>
      </c>
      <c r="B121" s="5">
        <v>471684</v>
      </c>
    </row>
  </sheetData>
  <mergeCells count="1">
    <mergeCell ref="D35:E3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workbookViewId="0">
      <selection activeCell="I17" sqref="I17"/>
    </sheetView>
  </sheetViews>
  <sheetFormatPr defaultRowHeight="18" x14ac:dyDescent="0.45"/>
  <cols>
    <col min="1" max="1" width="26.140625" style="1" bestFit="1" customWidth="1"/>
    <col min="2" max="2" width="9.140625" style="1"/>
    <col min="3" max="6" width="13.85546875" style="1" bestFit="1" customWidth="1"/>
    <col min="7" max="7" width="14" style="1" bestFit="1" customWidth="1"/>
    <col min="8" max="9" width="14.5703125" style="1" bestFit="1" customWidth="1"/>
    <col min="10" max="16384" width="9.140625" style="1"/>
  </cols>
  <sheetData>
    <row r="1" spans="1:9" x14ac:dyDescent="0.45">
      <c r="A1" s="16" t="s">
        <v>229</v>
      </c>
    </row>
    <row r="2" spans="1:9" x14ac:dyDescent="0.45">
      <c r="A2" s="3" t="s">
        <v>16</v>
      </c>
      <c r="B2" s="3" t="s">
        <v>69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6" t="s">
        <v>20</v>
      </c>
      <c r="I2" s="7" t="s">
        <v>21</v>
      </c>
    </row>
    <row r="3" spans="1:9" x14ac:dyDescent="0.45">
      <c r="A3" s="4" t="s">
        <v>111</v>
      </c>
      <c r="B3" s="4" t="s">
        <v>72</v>
      </c>
      <c r="C3" s="5">
        <v>34226</v>
      </c>
      <c r="D3" s="5">
        <v>9077</v>
      </c>
      <c r="E3" s="5">
        <v>4378</v>
      </c>
      <c r="F3" s="5">
        <v>0</v>
      </c>
      <c r="G3" s="5">
        <v>122773</v>
      </c>
      <c r="H3" s="5">
        <v>104651</v>
      </c>
      <c r="I3" s="5">
        <f>G3*(1+پنل!E6)</f>
        <v>122773</v>
      </c>
    </row>
    <row r="4" spans="1:9" x14ac:dyDescent="0.45">
      <c r="A4" s="4" t="s">
        <v>112</v>
      </c>
      <c r="B4" s="4" t="s">
        <v>72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x14ac:dyDescent="0.45">
      <c r="A5" s="4" t="s">
        <v>113</v>
      </c>
      <c r="B5" s="4" t="s">
        <v>72</v>
      </c>
      <c r="C5" s="5">
        <v>4127</v>
      </c>
      <c r="D5" s="5">
        <v>4401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45">
      <c r="A6" s="4" t="s">
        <v>114</v>
      </c>
      <c r="B6" s="4" t="s">
        <v>72</v>
      </c>
      <c r="C6" s="5">
        <v>77587</v>
      </c>
      <c r="D6" s="5">
        <v>97566</v>
      </c>
      <c r="E6" s="5">
        <v>52883</v>
      </c>
      <c r="F6" s="5">
        <v>47134</v>
      </c>
      <c r="G6" s="5">
        <v>12563</v>
      </c>
      <c r="H6" s="5">
        <v>117144</v>
      </c>
      <c r="I6" s="5">
        <f>H6</f>
        <v>117144</v>
      </c>
    </row>
    <row r="7" spans="1:9" x14ac:dyDescent="0.45">
      <c r="A7" s="4" t="s">
        <v>115</v>
      </c>
      <c r="B7" s="4" t="s">
        <v>72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45">
      <c r="A8" s="4" t="s">
        <v>116</v>
      </c>
      <c r="B8" s="4" t="s">
        <v>72</v>
      </c>
      <c r="C8" s="5">
        <v>1046</v>
      </c>
      <c r="D8" s="5">
        <v>1198</v>
      </c>
      <c r="E8" s="5">
        <v>1185</v>
      </c>
      <c r="F8" s="5">
        <v>1372</v>
      </c>
      <c r="G8" s="5">
        <v>1787</v>
      </c>
      <c r="H8" s="5">
        <v>2142</v>
      </c>
      <c r="I8" s="5">
        <f>G8*(1+پنل!E5)</f>
        <v>2323.1</v>
      </c>
    </row>
    <row r="9" spans="1:9" x14ac:dyDescent="0.45">
      <c r="A9" s="4" t="s">
        <v>117</v>
      </c>
      <c r="B9" s="4" t="s">
        <v>72</v>
      </c>
      <c r="C9" s="5">
        <v>8477</v>
      </c>
      <c r="D9" s="5">
        <v>7608</v>
      </c>
      <c r="E9" s="5">
        <v>12345</v>
      </c>
      <c r="F9" s="5">
        <v>50473</v>
      </c>
      <c r="G9" s="5">
        <v>16326</v>
      </c>
      <c r="H9" s="5">
        <v>13894</v>
      </c>
      <c r="I9" s="5">
        <v>13894</v>
      </c>
    </row>
    <row r="10" spans="1:9" x14ac:dyDescent="0.45">
      <c r="A10" s="40" t="s">
        <v>118</v>
      </c>
      <c r="B10" s="40" t="s">
        <v>72</v>
      </c>
      <c r="C10" s="35">
        <v>143793</v>
      </c>
      <c r="D10" s="35">
        <v>216178</v>
      </c>
      <c r="E10" s="35">
        <v>337838</v>
      </c>
      <c r="F10" s="35">
        <v>390142</v>
      </c>
      <c r="G10" s="35">
        <v>742273</v>
      </c>
      <c r="H10" s="35">
        <v>946581</v>
      </c>
      <c r="I10" s="35">
        <f>G10*(1+پنل!E4)</f>
        <v>1039182.2</v>
      </c>
    </row>
    <row r="11" spans="1:9" x14ac:dyDescent="0.45">
      <c r="A11" s="4" t="s">
        <v>119</v>
      </c>
      <c r="B11" s="4" t="s">
        <v>72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45">
      <c r="A12" s="4" t="s">
        <v>120</v>
      </c>
      <c r="B12" s="4" t="s">
        <v>72</v>
      </c>
      <c r="C12" s="5">
        <v>62163</v>
      </c>
      <c r="D12" s="5">
        <v>81782</v>
      </c>
      <c r="E12" s="5">
        <v>162485</v>
      </c>
      <c r="F12" s="5">
        <v>430021</v>
      </c>
      <c r="G12" s="5">
        <v>355765</v>
      </c>
      <c r="H12" s="5">
        <v>241375</v>
      </c>
      <c r="I12" s="5">
        <f>G12*(1+پنل!E5)</f>
        <v>462494.5</v>
      </c>
    </row>
    <row r="13" spans="1:9" x14ac:dyDescent="0.45">
      <c r="A13" s="4" t="s">
        <v>66</v>
      </c>
      <c r="B13" s="4" t="s">
        <v>72</v>
      </c>
      <c r="C13" s="5">
        <v>331419</v>
      </c>
      <c r="D13" s="5">
        <v>417810</v>
      </c>
      <c r="E13" s="5">
        <v>571114</v>
      </c>
      <c r="F13" s="5">
        <v>919142</v>
      </c>
      <c r="G13" s="5">
        <v>1251487</v>
      </c>
      <c r="H13" s="5">
        <f>SUM(H3:H12)</f>
        <v>1425787</v>
      </c>
      <c r="I13" s="5">
        <f>SUM(I3:I12)</f>
        <v>1757810.8</v>
      </c>
    </row>
    <row r="15" spans="1:9" x14ac:dyDescent="0.45">
      <c r="A15" s="54" t="s">
        <v>238</v>
      </c>
      <c r="B15" s="4"/>
      <c r="C15" s="9">
        <f>C13/'سود وزیان'!B2</f>
        <v>3.6048685777683512E-2</v>
      </c>
      <c r="D15" s="9">
        <f>D13/'سود وزیان'!C2</f>
        <v>3.4593166199957129E-2</v>
      </c>
      <c r="E15" s="9">
        <f>E13/'سود وزیان'!D2</f>
        <v>3.3872500414870131E-2</v>
      </c>
      <c r="F15" s="9">
        <f>F13/'سود وزیان'!E2</f>
        <v>2.7318728265052612E-2</v>
      </c>
      <c r="G15" s="9">
        <f>G13/'سود وزیان'!F2</f>
        <v>2.5147725078797693E-2</v>
      </c>
      <c r="H15" s="9">
        <f>H13/'سود وزیان'!G2</f>
        <v>2.0948921043558038E-2</v>
      </c>
      <c r="I15" s="9">
        <f>I13/'سود وزیان'!H2</f>
        <v>2.4879723900728068E-2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EPS</vt:lpstr>
      <vt:lpstr>پنل</vt:lpstr>
      <vt:lpstr>مفروضات ترازنامه</vt:lpstr>
      <vt:lpstr>سود وزیان</vt:lpstr>
      <vt:lpstr>تراز نامه</vt:lpstr>
      <vt:lpstr>جریان وجوه نقد</vt:lpstr>
      <vt:lpstr>هزینه مالی</vt:lpstr>
      <vt:lpstr>تولید فروش</vt:lpstr>
      <vt:lpstr>بهای تمام شده</vt:lpstr>
      <vt:lpstr>مواد مستقیم</vt:lpstr>
      <vt:lpstr>سربار</vt:lpstr>
      <vt:lpstr>قیمت مواد اولیه</vt:lpstr>
      <vt:lpstr>عمومی اداری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2022-07-01T11:43:02Z</dcterms:created>
  <dcterms:modified xsi:type="dcterms:W3CDTF">2022-07-05T20:13:22Z</dcterms:modified>
</cp:coreProperties>
</file>