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t and Lo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<sst xmlns="http://schemas.openxmlformats.org/spreadsheetml/2006/main" count="117" uniqueCount="83">
  <si>
    <t xml:space="preserve">Bellagiu Surgical Center Inc.</t>
  </si>
  <si>
    <t xml:space="preserve">Profit and Loss</t>
  </si>
  <si>
    <t xml:space="preserve">January - September, 2021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</si>
  <si>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</si>
  <si>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</si>
  <si>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</si>
  <si>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</si>
  <si>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</si>
  <si>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</si>
  <si>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</si>
  <si>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</si>
  <si>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</si>
  <si>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Total</t>
  </si>
  <si>
    <t xml:space="preserve">Notes to Developers</t>
  </si>
  <si>
    <t xml:space="preserve">Income</t>
  </si>
  <si>
    <t xml:space="preserve">   4000 Surgery Income</t>
  </si>
  <si>
    <t xml:space="preserve">      4050 Income Dr. Mendieta</t>
  </si>
  <si>
    <t xml:space="preserve">         4031 Cosmetic Surgery-Dr. Mendieta</t>
  </si>
  <si>
    <t xml:space="preserve">All from 4 Beauty</t>
  </si>
  <si>
    <t xml:space="preserve">      Total 4050 Income Dr. Mendieta</t>
  </si>
  <si>
    <t xml:space="preserve">      4100 Income Dr. Gerth</t>
  </si>
  <si>
    <t xml:space="preserve">         4131 GCosmetic Surgery</t>
  </si>
  <si>
    <t xml:space="preserve">      Total 4100 Income Dr. Gerth</t>
  </si>
  <si>
    <t xml:space="preserve">      4400 Income Dr. Nadal</t>
  </si>
  <si>
    <t xml:space="preserve">         4431 NCosmetic Surgery</t>
  </si>
  <si>
    <t xml:space="preserve">      Total 4400 Income Dr. Nadal</t>
  </si>
  <si>
    <t xml:space="preserve">   Total 4000 Surgery Income</t>
  </si>
  <si>
    <t xml:space="preserve">Total Income</t>
  </si>
  <si>
    <t xml:space="preserve">Bellagiu's total income </t>
  </si>
  <si>
    <t xml:space="preserve">Cost of Goods Sold</t>
  </si>
  <si>
    <t xml:space="preserve">   5115 Anesthesia Fees</t>
  </si>
  <si>
    <t xml:space="preserve">Expense (should be in the Bills file)</t>
  </si>
  <si>
    <t xml:space="preserve">   6116 G Anesthesia Fees</t>
  </si>
  <si>
    <t xml:space="preserve">   6117 N Anesthesia Fees</t>
  </si>
  <si>
    <t xml:space="preserve">   6220 Laboratory Expenses</t>
  </si>
  <si>
    <t xml:space="preserve">   6235 Medical Supplies</t>
  </si>
  <si>
    <t xml:space="preserve">Total Cost of Goods Sold</t>
  </si>
  <si>
    <t xml:space="preserve">Gross Profit</t>
  </si>
  <si>
    <t xml:space="preserve">Expenses</t>
  </si>
  <si>
    <t xml:space="preserve">   6000 Sales &amp; Marketing Expenses</t>
  </si>
  <si>
    <t xml:space="preserve">      6055 Business Gifts</t>
  </si>
  <si>
    <t xml:space="preserve">      6065 Meals</t>
  </si>
  <si>
    <t xml:space="preserve">      6080 Travel</t>
  </si>
  <si>
    <t xml:space="preserve">   Total 6000 Sales &amp; Marketing Expenses</t>
  </si>
  <si>
    <t xml:space="preserve">   6100 G&amp;A Expenses</t>
  </si>
  <si>
    <t xml:space="preserve">      6110 Automobile Expense</t>
  </si>
  <si>
    <t xml:space="preserve">      6112 Accounts Payable Service Fees</t>
  </si>
  <si>
    <t xml:space="preserve">      6115 Bank Service Charges</t>
  </si>
  <si>
    <t xml:space="preserve">      6130 Dues and Subscriptions</t>
  </si>
  <si>
    <t xml:space="preserve">      6165 Licenses and Permit</t>
  </si>
  <si>
    <t xml:space="preserve">      6170 Office Expenses</t>
  </si>
  <si>
    <t xml:space="preserve">      6172 Office Meals</t>
  </si>
  <si>
    <t xml:space="preserve">      6174 Office Supplies</t>
  </si>
  <si>
    <t xml:space="preserve">      6180 Professional Fees</t>
  </si>
  <si>
    <t xml:space="preserve">         6182 Accounting</t>
  </si>
  <si>
    <t xml:space="preserve">      Total 6180 Professional Fees</t>
  </si>
  <si>
    <t xml:space="preserve">      6190 Tangible Property Tax</t>
  </si>
  <si>
    <t xml:space="preserve">      6195 Tolls and Parking</t>
  </si>
  <si>
    <t xml:space="preserve">   Total 6100 G&amp;A Expenses</t>
  </si>
  <si>
    <t xml:space="preserve">   6500 Staff Costing</t>
  </si>
  <si>
    <t xml:space="preserve">      6504 Payroll - Employees</t>
  </si>
  <si>
    <t xml:space="preserve">      6505 Payroll Taxes</t>
  </si>
  <si>
    <t xml:space="preserve">      6507 Medical Professional Fees</t>
  </si>
  <si>
    <t xml:space="preserve">      6510 Health Insurance</t>
  </si>
  <si>
    <t xml:space="preserve">      6513 Workers Comp</t>
  </si>
  <si>
    <t xml:space="preserve">      6520 Payroll Processing Fees</t>
  </si>
  <si>
    <t xml:space="preserve">   Total 6500 Staff Costing</t>
  </si>
  <si>
    <t xml:space="preserve">   6840 Overhead Costs</t>
  </si>
  <si>
    <t xml:space="preserve">      6290 Rent Expense</t>
  </si>
  <si>
    <t xml:space="preserve">      6300 Repairs and Maintenance</t>
  </si>
  <si>
    <t xml:space="preserve">         6301 Repairs and Maintenance</t>
  </si>
  <si>
    <t xml:space="preserve">         6800 Waste Management</t>
  </si>
  <si>
    <t xml:space="preserve">      Total 6300 Repairs and Maintenance</t>
  </si>
  <si>
    <t xml:space="preserve"> </t>
  </si>
  <si>
    <t xml:space="preserve">      6390 Utilities</t>
  </si>
  <si>
    <t xml:space="preserve">         6394 Electric</t>
  </si>
  <si>
    <t xml:space="preserve">         6395 Water</t>
  </si>
  <si>
    <t xml:space="preserve">      Total 6390 Utilities</t>
  </si>
  <si>
    <t xml:space="preserve">   Total 6840 Overhead Costs</t>
  </si>
  <si>
    <t xml:space="preserve">Total Expenses</t>
  </si>
  <si>
    <t xml:space="preserve">Net Operating Income</t>
  </si>
  <si>
    <t xml:space="preserve">Net Income</t>
  </si>
  <si>
    <t xml:space="preserve">Tuesday, Nov 02, 2021 05:59:33 AM GMT-7 - Accrual Basis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</si>
</sst>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_€"/>
    <numFmt numFmtId="166" formatCode="\$* #,##0.00\ _€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69" activeCellId="0" sqref="E6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7.78"/>
    <col collapsed="false" customWidth="true" hidden="false" outlineLevel="0" max="4" min="2" style="0" width="10.33"/>
    <col collapsed="false" customWidth="true" hidden="false" outlineLevel="0" max="5" min="5" style="0" width="11.22"/>
    <col collapsed="false" customWidth="true" hidden="false" outlineLevel="0" max="8" min="6" style="0" width="10.33"/>
    <col collapsed="false" customWidth="true" hidden="false" outlineLevel="0" max="9" min="9" style="0" width="11.22"/>
    <col collapsed="false" customWidth="true" hidden="false" outlineLevel="0" max="10" min="10" style="0" width="10.33"/>
    <col collapsed="false" customWidth="true" hidden="false" outlineLevel="0" max="11" min="11" style="0" width="12"/>
    <col collapsed="false" customWidth="true" hidden="false" outlineLevel="0" max="12" min="12" style="0" width="29.11"/>
  </cols>
  <sheetData>
    <row r="1" customFormat="false" ht="17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4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4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customFormat="false" ht="14.4" hidden="false" customHeight="false" outlineLevel="0" collapsed="false">
      <c r="A5" s="4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6" t="s">
        <v>13</v>
      </c>
    </row>
    <row r="6" customFormat="false" ht="14.4" hidden="false" customHeight="false" outlineLevel="0" collapsed="false">
      <c r="A6" s="7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customFormat="false" ht="14.4" hidden="false" customHeight="false" outlineLevel="0" collapsed="false">
      <c r="A7" s="7" t="s">
        <v>15</v>
      </c>
      <c r="B7" s="8"/>
      <c r="C7" s="8"/>
      <c r="D7" s="8"/>
      <c r="E7" s="8"/>
      <c r="F7" s="8"/>
      <c r="G7" s="8"/>
      <c r="H7" s="8"/>
      <c r="I7" s="8"/>
      <c r="J7" s="8"/>
      <c r="K7" s="10" t="n">
        <f aca="false">((((((((B7)+(C7))+(D7))+(E7))+(F7))+(G7))+(H7))+(I7))+(J7)</f>
        <v>0</v>
      </c>
      <c r="L7" s="9"/>
    </row>
    <row r="8" customFormat="false" ht="14.4" hidden="false" customHeight="false" outlineLevel="0" collapsed="false">
      <c r="A8" s="7" t="s">
        <v>16</v>
      </c>
      <c r="B8" s="8"/>
      <c r="C8" s="8"/>
      <c r="D8" s="8"/>
      <c r="E8" s="8"/>
      <c r="F8" s="8"/>
      <c r="G8" s="8"/>
      <c r="H8" s="8"/>
      <c r="I8" s="8"/>
      <c r="J8" s="8"/>
      <c r="K8" s="10" t="n">
        <f aca="false">((((((((B8)+(C8))+(D8))+(E8))+(F8))+(G8))+(H8))+(I8))+(J8)</f>
        <v>0</v>
      </c>
      <c r="L8" s="9"/>
    </row>
    <row r="9" customFormat="false" ht="14.4" hidden="false" customHeight="false" outlineLevel="0" collapsed="false">
      <c r="A9" s="7" t="s">
        <v>17</v>
      </c>
      <c r="B9" s="10" t="n">
        <f aca="false">629120</f>
        <v>629120</v>
      </c>
      <c r="C9" s="10" t="n">
        <f aca="false">595498</f>
        <v>595498</v>
      </c>
      <c r="D9" s="10" t="n">
        <f aca="false">676912</f>
        <v>676912</v>
      </c>
      <c r="E9" s="10" t="n">
        <f aca="false">684178</f>
        <v>684178</v>
      </c>
      <c r="F9" s="10" t="n">
        <f aca="false">560768</f>
        <v>560768</v>
      </c>
      <c r="G9" s="10" t="n">
        <f aca="false">757878</f>
        <v>757878</v>
      </c>
      <c r="H9" s="10" t="n">
        <f aca="false">648196</f>
        <v>648196</v>
      </c>
      <c r="I9" s="10" t="n">
        <f aca="false">702712</f>
        <v>702712</v>
      </c>
      <c r="J9" s="10" t="n">
        <f aca="false">576335.99</f>
        <v>576335.99</v>
      </c>
      <c r="K9" s="10" t="n">
        <f aca="false">((((((((B9)+(C9))+(D9))+(E9))+(F9))+(G9))+(H9))+(I9))+(J9)</f>
        <v>5831597.99</v>
      </c>
      <c r="L9" s="9" t="s">
        <v>18</v>
      </c>
    </row>
    <row r="10" customFormat="false" ht="14.4" hidden="false" customHeight="false" outlineLevel="0" collapsed="false">
      <c r="A10" s="7" t="s">
        <v>19</v>
      </c>
      <c r="B10" s="11" t="n">
        <f aca="false">(B8)+(B9)</f>
        <v>629120</v>
      </c>
      <c r="C10" s="11" t="n">
        <f aca="false">(C8)+(C9)</f>
        <v>595498</v>
      </c>
      <c r="D10" s="11" t="n">
        <f aca="false">(D8)+(D9)</f>
        <v>676912</v>
      </c>
      <c r="E10" s="11" t="n">
        <f aca="false">(E8)+(E9)</f>
        <v>684178</v>
      </c>
      <c r="F10" s="11" t="n">
        <f aca="false">(F8)+(F9)</f>
        <v>560768</v>
      </c>
      <c r="G10" s="11" t="n">
        <f aca="false">(G8)+(G9)</f>
        <v>757878</v>
      </c>
      <c r="H10" s="11" t="n">
        <f aca="false">(H8)+(H9)</f>
        <v>648196</v>
      </c>
      <c r="I10" s="11" t="n">
        <f aca="false">(I8)+(I9)</f>
        <v>702712</v>
      </c>
      <c r="J10" s="11" t="n">
        <f aca="false">(J8)+(J9)</f>
        <v>576335.99</v>
      </c>
      <c r="K10" s="11" t="n">
        <f aca="false">((((((((B10)+(C10))+(D10))+(E10))+(F10))+(G10))+(H10))+(I10))+(J10)</f>
        <v>5831597.99</v>
      </c>
      <c r="L10" s="9"/>
    </row>
    <row r="11" customFormat="false" ht="14.4" hidden="false" customHeight="false" outlineLevel="0" collapsed="false">
      <c r="A11" s="7" t="s">
        <v>20</v>
      </c>
      <c r="B11" s="8"/>
      <c r="C11" s="8"/>
      <c r="D11" s="8"/>
      <c r="E11" s="8"/>
      <c r="F11" s="8"/>
      <c r="G11" s="8"/>
      <c r="H11" s="8"/>
      <c r="I11" s="8"/>
      <c r="J11" s="8"/>
      <c r="K11" s="10" t="n">
        <f aca="false">((((((((B11)+(C11))+(D11))+(E11))+(F11))+(G11))+(H11))+(I11))+(J11)</f>
        <v>0</v>
      </c>
      <c r="L11" s="9"/>
    </row>
    <row r="12" customFormat="false" ht="14.4" hidden="false" customHeight="false" outlineLevel="0" collapsed="false">
      <c r="A12" s="7" t="s">
        <v>21</v>
      </c>
      <c r="B12" s="10" t="n">
        <f aca="false">72770</f>
        <v>72770</v>
      </c>
      <c r="C12" s="10" t="n">
        <f aca="false">70338</f>
        <v>70338</v>
      </c>
      <c r="D12" s="10" t="n">
        <f aca="false">120290</f>
        <v>120290</v>
      </c>
      <c r="E12" s="10" t="n">
        <f aca="false">53546</f>
        <v>53546</v>
      </c>
      <c r="F12" s="10" t="n">
        <f aca="false">103178</f>
        <v>103178</v>
      </c>
      <c r="G12" s="10" t="n">
        <f aca="false">88273</f>
        <v>88273</v>
      </c>
      <c r="H12" s="10" t="n">
        <f aca="false">79720</f>
        <v>79720</v>
      </c>
      <c r="I12" s="10" t="n">
        <f aca="false">35438</f>
        <v>35438</v>
      </c>
      <c r="J12" s="10" t="n">
        <f aca="false">59134</f>
        <v>59134</v>
      </c>
      <c r="K12" s="10" t="n">
        <f aca="false">((((((((B12)+(C12))+(D12))+(E12))+(F12))+(G12))+(H12))+(I12))+(J12)</f>
        <v>682687</v>
      </c>
      <c r="L12" s="9" t="s">
        <v>18</v>
      </c>
    </row>
    <row r="13" customFormat="false" ht="14.4" hidden="false" customHeight="false" outlineLevel="0" collapsed="false">
      <c r="A13" s="7" t="s">
        <v>22</v>
      </c>
      <c r="B13" s="11" t="n">
        <f aca="false">(B11)+(B12)</f>
        <v>72770</v>
      </c>
      <c r="C13" s="11" t="n">
        <f aca="false">(C11)+(C12)</f>
        <v>70338</v>
      </c>
      <c r="D13" s="11" t="n">
        <f aca="false">(D11)+(D12)</f>
        <v>120290</v>
      </c>
      <c r="E13" s="11" t="n">
        <f aca="false">(E11)+(E12)</f>
        <v>53546</v>
      </c>
      <c r="F13" s="11" t="n">
        <f aca="false">(F11)+(F12)</f>
        <v>103178</v>
      </c>
      <c r="G13" s="11" t="n">
        <f aca="false">(G11)+(G12)</f>
        <v>88273</v>
      </c>
      <c r="H13" s="11" t="n">
        <f aca="false">(H11)+(H12)</f>
        <v>79720</v>
      </c>
      <c r="I13" s="11" t="n">
        <f aca="false">(I11)+(I12)</f>
        <v>35438</v>
      </c>
      <c r="J13" s="11" t="n">
        <f aca="false">(J11)+(J12)</f>
        <v>59134</v>
      </c>
      <c r="K13" s="11" t="n">
        <f aca="false">((((((((B13)+(C13))+(D13))+(E13))+(F13))+(G13))+(H13))+(I13))+(J13)</f>
        <v>682687</v>
      </c>
      <c r="L13" s="9"/>
    </row>
    <row r="14" customFormat="false" ht="14.4" hidden="false" customHeight="false" outlineLevel="0" collapsed="false">
      <c r="A14" s="7" t="s">
        <v>23</v>
      </c>
      <c r="B14" s="8"/>
      <c r="C14" s="8"/>
      <c r="D14" s="8"/>
      <c r="E14" s="8"/>
      <c r="F14" s="8"/>
      <c r="G14" s="8"/>
      <c r="H14" s="8"/>
      <c r="I14" s="8"/>
      <c r="J14" s="8"/>
      <c r="K14" s="10" t="n">
        <f aca="false">((((((((B14)+(C14))+(D14))+(E14))+(F14))+(G14))+(H14))+(I14))+(J14)</f>
        <v>0</v>
      </c>
      <c r="L14" s="9"/>
    </row>
    <row r="15" customFormat="false" ht="14.4" hidden="false" customHeight="false" outlineLevel="0" collapsed="false">
      <c r="A15" s="7" t="s">
        <v>24</v>
      </c>
      <c r="B15" s="10" t="n">
        <f aca="false">8596</f>
        <v>8596</v>
      </c>
      <c r="C15" s="10" t="n">
        <f aca="false">4798</f>
        <v>4798</v>
      </c>
      <c r="D15" s="10" t="n">
        <f aca="false">1800</f>
        <v>1800</v>
      </c>
      <c r="E15" s="10" t="n">
        <f aca="false">1918</f>
        <v>1918</v>
      </c>
      <c r="F15" s="8"/>
      <c r="G15" s="10" t="n">
        <f aca="false">5398</f>
        <v>5398</v>
      </c>
      <c r="H15" s="10" t="n">
        <f aca="false">4458</f>
        <v>4458</v>
      </c>
      <c r="I15" s="10" t="n">
        <f aca="false">2598</f>
        <v>2598</v>
      </c>
      <c r="J15" s="8"/>
      <c r="K15" s="10" t="n">
        <f aca="false">((((((((B15)+(C15))+(D15))+(E15))+(F15))+(G15))+(H15))+(I15))+(J15)</f>
        <v>29566</v>
      </c>
      <c r="L15" s="9" t="s">
        <v>18</v>
      </c>
    </row>
    <row r="16" customFormat="false" ht="14.4" hidden="false" customHeight="false" outlineLevel="0" collapsed="false">
      <c r="A16" s="7" t="s">
        <v>25</v>
      </c>
      <c r="B16" s="11" t="n">
        <f aca="false">(B14)+(B15)</f>
        <v>8596</v>
      </c>
      <c r="C16" s="11" t="n">
        <f aca="false">(C14)+(C15)</f>
        <v>4798</v>
      </c>
      <c r="D16" s="11" t="n">
        <f aca="false">(D14)+(D15)</f>
        <v>1800</v>
      </c>
      <c r="E16" s="11" t="n">
        <f aca="false">(E14)+(E15)</f>
        <v>1918</v>
      </c>
      <c r="F16" s="11" t="n">
        <f aca="false">(F14)+(F15)</f>
        <v>0</v>
      </c>
      <c r="G16" s="11" t="n">
        <f aca="false">(G14)+(G15)</f>
        <v>5398</v>
      </c>
      <c r="H16" s="11" t="n">
        <f aca="false">(H14)+(H15)</f>
        <v>4458</v>
      </c>
      <c r="I16" s="11" t="n">
        <f aca="false">(I14)+(I15)</f>
        <v>2598</v>
      </c>
      <c r="J16" s="11" t="n">
        <f aca="false">(J14)+(J15)</f>
        <v>0</v>
      </c>
      <c r="K16" s="11" t="n">
        <f aca="false">((((((((B16)+(C16))+(D16))+(E16))+(F16))+(G16))+(H16))+(I16))+(J16)</f>
        <v>29566</v>
      </c>
      <c r="L16" s="9"/>
    </row>
    <row r="17" customFormat="false" ht="14.4" hidden="false" customHeight="false" outlineLevel="0" collapsed="false">
      <c r="A17" s="7" t="s">
        <v>26</v>
      </c>
      <c r="B17" s="11" t="n">
        <f aca="false">(((B7)+(B10))+(B13))+(B16)</f>
        <v>710486</v>
      </c>
      <c r="C17" s="11" t="n">
        <f aca="false">(((C7)+(C10))+(C13))+(C16)</f>
        <v>670634</v>
      </c>
      <c r="D17" s="11" t="n">
        <f aca="false">(((D7)+(D10))+(D13))+(D16)</f>
        <v>799002</v>
      </c>
      <c r="E17" s="11" t="n">
        <f aca="false">(((E7)+(E10))+(E13))+(E16)</f>
        <v>739642</v>
      </c>
      <c r="F17" s="11" t="n">
        <f aca="false">(((F7)+(F10))+(F13))+(F16)</f>
        <v>663946</v>
      </c>
      <c r="G17" s="11" t="n">
        <f aca="false">(((G7)+(G10))+(G13))+(G16)</f>
        <v>851549</v>
      </c>
      <c r="H17" s="11" t="n">
        <f aca="false">(((H7)+(H10))+(H13))+(H16)</f>
        <v>732374</v>
      </c>
      <c r="I17" s="11" t="n">
        <f aca="false">(((I7)+(I10))+(I13))+(I16)</f>
        <v>740748</v>
      </c>
      <c r="J17" s="11" t="n">
        <f aca="false">(((J7)+(J10))+(J13))+(J16)</f>
        <v>635469.99</v>
      </c>
      <c r="K17" s="11" t="n">
        <f aca="false">((((((((B17)+(C17))+(D17))+(E17))+(F17))+(G17))+(H17))+(I17))+(J17)</f>
        <v>6543850.99</v>
      </c>
      <c r="L17" s="9"/>
    </row>
    <row r="18" customFormat="false" ht="14.4" hidden="false" customHeight="false" outlineLevel="0" collapsed="false">
      <c r="A18" s="7" t="s">
        <v>27</v>
      </c>
      <c r="B18" s="11" t="n">
        <f aca="false">B17</f>
        <v>710486</v>
      </c>
      <c r="C18" s="11" t="n">
        <f aca="false">C17</f>
        <v>670634</v>
      </c>
      <c r="D18" s="11" t="n">
        <f aca="false">D17</f>
        <v>799002</v>
      </c>
      <c r="E18" s="11" t="n">
        <f aca="false">E17</f>
        <v>739642</v>
      </c>
      <c r="F18" s="11" t="n">
        <f aca="false">F17</f>
        <v>663946</v>
      </c>
      <c r="G18" s="11" t="n">
        <f aca="false">G17</f>
        <v>851549</v>
      </c>
      <c r="H18" s="11" t="n">
        <f aca="false">H17</f>
        <v>732374</v>
      </c>
      <c r="I18" s="11" t="n">
        <f aca="false">I17</f>
        <v>740748</v>
      </c>
      <c r="J18" s="11" t="n">
        <f aca="false">J17</f>
        <v>635469.99</v>
      </c>
      <c r="K18" s="11" t="n">
        <f aca="false">((((((((B18)+(C18))+(D18))+(E18))+(F18))+(G18))+(H18))+(I18))+(J18)</f>
        <v>6543850.99</v>
      </c>
      <c r="L18" s="12" t="s">
        <v>28</v>
      </c>
    </row>
    <row r="19" customFormat="false" ht="14.4" hidden="false" customHeight="false" outlineLevel="0" collapsed="false">
      <c r="A19" s="7" t="s">
        <v>29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customFormat="false" ht="14.4" hidden="false" customHeight="false" outlineLevel="0" collapsed="false">
      <c r="A20" s="7" t="s">
        <v>30</v>
      </c>
      <c r="B20" s="10" t="n">
        <f aca="false">118145</f>
        <v>118145</v>
      </c>
      <c r="C20" s="10" t="n">
        <f aca="false">105620</f>
        <v>105620</v>
      </c>
      <c r="D20" s="10" t="n">
        <f aca="false">113455</f>
        <v>113455</v>
      </c>
      <c r="E20" s="10" t="n">
        <f aca="false">118320</f>
        <v>118320</v>
      </c>
      <c r="F20" s="10" t="n">
        <f aca="false">94071</f>
        <v>94071</v>
      </c>
      <c r="G20" s="10" t="n">
        <f aca="false">125620</f>
        <v>125620</v>
      </c>
      <c r="H20" s="10" t="n">
        <f aca="false">106260</f>
        <v>106260</v>
      </c>
      <c r="I20" s="10" t="n">
        <f aca="false">113175</f>
        <v>113175</v>
      </c>
      <c r="J20" s="10" t="n">
        <f aca="false">94235</f>
        <v>94235</v>
      </c>
      <c r="K20" s="10" t="n">
        <f aca="false">((((((((B20)+(C20))+(D20))+(E20))+(F20))+(G20))+(H20))+(I20))+(J20)</f>
        <v>988901</v>
      </c>
      <c r="L20" s="9" t="s">
        <v>31</v>
      </c>
    </row>
    <row r="21" customFormat="false" ht="14.4" hidden="false" customHeight="false" outlineLevel="0" collapsed="false">
      <c r="A21" s="7" t="s">
        <v>32</v>
      </c>
      <c r="B21" s="10" t="n">
        <f aca="false">12800</f>
        <v>12800</v>
      </c>
      <c r="C21" s="10" t="n">
        <f aca="false">8470</f>
        <v>8470</v>
      </c>
      <c r="D21" s="10" t="n">
        <f aca="false">22745</f>
        <v>22745</v>
      </c>
      <c r="E21" s="10" t="n">
        <f aca="false">7125</f>
        <v>7125</v>
      </c>
      <c r="F21" s="10" t="n">
        <f aca="false">15520</f>
        <v>15520</v>
      </c>
      <c r="G21" s="10" t="n">
        <f aca="false">13690</f>
        <v>13690</v>
      </c>
      <c r="H21" s="10" t="n">
        <f aca="false">13275</f>
        <v>13275</v>
      </c>
      <c r="I21" s="10" t="n">
        <f aca="false">4315</f>
        <v>4315</v>
      </c>
      <c r="J21" s="10" t="n">
        <f aca="false">8550</f>
        <v>8550</v>
      </c>
      <c r="K21" s="10" t="n">
        <f aca="false">((((((((B21)+(C21))+(D21))+(E21))+(F21))+(G21))+(H21))+(I21))+(J21)</f>
        <v>106490</v>
      </c>
      <c r="L21" s="9" t="s">
        <v>31</v>
      </c>
    </row>
    <row r="22" customFormat="false" ht="14.4" hidden="false" customHeight="false" outlineLevel="0" collapsed="false">
      <c r="A22" s="7" t="s">
        <v>33</v>
      </c>
      <c r="B22" s="10" t="n">
        <f aca="false">1660</f>
        <v>1660</v>
      </c>
      <c r="C22" s="10" t="n">
        <f aca="false">850</f>
        <v>850</v>
      </c>
      <c r="D22" s="10" t="n">
        <f aca="false">575</f>
        <v>575</v>
      </c>
      <c r="E22" s="10" t="n">
        <f aca="false">350</f>
        <v>350</v>
      </c>
      <c r="F22" s="8"/>
      <c r="G22" s="10" t="n">
        <f aca="false">1000</f>
        <v>1000</v>
      </c>
      <c r="H22" s="10" t="n">
        <f aca="false">785</f>
        <v>785</v>
      </c>
      <c r="I22" s="10" t="n">
        <f aca="false">455</f>
        <v>455</v>
      </c>
      <c r="J22" s="8"/>
      <c r="K22" s="10" t="n">
        <f aca="false">((((((((B22)+(C22))+(D22))+(E22))+(F22))+(G22))+(H22))+(I22))+(J22)</f>
        <v>5675</v>
      </c>
      <c r="L22" s="9" t="s">
        <v>31</v>
      </c>
    </row>
    <row r="23" customFormat="false" ht="14.4" hidden="false" customHeight="false" outlineLevel="0" collapsed="false">
      <c r="A23" s="7" t="s">
        <v>34</v>
      </c>
      <c r="B23" s="10" t="n">
        <f aca="false">30609.11</f>
        <v>30609.11</v>
      </c>
      <c r="C23" s="10" t="n">
        <f aca="false">21818.08</f>
        <v>21818.08</v>
      </c>
      <c r="D23" s="10" t="n">
        <f aca="false">34466.33</f>
        <v>34466.33</v>
      </c>
      <c r="E23" s="10" t="n">
        <f aca="false">40492.61</f>
        <v>40492.61</v>
      </c>
      <c r="F23" s="10" t="n">
        <f aca="false">39536.18</f>
        <v>39536.18</v>
      </c>
      <c r="G23" s="10" t="n">
        <f aca="false">71103.32</f>
        <v>71103.32</v>
      </c>
      <c r="H23" s="10" t="n">
        <f aca="false">57563.51</f>
        <v>57563.51</v>
      </c>
      <c r="I23" s="10" t="n">
        <f aca="false">62484.42</f>
        <v>62484.42</v>
      </c>
      <c r="J23" s="10" t="n">
        <f aca="false">65665.14</f>
        <v>65665.14</v>
      </c>
      <c r="K23" s="10" t="n">
        <f aca="false">((((((((B23)+(C23))+(D23))+(E23))+(F23))+(G23))+(H23))+(I23))+(J23)</f>
        <v>423738.7</v>
      </c>
      <c r="L23" s="9" t="s">
        <v>31</v>
      </c>
    </row>
    <row r="24" customFormat="false" ht="14.4" hidden="false" customHeight="false" outlineLevel="0" collapsed="false">
      <c r="A24" s="7" t="s">
        <v>35</v>
      </c>
      <c r="B24" s="10" t="n">
        <f aca="false">392529.54</f>
        <v>392529.54</v>
      </c>
      <c r="C24" s="10" t="n">
        <f aca="false">200861.51</f>
        <v>200861.51</v>
      </c>
      <c r="D24" s="10" t="n">
        <f aca="false">276774.63</f>
        <v>276774.63</v>
      </c>
      <c r="E24" s="10" t="n">
        <f aca="false">521933.65</f>
        <v>521933.65</v>
      </c>
      <c r="F24" s="10" t="n">
        <f aca="false">225769.68</f>
        <v>225769.68</v>
      </c>
      <c r="G24" s="10" t="n">
        <f aca="false">303120.7</f>
        <v>303120.7</v>
      </c>
      <c r="H24" s="10" t="n">
        <f aca="false">263954</f>
        <v>263954</v>
      </c>
      <c r="I24" s="10" t="n">
        <f aca="false">323601.77</f>
        <v>323601.77</v>
      </c>
      <c r="J24" s="10" t="n">
        <f aca="false">173857.48</f>
        <v>173857.48</v>
      </c>
      <c r="K24" s="10" t="n">
        <f aca="false">((((((((B24)+(C24))+(D24))+(E24))+(F24))+(G24))+(H24))+(I24))+(J24)</f>
        <v>2682402.96</v>
      </c>
      <c r="L24" s="9" t="s">
        <v>31</v>
      </c>
    </row>
    <row r="25" customFormat="false" ht="14.4" hidden="false" customHeight="false" outlineLevel="0" collapsed="false">
      <c r="A25" s="7" t="s">
        <v>36</v>
      </c>
      <c r="B25" s="11" t="n">
        <f aca="false">((((B20)+(B21))+(B22))+(B23))+(B24)</f>
        <v>555743.65</v>
      </c>
      <c r="C25" s="11" t="n">
        <f aca="false">((((C20)+(C21))+(C22))+(C23))+(C24)</f>
        <v>337619.59</v>
      </c>
      <c r="D25" s="11" t="n">
        <f aca="false">((((D20)+(D21))+(D22))+(D23))+(D24)</f>
        <v>448015.96</v>
      </c>
      <c r="E25" s="11" t="n">
        <f aca="false">((((E20)+(E21))+(E22))+(E23))+(E24)</f>
        <v>688221.26</v>
      </c>
      <c r="F25" s="11" t="n">
        <f aca="false">((((F20)+(F21))+(F22))+(F23))+(F24)</f>
        <v>374896.86</v>
      </c>
      <c r="G25" s="11" t="n">
        <f aca="false">((((G20)+(G21))+(G22))+(G23))+(G24)</f>
        <v>514534.02</v>
      </c>
      <c r="H25" s="11" t="n">
        <f aca="false">((((H20)+(H21))+(H22))+(H23))+(H24)</f>
        <v>441837.51</v>
      </c>
      <c r="I25" s="11" t="n">
        <f aca="false">((((I20)+(I21))+(I22))+(I23))+(I24)</f>
        <v>504031.19</v>
      </c>
      <c r="J25" s="11" t="n">
        <f aca="false">((((J20)+(J21))+(J22))+(J23))+(J24)</f>
        <v>342307.62</v>
      </c>
      <c r="K25" s="11" t="n">
        <f aca="false">((((((((B25)+(C25))+(D25))+(E25))+(F25))+(G25))+(H25))+(I25))+(J25)</f>
        <v>4207207.66</v>
      </c>
      <c r="L25" s="9"/>
    </row>
    <row r="26" customFormat="false" ht="14.4" hidden="false" customHeight="false" outlineLevel="0" collapsed="false">
      <c r="A26" s="7" t="s">
        <v>37</v>
      </c>
      <c r="B26" s="11" t="n">
        <f aca="false">(B18)-(B25)</f>
        <v>154742.35</v>
      </c>
      <c r="C26" s="11" t="n">
        <f aca="false">(C18)-(C25)</f>
        <v>333014.41</v>
      </c>
      <c r="D26" s="11" t="n">
        <f aca="false">(D18)-(D25)</f>
        <v>350986.04</v>
      </c>
      <c r="E26" s="11" t="n">
        <f aca="false">(E18)-(E25)</f>
        <v>51420.74</v>
      </c>
      <c r="F26" s="11" t="n">
        <f aca="false">(F18)-(F25)</f>
        <v>289049.14</v>
      </c>
      <c r="G26" s="11" t="n">
        <f aca="false">(G18)-(G25)</f>
        <v>337014.98</v>
      </c>
      <c r="H26" s="11" t="n">
        <f aca="false">(H18)-(H25)</f>
        <v>290536.49</v>
      </c>
      <c r="I26" s="11" t="n">
        <f aca="false">(I18)-(I25)</f>
        <v>236716.81</v>
      </c>
      <c r="J26" s="11" t="n">
        <f aca="false">(J18)-(J25)</f>
        <v>293162.37</v>
      </c>
      <c r="K26" s="11" t="n">
        <f aca="false">((((((((B26)+(C26))+(D26))+(E26))+(F26))+(G26))+(H26))+(I26))+(J26)</f>
        <v>2336643.33</v>
      </c>
      <c r="L26" s="9"/>
    </row>
    <row r="27" customFormat="false" ht="14.4" hidden="false" customHeight="false" outlineLevel="0" collapsed="false">
      <c r="A27" s="7" t="s">
        <v>38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customFormat="false" ht="14.4" hidden="false" customHeight="false" outlineLevel="0" collapsed="false">
      <c r="A28" s="7" t="s">
        <v>39</v>
      </c>
      <c r="B28" s="8"/>
      <c r="C28" s="8"/>
      <c r="D28" s="8"/>
      <c r="E28" s="8"/>
      <c r="F28" s="8"/>
      <c r="G28" s="8"/>
      <c r="H28" s="8"/>
      <c r="I28" s="8"/>
      <c r="J28" s="8"/>
      <c r="K28" s="10" t="n">
        <f aca="false">((((((((B28)+(C28))+(D28))+(E28))+(F28))+(G28))+(H28))+(I28))+(J28)</f>
        <v>0</v>
      </c>
      <c r="L28" s="9"/>
    </row>
    <row r="29" customFormat="false" ht="14.4" hidden="false" customHeight="false" outlineLevel="0" collapsed="false">
      <c r="A29" s="7" t="s">
        <v>40</v>
      </c>
      <c r="B29" s="10" t="n">
        <f aca="false">200</f>
        <v>200</v>
      </c>
      <c r="C29" s="8"/>
      <c r="D29" s="10" t="n">
        <f aca="false">129.55</f>
        <v>129.55</v>
      </c>
      <c r="E29" s="8"/>
      <c r="F29" s="8"/>
      <c r="G29" s="8"/>
      <c r="H29" s="8"/>
      <c r="I29" s="8"/>
      <c r="J29" s="8"/>
      <c r="K29" s="10" t="n">
        <f aca="false">((((((((B29)+(C29))+(D29))+(E29))+(F29))+(G29))+(H29))+(I29))+(J29)</f>
        <v>329.55</v>
      </c>
      <c r="L29" s="9" t="s">
        <v>31</v>
      </c>
    </row>
    <row r="30" customFormat="false" ht="14.4" hidden="false" customHeight="false" outlineLevel="0" collapsed="false">
      <c r="A30" s="7" t="s">
        <v>41</v>
      </c>
      <c r="B30" s="10" t="n">
        <f aca="false">1180.85</f>
        <v>1180.85</v>
      </c>
      <c r="C30" s="10" t="n">
        <f aca="false">408.3</f>
        <v>408.3</v>
      </c>
      <c r="D30" s="10" t="n">
        <f aca="false">714.91</f>
        <v>714.91</v>
      </c>
      <c r="E30" s="10" t="n">
        <f aca="false">1270.15</f>
        <v>1270.15</v>
      </c>
      <c r="F30" s="10" t="n">
        <f aca="false">894.9</f>
        <v>894.9</v>
      </c>
      <c r="G30" s="10" t="n">
        <f aca="false">638.31</f>
        <v>638.31</v>
      </c>
      <c r="H30" s="10" t="n">
        <f aca="false">728.15</f>
        <v>728.15</v>
      </c>
      <c r="I30" s="10" t="n">
        <f aca="false">1282.73</f>
        <v>1282.73</v>
      </c>
      <c r="J30" s="10" t="n">
        <f aca="false">851.93</f>
        <v>851.93</v>
      </c>
      <c r="K30" s="10" t="n">
        <f aca="false">((((((((B30)+(C30))+(D30))+(E30))+(F30))+(G30))+(H30))+(I30))+(J30)</f>
        <v>7970.23</v>
      </c>
      <c r="L30" s="9" t="s">
        <v>31</v>
      </c>
    </row>
    <row r="31" customFormat="false" ht="14.4" hidden="false" customHeight="false" outlineLevel="0" collapsed="false">
      <c r="A31" s="7" t="s">
        <v>42</v>
      </c>
      <c r="B31" s="8"/>
      <c r="C31" s="8"/>
      <c r="D31" s="8"/>
      <c r="E31" s="8"/>
      <c r="F31" s="10" t="n">
        <f aca="false">1230.07</f>
        <v>1230.07</v>
      </c>
      <c r="G31" s="8"/>
      <c r="H31" s="8"/>
      <c r="I31" s="8"/>
      <c r="J31" s="10" t="n">
        <f aca="false">28</f>
        <v>28</v>
      </c>
      <c r="K31" s="10" t="n">
        <f aca="false">((((((((B31)+(C31))+(D31))+(E31))+(F31))+(G31))+(H31))+(I31))+(J31)</f>
        <v>1258.07</v>
      </c>
      <c r="L31" s="9" t="s">
        <v>31</v>
      </c>
    </row>
    <row r="32" customFormat="false" ht="14.4" hidden="false" customHeight="false" outlineLevel="0" collapsed="false">
      <c r="A32" s="7" t="s">
        <v>43</v>
      </c>
      <c r="B32" s="11" t="n">
        <f aca="false">(((B28)+(B29))+(B30))+(B31)</f>
        <v>1380.85</v>
      </c>
      <c r="C32" s="11" t="n">
        <f aca="false">(((C28)+(C29))+(C30))+(C31)</f>
        <v>408.3</v>
      </c>
      <c r="D32" s="11" t="n">
        <f aca="false">(((D28)+(D29))+(D30))+(D31)</f>
        <v>844.46</v>
      </c>
      <c r="E32" s="11" t="n">
        <f aca="false">(((E28)+(E29))+(E30))+(E31)</f>
        <v>1270.15</v>
      </c>
      <c r="F32" s="11" t="n">
        <f aca="false">(((F28)+(F29))+(F30))+(F31)</f>
        <v>2124.97</v>
      </c>
      <c r="G32" s="11" t="n">
        <f aca="false">(((G28)+(G29))+(G30))+(G31)</f>
        <v>638.31</v>
      </c>
      <c r="H32" s="11" t="n">
        <f aca="false">(((H28)+(H29))+(H30))+(H31)</f>
        <v>728.15</v>
      </c>
      <c r="I32" s="11" t="n">
        <f aca="false">(((I28)+(I29))+(I30))+(I31)</f>
        <v>1282.73</v>
      </c>
      <c r="J32" s="11" t="n">
        <f aca="false">(((J28)+(J29))+(J30))+(J31)</f>
        <v>879.93</v>
      </c>
      <c r="K32" s="11" t="n">
        <f aca="false">((((((((B32)+(C32))+(D32))+(E32))+(F32))+(G32))+(H32))+(I32))+(J32)</f>
        <v>9557.85</v>
      </c>
      <c r="L32" s="9"/>
    </row>
    <row r="33" customFormat="false" ht="14.4" hidden="false" customHeight="false" outlineLevel="0" collapsed="false">
      <c r="A33" s="7" t="s">
        <v>44</v>
      </c>
      <c r="B33" s="8"/>
      <c r="C33" s="8"/>
      <c r="D33" s="8"/>
      <c r="E33" s="8"/>
      <c r="F33" s="8"/>
      <c r="G33" s="8"/>
      <c r="H33" s="8"/>
      <c r="I33" s="8"/>
      <c r="J33" s="8"/>
      <c r="K33" s="10" t="n">
        <f aca="false">((((((((B33)+(C33))+(D33))+(E33))+(F33))+(G33))+(H33))+(I33))+(J33)</f>
        <v>0</v>
      </c>
      <c r="L33" s="9"/>
    </row>
    <row r="34" customFormat="false" ht="14.4" hidden="false" customHeight="false" outlineLevel="0" collapsed="false">
      <c r="A34" s="7" t="s">
        <v>45</v>
      </c>
      <c r="B34" s="8"/>
      <c r="C34" s="8"/>
      <c r="D34" s="8"/>
      <c r="E34" s="8"/>
      <c r="F34" s="10" t="n">
        <f aca="false">38.99</f>
        <v>38.99</v>
      </c>
      <c r="G34" s="8"/>
      <c r="H34" s="8"/>
      <c r="I34" s="8"/>
      <c r="J34" s="8"/>
      <c r="K34" s="10" t="n">
        <f aca="false">((((((((B34)+(C34))+(D34))+(E34))+(F34))+(G34))+(H34))+(I34))+(J34)</f>
        <v>38.99</v>
      </c>
      <c r="L34" s="9" t="s">
        <v>31</v>
      </c>
    </row>
    <row r="35" customFormat="false" ht="14.4" hidden="false" customHeight="false" outlineLevel="0" collapsed="false">
      <c r="A35" s="7" t="s">
        <v>46</v>
      </c>
      <c r="B35" s="10" t="n">
        <f aca="false">203.08</f>
        <v>203.08</v>
      </c>
      <c r="C35" s="10" t="n">
        <f aca="false">-119.18</f>
        <v>-119.18</v>
      </c>
      <c r="D35" s="10" t="n">
        <f aca="false">304.55</f>
        <v>304.55</v>
      </c>
      <c r="E35" s="10" t="n">
        <f aca="false">345.58</f>
        <v>345.58</v>
      </c>
      <c r="F35" s="10" t="n">
        <f aca="false">316.75</f>
        <v>316.75</v>
      </c>
      <c r="G35" s="10" t="n">
        <f aca="false">271.4</f>
        <v>271.4</v>
      </c>
      <c r="H35" s="10" t="n">
        <f aca="false">259.57</f>
        <v>259.57</v>
      </c>
      <c r="I35" s="10" t="n">
        <f aca="false">263.81</f>
        <v>263.81</v>
      </c>
      <c r="J35" s="10" t="n">
        <f aca="false">256.02</f>
        <v>256.02</v>
      </c>
      <c r="K35" s="10" t="n">
        <f aca="false">((((((((B35)+(C35))+(D35))+(E35))+(F35))+(G35))+(H35))+(I35))+(J35)</f>
        <v>2101.58</v>
      </c>
      <c r="L35" s="9" t="s">
        <v>31</v>
      </c>
    </row>
    <row r="36" customFormat="false" ht="14.4" hidden="false" customHeight="false" outlineLevel="0" collapsed="false">
      <c r="A36" s="7" t="s">
        <v>47</v>
      </c>
      <c r="B36" s="8"/>
      <c r="C36" s="8"/>
      <c r="D36" s="8"/>
      <c r="E36" s="8"/>
      <c r="F36" s="8"/>
      <c r="G36" s="8"/>
      <c r="H36" s="10" t="n">
        <f aca="false">20</f>
        <v>20</v>
      </c>
      <c r="I36" s="8"/>
      <c r="J36" s="8"/>
      <c r="K36" s="10" t="n">
        <f aca="false">((((((((B36)+(C36))+(D36))+(E36))+(F36))+(G36))+(H36))+(I36))+(J36)</f>
        <v>20</v>
      </c>
      <c r="L36" s="9" t="s">
        <v>31</v>
      </c>
    </row>
    <row r="37" customFormat="false" ht="14.4" hidden="false" customHeight="false" outlineLevel="0" collapsed="false">
      <c r="A37" s="7" t="s">
        <v>48</v>
      </c>
      <c r="B37" s="10" t="n">
        <f aca="false">595</f>
        <v>595</v>
      </c>
      <c r="C37" s="10" t="n">
        <f aca="false">180</f>
        <v>180</v>
      </c>
      <c r="D37" s="8"/>
      <c r="E37" s="8"/>
      <c r="F37" s="8"/>
      <c r="G37" s="8"/>
      <c r="H37" s="8"/>
      <c r="I37" s="8"/>
      <c r="J37" s="8"/>
      <c r="K37" s="10" t="n">
        <f aca="false">((((((((B37)+(C37))+(D37))+(E37))+(F37))+(G37))+(H37))+(I37))+(J37)</f>
        <v>775</v>
      </c>
      <c r="L37" s="9" t="s">
        <v>31</v>
      </c>
    </row>
    <row r="38" customFormat="false" ht="14.4" hidden="false" customHeight="false" outlineLevel="0" collapsed="false">
      <c r="A38" s="7" t="s">
        <v>49</v>
      </c>
      <c r="B38" s="8"/>
      <c r="C38" s="8"/>
      <c r="D38" s="8"/>
      <c r="E38" s="8"/>
      <c r="F38" s="8"/>
      <c r="G38" s="8"/>
      <c r="H38" s="10" t="n">
        <f aca="false">130.35</f>
        <v>130.35</v>
      </c>
      <c r="I38" s="8"/>
      <c r="J38" s="8"/>
      <c r="K38" s="10" t="n">
        <f aca="false">((((((((B38)+(C38))+(D38))+(E38))+(F38))+(G38))+(H38))+(I38))+(J38)</f>
        <v>130.35</v>
      </c>
      <c r="L38" s="9" t="s">
        <v>31</v>
      </c>
    </row>
    <row r="39" customFormat="false" ht="14.4" hidden="false" customHeight="false" outlineLevel="0" collapsed="false">
      <c r="A39" s="7" t="s">
        <v>50</v>
      </c>
      <c r="B39" s="10" t="n">
        <f aca="false">181.89</f>
        <v>181.89</v>
      </c>
      <c r="C39" s="8"/>
      <c r="D39" s="10" t="n">
        <f aca="false">484.91</f>
        <v>484.91</v>
      </c>
      <c r="E39" s="8"/>
      <c r="F39" s="10" t="n">
        <f aca="false">346.72</f>
        <v>346.72</v>
      </c>
      <c r="G39" s="10" t="n">
        <f aca="false">3474.77</f>
        <v>3474.77</v>
      </c>
      <c r="H39" s="10" t="n">
        <f aca="false">2638.15</f>
        <v>2638.15</v>
      </c>
      <c r="I39" s="10" t="n">
        <f aca="false">3461.46</f>
        <v>3461.46</v>
      </c>
      <c r="J39" s="10" t="n">
        <f aca="false">2324.12</f>
        <v>2324.12</v>
      </c>
      <c r="K39" s="10" t="n">
        <f aca="false">((((((((B39)+(C39))+(D39))+(E39))+(F39))+(G39))+(H39))+(I39))+(J39)</f>
        <v>12912.02</v>
      </c>
      <c r="L39" s="9" t="s">
        <v>31</v>
      </c>
    </row>
    <row r="40" customFormat="false" ht="14.4" hidden="false" customHeight="false" outlineLevel="0" collapsed="false">
      <c r="A40" s="7" t="s">
        <v>51</v>
      </c>
      <c r="B40" s="10" t="n">
        <f aca="false">9.39</f>
        <v>9.39</v>
      </c>
      <c r="C40" s="8"/>
      <c r="D40" s="8"/>
      <c r="E40" s="10" t="n">
        <f aca="false">58.07</f>
        <v>58.07</v>
      </c>
      <c r="F40" s="10" t="n">
        <f aca="false">249.86</f>
        <v>249.86</v>
      </c>
      <c r="G40" s="10" t="n">
        <f aca="false">109.32</f>
        <v>109.32</v>
      </c>
      <c r="H40" s="10" t="n">
        <f aca="false">147.23</f>
        <v>147.23</v>
      </c>
      <c r="I40" s="10" t="n">
        <f aca="false">34.69</f>
        <v>34.69</v>
      </c>
      <c r="J40" s="8"/>
      <c r="K40" s="10" t="n">
        <f aca="false">((((((((B40)+(C40))+(D40))+(E40))+(F40))+(G40))+(H40))+(I40))+(J40)</f>
        <v>608.56</v>
      </c>
      <c r="L40" s="9" t="s">
        <v>31</v>
      </c>
    </row>
    <row r="41" customFormat="false" ht="14.4" hidden="false" customHeight="false" outlineLevel="0" collapsed="false">
      <c r="A41" s="7" t="s">
        <v>52</v>
      </c>
      <c r="B41" s="8"/>
      <c r="C41" s="8"/>
      <c r="D41" s="8"/>
      <c r="E41" s="8"/>
      <c r="F41" s="8"/>
      <c r="G41" s="10" t="n">
        <f aca="false">214.2</f>
        <v>214.2</v>
      </c>
      <c r="H41" s="8"/>
      <c r="I41" s="8"/>
      <c r="J41" s="10" t="n">
        <f aca="false">40.07</f>
        <v>40.07</v>
      </c>
      <c r="K41" s="10" t="n">
        <f aca="false">((((((((B41)+(C41))+(D41))+(E41))+(F41))+(G41))+(H41))+(I41))+(J41)</f>
        <v>254.27</v>
      </c>
      <c r="L41" s="9" t="s">
        <v>31</v>
      </c>
    </row>
    <row r="42" customFormat="false" ht="14.4" hidden="false" customHeight="false" outlineLevel="0" collapsed="false">
      <c r="A42" s="7" t="s">
        <v>53</v>
      </c>
      <c r="B42" s="8"/>
      <c r="C42" s="8"/>
      <c r="D42" s="8"/>
      <c r="E42" s="8"/>
      <c r="F42" s="8"/>
      <c r="G42" s="8"/>
      <c r="H42" s="8"/>
      <c r="I42" s="8"/>
      <c r="J42" s="8"/>
      <c r="K42" s="10" t="n">
        <f aca="false">((((((((B42)+(C42))+(D42))+(E42))+(F42))+(G42))+(H42))+(I42))+(J42)</f>
        <v>0</v>
      </c>
      <c r="L42" s="9" t="s">
        <v>31</v>
      </c>
    </row>
    <row r="43" customFormat="false" ht="14.4" hidden="false" customHeight="false" outlineLevel="0" collapsed="false">
      <c r="A43" s="7" t="s">
        <v>54</v>
      </c>
      <c r="B43" s="10" t="n">
        <f aca="false">1050</f>
        <v>1050</v>
      </c>
      <c r="C43" s="10" t="n">
        <f aca="false">1000</f>
        <v>1000</v>
      </c>
      <c r="D43" s="10" t="n">
        <f aca="false">1625</f>
        <v>1625</v>
      </c>
      <c r="E43" s="10" t="n">
        <f aca="false">1625</f>
        <v>1625</v>
      </c>
      <c r="F43" s="10" t="n">
        <f aca="false">1625</f>
        <v>1625</v>
      </c>
      <c r="G43" s="10" t="n">
        <f aca="false">1625</f>
        <v>1625</v>
      </c>
      <c r="H43" s="10" t="n">
        <f aca="false">1625</f>
        <v>1625</v>
      </c>
      <c r="I43" s="10" t="n">
        <f aca="false">1625</f>
        <v>1625</v>
      </c>
      <c r="J43" s="10" t="n">
        <f aca="false">1625</f>
        <v>1625</v>
      </c>
      <c r="K43" s="10" t="n">
        <f aca="false">((((((((B43)+(C43))+(D43))+(E43))+(F43))+(G43))+(H43))+(I43))+(J43)</f>
        <v>13425</v>
      </c>
      <c r="L43" s="9" t="s">
        <v>31</v>
      </c>
    </row>
    <row r="44" customFormat="false" ht="14.4" hidden="false" customHeight="false" outlineLevel="0" collapsed="false">
      <c r="A44" s="7" t="s">
        <v>55</v>
      </c>
      <c r="B44" s="11" t="n">
        <f aca="false">(B42)+(B43)</f>
        <v>1050</v>
      </c>
      <c r="C44" s="11" t="n">
        <f aca="false">(C42)+(C43)</f>
        <v>1000</v>
      </c>
      <c r="D44" s="11" t="n">
        <f aca="false">(D42)+(D43)</f>
        <v>1625</v>
      </c>
      <c r="E44" s="11" t="n">
        <f aca="false">(E42)+(E43)</f>
        <v>1625</v>
      </c>
      <c r="F44" s="11" t="n">
        <f aca="false">(F42)+(F43)</f>
        <v>1625</v>
      </c>
      <c r="G44" s="11" t="n">
        <f aca="false">(G42)+(G43)</f>
        <v>1625</v>
      </c>
      <c r="H44" s="11" t="n">
        <f aca="false">(H42)+(H43)</f>
        <v>1625</v>
      </c>
      <c r="I44" s="11" t="n">
        <f aca="false">(I42)+(I43)</f>
        <v>1625</v>
      </c>
      <c r="J44" s="11" t="n">
        <f aca="false">(J42)+(J43)</f>
        <v>1625</v>
      </c>
      <c r="K44" s="11" t="n">
        <f aca="false">((((((((B44)+(C44))+(D44))+(E44))+(F44))+(G44))+(H44))+(I44))+(J44)</f>
        <v>13425</v>
      </c>
      <c r="L44" s="9"/>
    </row>
    <row r="45" customFormat="false" ht="14.4" hidden="false" customHeight="false" outlineLevel="0" collapsed="false">
      <c r="A45" s="7" t="s">
        <v>56</v>
      </c>
      <c r="B45" s="8"/>
      <c r="C45" s="8"/>
      <c r="D45" s="10" t="n">
        <f aca="false">11883.7</f>
        <v>11883.7</v>
      </c>
      <c r="E45" s="10" t="n">
        <f aca="false">12429.33</f>
        <v>12429.33</v>
      </c>
      <c r="F45" s="8"/>
      <c r="G45" s="10" t="n">
        <f aca="false">21781.1</f>
        <v>21781.1</v>
      </c>
      <c r="H45" s="8"/>
      <c r="I45" s="8"/>
      <c r="J45" s="8"/>
      <c r="K45" s="10" t="n">
        <f aca="false">((((((((B45)+(C45))+(D45))+(E45))+(F45))+(G45))+(H45))+(I45))+(J45)</f>
        <v>46094.13</v>
      </c>
      <c r="L45" s="9" t="s">
        <v>31</v>
      </c>
    </row>
    <row r="46" customFormat="false" ht="14.4" hidden="false" customHeight="false" outlineLevel="0" collapsed="false">
      <c r="A46" s="7" t="s">
        <v>57</v>
      </c>
      <c r="B46" s="10" t="n">
        <f aca="false">61</f>
        <v>61</v>
      </c>
      <c r="C46" s="8"/>
      <c r="D46" s="8"/>
      <c r="E46" s="10" t="n">
        <f aca="false">60</f>
        <v>60</v>
      </c>
      <c r="F46" s="10" t="n">
        <f aca="false">3.5</f>
        <v>3.5</v>
      </c>
      <c r="G46" s="8"/>
      <c r="H46" s="8"/>
      <c r="I46" s="10" t="n">
        <f aca="false">25</f>
        <v>25</v>
      </c>
      <c r="J46" s="8"/>
      <c r="K46" s="10" t="n">
        <f aca="false">((((((((B46)+(C46))+(D46))+(E46))+(F46))+(G46))+(H46))+(I46))+(J46)</f>
        <v>149.5</v>
      </c>
      <c r="L46" s="9" t="s">
        <v>31</v>
      </c>
    </row>
    <row r="47" customFormat="false" ht="14.4" hidden="false" customHeight="false" outlineLevel="0" collapsed="false">
      <c r="A47" s="7" t="s">
        <v>58</v>
      </c>
      <c r="B47" s="11" t="n">
        <f aca="false">(((((((((((B33)+(B34))+(B35))+(B36))+(B37))+(B38))+(B39))+(B40))+(B41))+(B44))+(B45))+(B46)</f>
        <v>2100.36</v>
      </c>
      <c r="C47" s="11" t="n">
        <f aca="false">(((((((((((C33)+(C34))+(C35))+(C36))+(C37))+(C38))+(C39))+(C40))+(C41))+(C44))+(C45))+(C46)</f>
        <v>1060.82</v>
      </c>
      <c r="D47" s="11" t="n">
        <f aca="false">(((((((((((D33)+(D34))+(D35))+(D36))+(D37))+(D38))+(D39))+(D40))+(D41))+(D44))+(D45))+(D46)</f>
        <v>14298.16</v>
      </c>
      <c r="E47" s="11" t="n">
        <f aca="false">(((((((((((E33)+(E34))+(E35))+(E36))+(E37))+(E38))+(E39))+(E40))+(E41))+(E44))+(E45))+(E46)</f>
        <v>14517.98</v>
      </c>
      <c r="F47" s="11" t="n">
        <f aca="false">(((((((((((F33)+(F34))+(F35))+(F36))+(F37))+(F38))+(F39))+(F40))+(F41))+(F44))+(F45))+(F46)</f>
        <v>2580.82</v>
      </c>
      <c r="G47" s="11" t="n">
        <f aca="false">(((((((((((G33)+(G34))+(G35))+(G36))+(G37))+(G38))+(G39))+(G40))+(G41))+(G44))+(G45))+(G46)</f>
        <v>27475.79</v>
      </c>
      <c r="H47" s="11" t="n">
        <f aca="false">(((((((((((H33)+(H34))+(H35))+(H36))+(H37))+(H38))+(H39))+(H40))+(H41))+(H44))+(H45))+(H46)</f>
        <v>4820.3</v>
      </c>
      <c r="I47" s="11" t="n">
        <f aca="false">(((((((((((I33)+(I34))+(I35))+(I36))+(I37))+(I38))+(I39))+(I40))+(I41))+(I44))+(I45))+(I46)</f>
        <v>5409.96</v>
      </c>
      <c r="J47" s="11" t="n">
        <f aca="false">(((((((((((J33)+(J34))+(J35))+(J36))+(J37))+(J38))+(J39))+(J40))+(J41))+(J44))+(J45))+(J46)</f>
        <v>4245.21</v>
      </c>
      <c r="K47" s="11" t="n">
        <f aca="false">((((((((B47)+(C47))+(D47))+(E47))+(F47))+(G47))+(H47))+(I47))+(J47)</f>
        <v>76509.4</v>
      </c>
      <c r="L47" s="9"/>
    </row>
    <row r="48" customFormat="false" ht="14.4" hidden="false" customHeight="false" outlineLevel="0" collapsed="false">
      <c r="A48" s="7" t="s">
        <v>59</v>
      </c>
      <c r="B48" s="8"/>
      <c r="C48" s="8"/>
      <c r="D48" s="8"/>
      <c r="E48" s="8"/>
      <c r="F48" s="8"/>
      <c r="G48" s="8"/>
      <c r="H48" s="8"/>
      <c r="I48" s="8"/>
      <c r="J48" s="8"/>
      <c r="K48" s="10" t="n">
        <f aca="false">((((((((B48)+(C48))+(D48))+(E48))+(F48))+(G48))+(H48))+(I48))+(J48)</f>
        <v>0</v>
      </c>
      <c r="L48" s="9"/>
    </row>
    <row r="49" customFormat="false" ht="14.4" hidden="false" customHeight="false" outlineLevel="0" collapsed="false">
      <c r="A49" s="7" t="s">
        <v>60</v>
      </c>
      <c r="B49" s="10" t="n">
        <f aca="false">25844.08</f>
        <v>25844.08</v>
      </c>
      <c r="C49" s="10" t="n">
        <f aca="false">35905.32</f>
        <v>35905.32</v>
      </c>
      <c r="D49" s="10" t="n">
        <f aca="false">63637.84</f>
        <v>63637.84</v>
      </c>
      <c r="E49" s="10" t="n">
        <f aca="false">43361.03</f>
        <v>43361.03</v>
      </c>
      <c r="F49" s="10" t="n">
        <f aca="false">39276.82</f>
        <v>39276.82</v>
      </c>
      <c r="G49" s="10" t="n">
        <f aca="false">36751.84</f>
        <v>36751.84</v>
      </c>
      <c r="H49" s="10" t="n">
        <f aca="false">38526.56</f>
        <v>38526.56</v>
      </c>
      <c r="I49" s="10" t="n">
        <f aca="false">67326.71</f>
        <v>67326.71</v>
      </c>
      <c r="J49" s="10" t="n">
        <f aca="false">31787.93</f>
        <v>31787.93</v>
      </c>
      <c r="K49" s="10" t="n">
        <f aca="false">((((((((B49)+(C49))+(D49))+(E49))+(F49))+(G49))+(H49))+(I49))+(J49)</f>
        <v>382418.13</v>
      </c>
      <c r="L49" s="9" t="s">
        <v>31</v>
      </c>
    </row>
    <row r="50" customFormat="false" ht="14.4" hidden="false" customHeight="false" outlineLevel="0" collapsed="false">
      <c r="A50" s="7" t="s">
        <v>61</v>
      </c>
      <c r="B50" s="10" t="n">
        <f aca="false">2697.82</f>
        <v>2697.82</v>
      </c>
      <c r="C50" s="10" t="n">
        <f aca="false">3297.35</f>
        <v>3297.35</v>
      </c>
      <c r="D50" s="10" t="n">
        <f aca="false">5345.6</f>
        <v>5345.6</v>
      </c>
      <c r="E50" s="10" t="n">
        <f aca="false">3415.79</f>
        <v>3415.79</v>
      </c>
      <c r="F50" s="10" t="n">
        <f aca="false">3007.8</f>
        <v>3007.8</v>
      </c>
      <c r="G50" s="10" t="n">
        <f aca="false">2811.5</f>
        <v>2811.5</v>
      </c>
      <c r="H50" s="10" t="n">
        <f aca="false">2947.27</f>
        <v>2947.27</v>
      </c>
      <c r="I50" s="10" t="n">
        <f aca="false">5150.46</f>
        <v>5150.46</v>
      </c>
      <c r="J50" s="10" t="n">
        <f aca="false">2295.38</f>
        <v>2295.38</v>
      </c>
      <c r="K50" s="10" t="n">
        <f aca="false">((((((((B50)+(C50))+(D50))+(E50))+(F50))+(G50))+(H50))+(I50))+(J50)</f>
        <v>30968.97</v>
      </c>
      <c r="L50" s="9" t="s">
        <v>31</v>
      </c>
    </row>
    <row r="51" customFormat="false" ht="14.4" hidden="false" customHeight="false" outlineLevel="0" collapsed="false">
      <c r="A51" s="7" t="s">
        <v>62</v>
      </c>
      <c r="B51" s="10" t="n">
        <f aca="false">60571.27</f>
        <v>60571.27</v>
      </c>
      <c r="C51" s="10" t="n">
        <f aca="false">74271.51</f>
        <v>74271.51</v>
      </c>
      <c r="D51" s="10" t="n">
        <f aca="false">111639.61</f>
        <v>111639.61</v>
      </c>
      <c r="E51" s="10" t="n">
        <f aca="false">73241.51</f>
        <v>73241.51</v>
      </c>
      <c r="F51" s="10" t="n">
        <f aca="false">70321.76</f>
        <v>70321.76</v>
      </c>
      <c r="G51" s="10" t="n">
        <f aca="false">76053.98</f>
        <v>76053.98</v>
      </c>
      <c r="H51" s="10" t="n">
        <f aca="false">95404.19</f>
        <v>95404.19</v>
      </c>
      <c r="I51" s="10" t="n">
        <f aca="false">159545.32</f>
        <v>159545.32</v>
      </c>
      <c r="J51" s="10" t="n">
        <f aca="false">70296.31</f>
        <v>70296.31</v>
      </c>
      <c r="K51" s="10" t="n">
        <f aca="false">((((((((B51)+(C51))+(D51))+(E51))+(F51))+(G51))+(H51))+(I51))+(J51)</f>
        <v>791345.46</v>
      </c>
      <c r="L51" s="9" t="s">
        <v>31</v>
      </c>
    </row>
    <row r="52" customFormat="false" ht="14.4" hidden="false" customHeight="false" outlineLevel="0" collapsed="false">
      <c r="A52" s="7" t="s">
        <v>63</v>
      </c>
      <c r="B52" s="10" t="n">
        <f aca="false">721.89</f>
        <v>721.89</v>
      </c>
      <c r="C52" s="10" t="n">
        <f aca="false">305.57</f>
        <v>305.57</v>
      </c>
      <c r="D52" s="10" t="n">
        <f aca="false">513.73</f>
        <v>513.73</v>
      </c>
      <c r="E52" s="10" t="n">
        <f aca="false">513.73</f>
        <v>513.73</v>
      </c>
      <c r="F52" s="10" t="n">
        <f aca="false">513.73</f>
        <v>513.73</v>
      </c>
      <c r="G52" s="10" t="n">
        <f aca="false">513.73</f>
        <v>513.73</v>
      </c>
      <c r="H52" s="10" t="n">
        <f aca="false">513.73</f>
        <v>513.73</v>
      </c>
      <c r="I52" s="10" t="n">
        <f aca="false">1511.64</f>
        <v>1511.64</v>
      </c>
      <c r="J52" s="10" t="n">
        <f aca="false">-484.18</f>
        <v>-484.18</v>
      </c>
      <c r="K52" s="10" t="n">
        <f aca="false">((((((((B52)+(C52))+(D52))+(E52))+(F52))+(G52))+(H52))+(I52))+(J52)</f>
        <v>4623.57</v>
      </c>
      <c r="L52" s="9" t="s">
        <v>31</v>
      </c>
    </row>
    <row r="53" customFormat="false" ht="14.4" hidden="false" customHeight="false" outlineLevel="0" collapsed="false">
      <c r="A53" s="7" t="s">
        <v>64</v>
      </c>
      <c r="B53" s="10" t="n">
        <f aca="false">87.02</f>
        <v>87.02</v>
      </c>
      <c r="C53" s="10" t="n">
        <f aca="false">120.29</f>
        <v>120.29</v>
      </c>
      <c r="D53" s="10" t="n">
        <f aca="false">207.7</f>
        <v>207.7</v>
      </c>
      <c r="E53" s="10" t="n">
        <f aca="false">140.04</f>
        <v>140.04</v>
      </c>
      <c r="F53" s="10" t="n">
        <f aca="false">125.52</f>
        <v>125.52</v>
      </c>
      <c r="G53" s="10" t="n">
        <f aca="false">121.79</f>
        <v>121.79</v>
      </c>
      <c r="H53" s="10" t="n">
        <f aca="false">125.67</f>
        <v>125.67</v>
      </c>
      <c r="I53" s="10" t="n">
        <f aca="false">215.59</f>
        <v>215.59</v>
      </c>
      <c r="J53" s="10" t="n">
        <f aca="false">107.56</f>
        <v>107.56</v>
      </c>
      <c r="K53" s="10" t="n">
        <f aca="false">((((((((B53)+(C53))+(D53))+(E53))+(F53))+(G53))+(H53))+(I53))+(J53)</f>
        <v>1251.18</v>
      </c>
      <c r="L53" s="9" t="s">
        <v>31</v>
      </c>
    </row>
    <row r="54" customFormat="false" ht="14.4" hidden="false" customHeight="false" outlineLevel="0" collapsed="false">
      <c r="A54" s="7" t="s">
        <v>65</v>
      </c>
      <c r="B54" s="10" t="n">
        <f aca="false">328.86</f>
        <v>328.86</v>
      </c>
      <c r="C54" s="10" t="n">
        <f aca="false">365.4</f>
        <v>365.4</v>
      </c>
      <c r="D54" s="10" t="n">
        <f aca="false">656.19</f>
        <v>656.19</v>
      </c>
      <c r="E54" s="10" t="n">
        <f aca="false">365.4</f>
        <v>365.4</v>
      </c>
      <c r="F54" s="10" t="n">
        <f aca="false">328.86</f>
        <v>328.86</v>
      </c>
      <c r="G54" s="10" t="n">
        <f aca="false">292.32</f>
        <v>292.32</v>
      </c>
      <c r="H54" s="10" t="n">
        <f aca="false">292.32</f>
        <v>292.32</v>
      </c>
      <c r="I54" s="10" t="n">
        <f aca="false">438.48</f>
        <v>438.48</v>
      </c>
      <c r="J54" s="10" t="n">
        <f aca="false">292.32</f>
        <v>292.32</v>
      </c>
      <c r="K54" s="10" t="n">
        <f aca="false">((((((((B54)+(C54))+(D54))+(E54))+(F54))+(G54))+(H54))+(I54))+(J54)</f>
        <v>3360.15</v>
      </c>
      <c r="L54" s="9" t="s">
        <v>31</v>
      </c>
    </row>
    <row r="55" customFormat="false" ht="14.4" hidden="false" customHeight="false" outlineLevel="0" collapsed="false">
      <c r="A55" s="7" t="s">
        <v>66</v>
      </c>
      <c r="B55" s="11" t="n">
        <f aca="false">((((((B48)+(B49))+(B50))+(B51))+(B52))+(B53))+(B54)</f>
        <v>90250.94</v>
      </c>
      <c r="C55" s="11" t="n">
        <f aca="false">((((((C48)+(C49))+(C50))+(C51))+(C52))+(C53))+(C54)</f>
        <v>114265.44</v>
      </c>
      <c r="D55" s="11" t="n">
        <f aca="false">((((((D48)+(D49))+(D50))+(D51))+(D52))+(D53))+(D54)</f>
        <v>182000.67</v>
      </c>
      <c r="E55" s="11" t="n">
        <f aca="false">((((((E48)+(E49))+(E50))+(E51))+(E52))+(E53))+(E54)</f>
        <v>121037.5</v>
      </c>
      <c r="F55" s="11" t="n">
        <f aca="false">((((((F48)+(F49))+(F50))+(F51))+(F52))+(F53))+(F54)</f>
        <v>113574.49</v>
      </c>
      <c r="G55" s="11" t="n">
        <f aca="false">((((((G48)+(G49))+(G50))+(G51))+(G52))+(G53))+(G54)</f>
        <v>116545.16</v>
      </c>
      <c r="H55" s="11" t="n">
        <f aca="false">((((((H48)+(H49))+(H50))+(H51))+(H52))+(H53))+(H54)</f>
        <v>137809.74</v>
      </c>
      <c r="I55" s="11" t="n">
        <f aca="false">((((((I48)+(I49))+(I50))+(I51))+(I52))+(I53))+(I54)</f>
        <v>234188.2</v>
      </c>
      <c r="J55" s="11" t="n">
        <f aca="false">((((((J48)+(J49))+(J50))+(J51))+(J52))+(J53))+(J54)</f>
        <v>104295.32</v>
      </c>
      <c r="K55" s="11" t="n">
        <f aca="false">((((((((B55)+(C55))+(D55))+(E55))+(F55))+(G55))+(H55))+(I55))+(J55)</f>
        <v>1213967.46</v>
      </c>
      <c r="L55" s="9"/>
    </row>
    <row r="56" customFormat="false" ht="14.4" hidden="false" customHeight="false" outlineLevel="0" collapsed="false">
      <c r="A56" s="7" t="s">
        <v>67</v>
      </c>
      <c r="B56" s="8"/>
      <c r="C56" s="8"/>
      <c r="D56" s="8"/>
      <c r="E56" s="8"/>
      <c r="F56" s="8"/>
      <c r="G56" s="8"/>
      <c r="H56" s="8"/>
      <c r="I56" s="8"/>
      <c r="J56" s="8"/>
      <c r="K56" s="10" t="n">
        <f aca="false">((((((((B56)+(C56))+(D56))+(E56))+(F56))+(G56))+(H56))+(I56))+(J56)</f>
        <v>0</v>
      </c>
      <c r="L56" s="9"/>
    </row>
    <row r="57" customFormat="false" ht="14.4" hidden="false" customHeight="false" outlineLevel="0" collapsed="false">
      <c r="A57" s="7" t="s">
        <v>68</v>
      </c>
      <c r="B57" s="10" t="n">
        <f aca="false">6622.3</f>
        <v>6622.3</v>
      </c>
      <c r="C57" s="10" t="n">
        <f aca="false">6953.41</f>
        <v>6953.41</v>
      </c>
      <c r="D57" s="10" t="n">
        <f aca="false">6953.41</f>
        <v>6953.41</v>
      </c>
      <c r="E57" s="10" t="n">
        <f aca="false">6953.41</f>
        <v>6953.41</v>
      </c>
      <c r="F57" s="10" t="n">
        <f aca="false">6953.41</f>
        <v>6953.41</v>
      </c>
      <c r="G57" s="10" t="n">
        <f aca="false">6953.41</f>
        <v>6953.41</v>
      </c>
      <c r="H57" s="10" t="n">
        <f aca="false">6953.41</f>
        <v>6953.41</v>
      </c>
      <c r="I57" s="10" t="n">
        <f aca="false">6953.41</f>
        <v>6953.41</v>
      </c>
      <c r="J57" s="10" t="n">
        <f aca="false">6953.41</f>
        <v>6953.41</v>
      </c>
      <c r="K57" s="10" t="n">
        <f aca="false">((((((((B57)+(C57))+(D57))+(E57))+(F57))+(G57))+(H57))+(I57))+(J57)</f>
        <v>62249.58</v>
      </c>
      <c r="L57" s="9" t="s">
        <v>31</v>
      </c>
    </row>
    <row r="58" customFormat="false" ht="14.4" hidden="false" customHeight="false" outlineLevel="0" collapsed="false">
      <c r="A58" s="7" t="s">
        <v>69</v>
      </c>
      <c r="B58" s="8"/>
      <c r="C58" s="8"/>
      <c r="D58" s="10" t="n">
        <f aca="false">7086</f>
        <v>7086</v>
      </c>
      <c r="E58" s="8"/>
      <c r="F58" s="10" t="n">
        <f aca="false">6450</f>
        <v>6450</v>
      </c>
      <c r="G58" s="10" t="n">
        <f aca="false">7720</f>
        <v>7720</v>
      </c>
      <c r="H58" s="10" t="n">
        <f aca="false">4480</f>
        <v>4480</v>
      </c>
      <c r="I58" s="8"/>
      <c r="J58" s="8"/>
      <c r="K58" s="10" t="n">
        <f aca="false">((((((((B58)+(C58))+(D58))+(E58))+(F58))+(G58))+(H58))+(I58))+(J58)</f>
        <v>25736</v>
      </c>
      <c r="L58" s="9" t="s">
        <v>31</v>
      </c>
    </row>
    <row r="59" customFormat="false" ht="14.4" hidden="false" customHeight="false" outlineLevel="0" collapsed="false">
      <c r="A59" s="7" t="s">
        <v>70</v>
      </c>
      <c r="B59" s="10" t="n">
        <f aca="false">2794.94</f>
        <v>2794.94</v>
      </c>
      <c r="C59" s="10" t="n">
        <f aca="false">17645.23</f>
        <v>17645.23</v>
      </c>
      <c r="D59" s="10" t="n">
        <f aca="false">16960.42</f>
        <v>16960.42</v>
      </c>
      <c r="E59" s="10" t="n">
        <f aca="false">2034.7</f>
        <v>2034.7</v>
      </c>
      <c r="F59" s="10" t="n">
        <f aca="false">2688.7</f>
        <v>2688.7</v>
      </c>
      <c r="G59" s="10" t="n">
        <f aca="false">5039.71</f>
        <v>5039.71</v>
      </c>
      <c r="H59" s="10" t="n">
        <f aca="false">2698.73</f>
        <v>2698.73</v>
      </c>
      <c r="I59" s="10" t="n">
        <f aca="false">3454.42</f>
        <v>3454.42</v>
      </c>
      <c r="J59" s="10" t="n">
        <f aca="false">11463.78</f>
        <v>11463.78</v>
      </c>
      <c r="K59" s="10" t="n">
        <f aca="false">((((((((B59)+(C59))+(D59))+(E59))+(F59))+(G59))+(H59))+(I59))+(J59)</f>
        <v>64780.63</v>
      </c>
      <c r="L59" s="9" t="s">
        <v>31</v>
      </c>
    </row>
    <row r="60" customFormat="false" ht="14.4" hidden="false" customHeight="false" outlineLevel="0" collapsed="false">
      <c r="A60" s="7" t="s">
        <v>71</v>
      </c>
      <c r="B60" s="8"/>
      <c r="C60" s="8"/>
      <c r="D60" s="8"/>
      <c r="E60" s="8"/>
      <c r="F60" s="8"/>
      <c r="G60" s="8"/>
      <c r="H60" s="8"/>
      <c r="I60" s="8"/>
      <c r="J60" s="10" t="n">
        <f aca="false">980</f>
        <v>980</v>
      </c>
      <c r="K60" s="10" t="n">
        <f aca="false">((((((((B60)+(C60))+(D60))+(E60))+(F60))+(G60))+(H60))+(I60))+(J60)</f>
        <v>980</v>
      </c>
      <c r="L60" s="9" t="s">
        <v>31</v>
      </c>
    </row>
    <row r="61" customFormat="false" ht="14.4" hidden="false" customHeight="false" outlineLevel="0" collapsed="false">
      <c r="A61" s="7" t="s">
        <v>72</v>
      </c>
      <c r="B61" s="11" t="n">
        <f aca="false">((B58)+(B59))+(B60)</f>
        <v>2794.94</v>
      </c>
      <c r="C61" s="11" t="n">
        <f aca="false">((C58)+(C59))+(C60)</f>
        <v>17645.23</v>
      </c>
      <c r="D61" s="11" t="n">
        <f aca="false">((D58)+(D59))+(D60)</f>
        <v>24046.42</v>
      </c>
      <c r="E61" s="11" t="n">
        <f aca="false">((E58)+(E59))+(E60)</f>
        <v>2034.7</v>
      </c>
      <c r="F61" s="11" t="n">
        <f aca="false">((F58)+(F59))+(F60)</f>
        <v>9138.7</v>
      </c>
      <c r="G61" s="11" t="n">
        <f aca="false">((G58)+(G59))+(G60)</f>
        <v>12759.71</v>
      </c>
      <c r="H61" s="11" t="n">
        <f aca="false">((H58)+(H59))+(H60)</f>
        <v>7178.73</v>
      </c>
      <c r="I61" s="11" t="n">
        <f aca="false">((I58)+(I59))+(I60)</f>
        <v>3454.42</v>
      </c>
      <c r="J61" s="11" t="n">
        <f aca="false">((J58)+(J59))+(J60)</f>
        <v>12443.78</v>
      </c>
      <c r="K61" s="11" t="n">
        <f aca="false">((((((((B61)+(C61))+(D61))+(E61))+(F61))+(G61))+(H61))+(I61))+(J61)</f>
        <v>91496.63</v>
      </c>
      <c r="L61" s="9" t="s">
        <v>73</v>
      </c>
    </row>
    <row r="62" customFormat="false" ht="14.4" hidden="false" customHeight="false" outlineLevel="0" collapsed="false">
      <c r="A62" s="7" t="s">
        <v>74</v>
      </c>
      <c r="B62" s="10" t="n">
        <f aca="false">1960</f>
        <v>1960</v>
      </c>
      <c r="C62" s="10" t="n">
        <f aca="false">980</f>
        <v>980</v>
      </c>
      <c r="D62" s="10" t="n">
        <f aca="false">980</f>
        <v>980</v>
      </c>
      <c r="E62" s="10" t="n">
        <f aca="false">980</f>
        <v>980</v>
      </c>
      <c r="F62" s="10" t="n">
        <f aca="false">980</f>
        <v>980</v>
      </c>
      <c r="G62" s="8"/>
      <c r="H62" s="10" t="n">
        <f aca="false">1960</f>
        <v>1960</v>
      </c>
      <c r="I62" s="10" t="n">
        <f aca="false">980</f>
        <v>980</v>
      </c>
      <c r="J62" s="8"/>
      <c r="K62" s="10" t="n">
        <f aca="false">((((((((B62)+(C62))+(D62))+(E62))+(F62))+(G62))+(H62))+(I62))+(J62)</f>
        <v>8820</v>
      </c>
      <c r="L62" s="9" t="s">
        <v>31</v>
      </c>
    </row>
    <row r="63" customFormat="false" ht="14.4" hidden="false" customHeight="false" outlineLevel="0" collapsed="false">
      <c r="A63" s="7" t="s">
        <v>75</v>
      </c>
      <c r="B63" s="10" t="n">
        <f aca="false">727.57</f>
        <v>727.57</v>
      </c>
      <c r="C63" s="10" t="n">
        <f aca="false">748.75</f>
        <v>748.75</v>
      </c>
      <c r="D63" s="10" t="n">
        <f aca="false">795.25</f>
        <v>795.25</v>
      </c>
      <c r="E63" s="10" t="n">
        <f aca="false">855.3</f>
        <v>855.3</v>
      </c>
      <c r="F63" s="10" t="n">
        <f aca="false">976.95</f>
        <v>976.95</v>
      </c>
      <c r="G63" s="10" t="n">
        <f aca="false">885</f>
        <v>885</v>
      </c>
      <c r="H63" s="10" t="n">
        <f aca="false">1071.15</f>
        <v>1071.15</v>
      </c>
      <c r="I63" s="10" t="n">
        <f aca="false">1023.82</f>
        <v>1023.82</v>
      </c>
      <c r="J63" s="10" t="n">
        <f aca="false">1012.35</f>
        <v>1012.35</v>
      </c>
      <c r="K63" s="10" t="n">
        <f aca="false">((((((((B63)+(C63))+(D63))+(E63))+(F63))+(G63))+(H63))+(I63))+(J63)</f>
        <v>8096.14</v>
      </c>
      <c r="L63" s="9" t="s">
        <v>31</v>
      </c>
    </row>
    <row r="64" customFormat="false" ht="14.4" hidden="false" customHeight="false" outlineLevel="0" collapsed="false">
      <c r="A64" s="7" t="s">
        <v>76</v>
      </c>
      <c r="B64" s="8"/>
      <c r="C64" s="8"/>
      <c r="D64" s="8"/>
      <c r="E64" s="8"/>
      <c r="F64" s="8"/>
      <c r="G64" s="8"/>
      <c r="H64" s="10" t="n">
        <f aca="false">2038.24</f>
        <v>2038.24</v>
      </c>
      <c r="I64" s="8"/>
      <c r="J64" s="8"/>
      <c r="K64" s="10" t="n">
        <f aca="false">((((((((B64)+(C64))+(D64))+(E64))+(F64))+(G64))+(H64))+(I64))+(J64)</f>
        <v>2038.24</v>
      </c>
      <c r="L64" s="9" t="s">
        <v>31</v>
      </c>
    </row>
    <row r="65" customFormat="false" ht="14.4" hidden="false" customHeight="false" outlineLevel="0" collapsed="false">
      <c r="A65" s="7" t="s">
        <v>77</v>
      </c>
      <c r="B65" s="11" t="n">
        <f aca="false">((B62)+(B63))+(B64)</f>
        <v>2687.57</v>
      </c>
      <c r="C65" s="11" t="n">
        <f aca="false">((C62)+(C63))+(C64)</f>
        <v>1728.75</v>
      </c>
      <c r="D65" s="11" t="n">
        <f aca="false">((D62)+(D63))+(D64)</f>
        <v>1775.25</v>
      </c>
      <c r="E65" s="11" t="n">
        <f aca="false">((E62)+(E63))+(E64)</f>
        <v>1835.3</v>
      </c>
      <c r="F65" s="11" t="n">
        <f aca="false">((F62)+(F63))+(F64)</f>
        <v>1956.95</v>
      </c>
      <c r="G65" s="11" t="n">
        <f aca="false">((G62)+(G63))+(G64)</f>
        <v>885</v>
      </c>
      <c r="H65" s="11" t="n">
        <f aca="false">((H62)+(H63))+(H64)</f>
        <v>5069.39</v>
      </c>
      <c r="I65" s="11" t="n">
        <f aca="false">((I62)+(I63))+(I64)</f>
        <v>2003.82</v>
      </c>
      <c r="J65" s="11" t="n">
        <f aca="false">((J62)+(J63))+(J64)</f>
        <v>1012.35</v>
      </c>
      <c r="K65" s="11" t="n">
        <f aca="false">((((((((B65)+(C65))+(D65))+(E65))+(F65))+(G65))+(H65))+(I65))+(J65)</f>
        <v>18954.38</v>
      </c>
      <c r="L65" s="9"/>
    </row>
    <row r="66" customFormat="false" ht="14.4" hidden="false" customHeight="false" outlineLevel="0" collapsed="false">
      <c r="A66" s="7" t="s">
        <v>78</v>
      </c>
      <c r="B66" s="11" t="n">
        <f aca="false">(((B56)+(B57))+(B61))+(B65)</f>
        <v>12104.81</v>
      </c>
      <c r="C66" s="11" t="n">
        <f aca="false">(((C56)+(C57))+(C61))+(C65)</f>
        <v>26327.39</v>
      </c>
      <c r="D66" s="11" t="n">
        <f aca="false">(((D56)+(D57))+(D61))+(D65)</f>
        <v>32775.08</v>
      </c>
      <c r="E66" s="11" t="n">
        <f aca="false">(((E56)+(E57))+(E61))+(E65)</f>
        <v>10823.41</v>
      </c>
      <c r="F66" s="11" t="n">
        <f aca="false">(((F56)+(F57))+(F61))+(F65)</f>
        <v>18049.06</v>
      </c>
      <c r="G66" s="11" t="n">
        <f aca="false">(((G56)+(G57))+(G61))+(G65)</f>
        <v>20598.12</v>
      </c>
      <c r="H66" s="11" t="n">
        <f aca="false">(((H56)+(H57))+(H61))+(H65)</f>
        <v>19201.53</v>
      </c>
      <c r="I66" s="11" t="n">
        <f aca="false">(((I56)+(I57))+(I61))+(I65)</f>
        <v>12411.65</v>
      </c>
      <c r="J66" s="11" t="n">
        <f aca="false">(((J56)+(J57))+(J61))+(J65)</f>
        <v>20409.54</v>
      </c>
      <c r="K66" s="11" t="n">
        <f aca="false">((((((((B66)+(C66))+(D66))+(E66))+(F66))+(G66))+(H66))+(I66))+(J66)</f>
        <v>172700.59</v>
      </c>
      <c r="L66" s="9"/>
    </row>
    <row r="67" customFormat="false" ht="14.4" hidden="false" customHeight="false" outlineLevel="0" collapsed="false">
      <c r="A67" s="7" t="s">
        <v>79</v>
      </c>
      <c r="B67" s="11" t="n">
        <f aca="false">(((B32)+(B47))+(B55))+(B66)</f>
        <v>105836.96</v>
      </c>
      <c r="C67" s="11" t="n">
        <f aca="false">(((C32)+(C47))+(C55))+(C66)</f>
        <v>142061.95</v>
      </c>
      <c r="D67" s="11" t="n">
        <f aca="false">(((D32)+(D47))+(D55))+(D66)</f>
        <v>229918.37</v>
      </c>
      <c r="E67" s="11" t="n">
        <f aca="false">(((E32)+(E47))+(E55))+(E66)</f>
        <v>147649.04</v>
      </c>
      <c r="F67" s="11" t="n">
        <f aca="false">(((F32)+(F47))+(F55))+(F66)</f>
        <v>136329.34</v>
      </c>
      <c r="G67" s="11" t="n">
        <f aca="false">(((G32)+(G47))+(G55))+(G66)</f>
        <v>165257.38</v>
      </c>
      <c r="H67" s="11" t="n">
        <f aca="false">(((H32)+(H47))+(H55))+(H66)</f>
        <v>162559.72</v>
      </c>
      <c r="I67" s="11" t="n">
        <f aca="false">(((I32)+(I47))+(I55))+(I66)</f>
        <v>253292.54</v>
      </c>
      <c r="J67" s="11" t="n">
        <f aca="false">(((J32)+(J47))+(J55))+(J66)</f>
        <v>129830</v>
      </c>
      <c r="K67" s="11" t="n">
        <f aca="false">((((((((B67)+(C67))+(D67))+(E67))+(F67))+(G67))+(H67))+(I67))+(J67)</f>
        <v>1472735.3</v>
      </c>
      <c r="L67" s="9"/>
    </row>
    <row r="68" customFormat="false" ht="14.4" hidden="false" customHeight="false" outlineLevel="0" collapsed="false">
      <c r="A68" s="7" t="s">
        <v>80</v>
      </c>
      <c r="B68" s="11" t="n">
        <f aca="false">(B26)-(B67)</f>
        <v>48905.3900000001</v>
      </c>
      <c r="C68" s="11" t="n">
        <f aca="false">(C26)-(C67)</f>
        <v>190952.46</v>
      </c>
      <c r="D68" s="11" t="n">
        <f aca="false">(D26)-(D67)</f>
        <v>121067.67</v>
      </c>
      <c r="E68" s="11" t="n">
        <f aca="false">(E26)-(E67)</f>
        <v>-96228.3</v>
      </c>
      <c r="F68" s="11" t="n">
        <f aca="false">(F26)-(F67)</f>
        <v>152719.8</v>
      </c>
      <c r="G68" s="11" t="n">
        <f aca="false">(G26)-(G67)</f>
        <v>171757.6</v>
      </c>
      <c r="H68" s="11" t="n">
        <f aca="false">(H26)-(H67)</f>
        <v>127976.77</v>
      </c>
      <c r="I68" s="11" t="n">
        <f aca="false">(I26)-(I67)</f>
        <v>-16575.73</v>
      </c>
      <c r="J68" s="11" t="n">
        <f aca="false">(J26)-(J67)</f>
        <v>163332.37</v>
      </c>
      <c r="K68" s="11" t="n">
        <f aca="false">((((((((B68)+(C68))+(D68))+(E68))+(F68))+(G68))+(H68))+(I68))+(J68)</f>
        <v>863908.03</v>
      </c>
      <c r="L68" s="9"/>
    </row>
    <row r="69" customFormat="false" ht="13.8" hidden="false" customHeight="false" outlineLevel="0" collapsed="false">
      <c r="A69" s="7" t="s">
        <v>81</v>
      </c>
      <c r="B69" s="11" t="n">
        <f aca="false">(B68)+(0)</f>
        <v>48905.3900000001</v>
      </c>
      <c r="C69" s="11" t="n">
        <f aca="false">(C68)+(0)</f>
        <v>190952.46</v>
      </c>
      <c r="D69" s="11" t="n">
        <f aca="false">(D68)+(0)</f>
        <v>121067.67</v>
      </c>
      <c r="E69" s="11" t="n">
        <f aca="false">(E68)+(0)</f>
        <v>-96228.3</v>
      </c>
      <c r="F69" s="11" t="n">
        <f aca="false">(F68)+(0)</f>
        <v>152719.8</v>
      </c>
      <c r="G69" s="11" t="n">
        <f aca="false">(G68)+(0)</f>
        <v>171757.6</v>
      </c>
      <c r="H69" s="11" t="n">
        <f aca="false">(H68)+(0)</f>
        <v>127976.77</v>
      </c>
      <c r="I69" s="11" t="n">
        <f aca="false">(I68)+(0)</f>
        <v>-16575.73</v>
      </c>
      <c r="J69" s="11" t="n">
        <f aca="false">(J68)+(0)</f>
        <v>163332.37</v>
      </c>
      <c r="K69" s="11" t="n">
        <f aca="false">((((((((B69)+(C69))+(D69))+(E69))+(F69))+(G69))+(H69))+(I69))+(J69)</f>
        <v>863908.03</v>
      </c>
      <c r="L69" s="9"/>
    </row>
    <row r="70" customFormat="false" ht="14.4" hidden="false" customHeight="fals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</row>
    <row r="73" customFormat="false" ht="14.4" hidden="false" customHeight="false" outlineLevel="0" collapsed="false">
      <c r="A73" s="13" t="s">
        <v>82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</row>
  </sheetData>
  <mergeCells count="4">
    <mergeCell ref="A1:K1"/>
    <mergeCell ref="A2:K2"/>
    <mergeCell ref="A3:K3"/>
    <mergeCell ref="A73:K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2021-11-02T12:59:33Z</dcterms:created>
  <dc:creator>Apache POI</dc:creator>
  <dc:description/>
  <dc:language>en-IN</dc:language>
  <cp:lastModifiedBy/>
  <dcterms:modified xsi:type="dcterms:W3CDTF">2021-11-03T14:11:59Z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